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drawings/drawing9.xml" ContentType="application/vnd.openxmlformats-officedocument.drawing+xml"/>
  <Override PartName="/xl/embeddings/oleObject8.bin" ContentType="application/vnd.openxmlformats-officedocument.oleObject"/>
  <Override PartName="/xl/drawings/drawing10.xml" ContentType="application/vnd.openxmlformats-officedocument.drawing+xml"/>
  <Override PartName="/xl/embeddings/oleObject9.bin" ContentType="application/vnd.openxmlformats-officedocument.oleObject"/>
  <Override PartName="/xl/drawings/drawing11.xml" ContentType="application/vnd.openxmlformats-officedocument.drawing+xml"/>
  <Override PartName="/xl/embeddings/oleObject10.bin" ContentType="application/vnd.openxmlformats-officedocument.oleObject"/>
  <Override PartName="/xl/drawings/drawing12.xml" ContentType="application/vnd.openxmlformats-officedocument.drawing+xml"/>
  <Override PartName="/xl/embeddings/oleObject11.bin" ContentType="application/vnd.openxmlformats-officedocument.oleObject"/>
  <Override PartName="/xl/drawings/drawing13.xml" ContentType="application/vnd.openxmlformats-officedocument.drawing+xml"/>
  <Override PartName="/xl/embeddings/oleObject12.bin" ContentType="application/vnd.openxmlformats-officedocument.oleObject"/>
  <Override PartName="/xl/drawings/drawing14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drawings/drawing16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17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drawings/drawing18.xml" ContentType="application/vnd.openxmlformats-officedocument.drawing+xml"/>
  <Override PartName="/xl/embeddings/oleObject21.bin" ContentType="application/vnd.openxmlformats-officedocument.oleObject"/>
  <Override PartName="/xl/drawings/drawing19.xml" ContentType="application/vnd.openxmlformats-officedocument.drawing+xml"/>
  <Override PartName="/xl/embeddings/oleObject22.bin" ContentType="application/vnd.openxmlformats-officedocument.oleObject"/>
  <Override PartName="/xl/drawings/drawing20.xml" ContentType="application/vnd.openxmlformats-officedocument.drawing+xml"/>
  <Override PartName="/xl/embeddings/oleObject23.bin" ContentType="application/vnd.openxmlformats-officedocument.oleObject"/>
  <Override PartName="/xl/drawings/drawing21.xml" ContentType="application/vnd.openxmlformats-officedocument.drawing+xml"/>
  <Override PartName="/xl/embeddings/oleObject24.bin" ContentType="application/vnd.openxmlformats-officedocument.oleObject"/>
  <Override PartName="/xl/drawings/drawing22.xml" ContentType="application/vnd.openxmlformats-officedocument.drawing+xml"/>
  <Override PartName="/xl/embeddings/oleObject25.bin" ContentType="application/vnd.openxmlformats-officedocument.oleObject"/>
  <Override PartName="/xl/drawings/drawing23.xml" ContentType="application/vnd.openxmlformats-officedocument.drawing+xml"/>
  <Override PartName="/xl/embeddings/oleObject26.bin" ContentType="application/vnd.openxmlformats-officedocument.oleObject"/>
  <Override PartName="/xl/drawings/drawing24.xml" ContentType="application/vnd.openxmlformats-officedocument.drawing+xml"/>
  <Override PartName="/xl/embeddings/oleObject27.bin" ContentType="application/vnd.openxmlformats-officedocument.oleObject"/>
  <Override PartName="/xl/drawings/drawing25.xml" ContentType="application/vnd.openxmlformats-officedocument.drawing+xml"/>
  <Override PartName="/xl/embeddings/oleObject28.bin" ContentType="application/vnd.openxmlformats-officedocument.oleObject"/>
  <Override PartName="/xl/drawings/drawing26.xml" ContentType="application/vnd.openxmlformats-officedocument.drawing+xml"/>
  <Override PartName="/xl/embeddings/oleObject29.bin" ContentType="application/vnd.openxmlformats-officedocument.oleObject"/>
  <Override PartName="/xl/drawings/drawing27.xml" ContentType="application/vnd.openxmlformats-officedocument.drawing+xml"/>
  <Override PartName="/xl/embeddings/oleObject30.bin" ContentType="application/vnd.openxmlformats-officedocument.oleObject"/>
  <Override PartName="/xl/drawings/drawing28.xml" ContentType="application/vnd.openxmlformats-officedocument.drawing+xml"/>
  <Override PartName="/xl/embeddings/oleObject31.bin" ContentType="application/vnd.openxmlformats-officedocument.oleObject"/>
  <Override PartName="/xl/drawings/drawing29.xml" ContentType="application/vnd.openxmlformats-officedocument.drawing+xml"/>
  <Override PartName="/xl/embeddings/oleObject32.bin" ContentType="application/vnd.openxmlformats-officedocument.oleObject"/>
  <Override PartName="/xl/drawings/drawing30.xml" ContentType="application/vnd.openxmlformats-officedocument.drawing+xml"/>
  <Override PartName="/xl/embeddings/oleObject33.bin" ContentType="application/vnd.openxmlformats-officedocument.oleObject"/>
  <Override PartName="/xl/drawings/drawing31.xml" ContentType="application/vnd.openxmlformats-officedocument.drawing+xml"/>
  <Override PartName="/xl/embeddings/oleObject34.bin" ContentType="application/vnd.openxmlformats-officedocument.oleObject"/>
  <Override PartName="/xl/drawings/drawing32.xml" ContentType="application/vnd.openxmlformats-officedocument.drawing+xml"/>
  <Override PartName="/xl/embeddings/oleObject35.bin" ContentType="application/vnd.openxmlformats-officedocument.oleObject"/>
  <Override PartName="/xl/drawings/drawing33.xml" ContentType="application/vnd.openxmlformats-officedocument.drawing+xml"/>
  <Override PartName="/xl/embeddings/oleObject36.bin" ContentType="application/vnd.openxmlformats-officedocument.oleObject"/>
  <Override PartName="/xl/drawings/drawing34.xml" ContentType="application/vnd.openxmlformats-officedocument.drawing+xml"/>
  <Override PartName="/xl/embeddings/oleObject37.bin" ContentType="application/vnd.openxmlformats-officedocument.oleObject"/>
  <Override PartName="/xl/drawings/drawing35.xml" ContentType="application/vnd.openxmlformats-officedocument.drawing+xml"/>
  <Override PartName="/xl/embeddings/oleObject38.bin" ContentType="application/vnd.openxmlformats-officedocument.oleObject"/>
  <Override PartName="/xl/drawings/drawing36.xml" ContentType="application/vnd.openxmlformats-officedocument.drawing+xml"/>
  <Override PartName="/xl/embeddings/oleObject39.bin" ContentType="application/vnd.openxmlformats-officedocument.oleObject"/>
  <Override PartName="/xl/drawings/drawing37.xml" ContentType="application/vnd.openxmlformats-officedocument.drawing+xml"/>
  <Override PartName="/xl/embeddings/oleObject40.bin" ContentType="application/vnd.openxmlformats-officedocument.oleObject"/>
  <Override PartName="/xl/drawings/drawing38.xml" ContentType="application/vnd.openxmlformats-officedocument.drawing+xml"/>
  <Override PartName="/xl/embeddings/oleObject41.bin" ContentType="application/vnd.openxmlformats-officedocument.oleObject"/>
  <Override PartName="/xl/drawings/drawing39.xml" ContentType="application/vnd.openxmlformats-officedocument.drawing+xml"/>
  <Override PartName="/xl/embeddings/oleObject42.bin" ContentType="application/vnd.openxmlformats-officedocument.oleObject"/>
  <Override PartName="/xl/drawings/drawing40.xml" ContentType="application/vnd.openxmlformats-officedocument.drawing+xml"/>
  <Override PartName="/xl/embeddings/oleObject43.bin" ContentType="application/vnd.openxmlformats-officedocument.oleObject"/>
  <Override PartName="/xl/drawings/drawing41.xml" ContentType="application/vnd.openxmlformats-officedocument.drawing+xml"/>
  <Override PartName="/xl/embeddings/oleObject44.bin" ContentType="application/vnd.openxmlformats-officedocument.oleObject"/>
  <Override PartName="/xl/drawings/drawing42.xml" ContentType="application/vnd.openxmlformats-officedocument.drawing+xml"/>
  <Override PartName="/xl/embeddings/oleObject45.bin" ContentType="application/vnd.openxmlformats-officedocument.oleObject"/>
  <Override PartName="/xl/drawings/drawing43.xml" ContentType="application/vnd.openxmlformats-officedocument.drawing+xml"/>
  <Override PartName="/xl/embeddings/oleObject46.bin" ContentType="application/vnd.openxmlformats-officedocument.oleObject"/>
  <Override PartName="/xl/drawings/drawing44.xml" ContentType="application/vnd.openxmlformats-officedocument.drawing+xml"/>
  <Override PartName="/xl/embeddings/oleObject47.bin" ContentType="application/vnd.openxmlformats-officedocument.oleObject"/>
  <Override PartName="/xl/drawings/drawing45.xml" ContentType="application/vnd.openxmlformats-officedocument.drawing+xml"/>
  <Override PartName="/xl/embeddings/oleObject48.bin" ContentType="application/vnd.openxmlformats-officedocument.oleObject"/>
  <Override PartName="/xl/drawings/drawing46.xml" ContentType="application/vnd.openxmlformats-officedocument.drawing+xml"/>
  <Override PartName="/xl/embeddings/oleObject49.bin" ContentType="application/vnd.openxmlformats-officedocument.oleObject"/>
  <Override PartName="/xl/drawings/drawing47.xml" ContentType="application/vnd.openxmlformats-officedocument.drawing+xml"/>
  <Override PartName="/xl/embeddings/oleObject50.bin" ContentType="application/vnd.openxmlformats-officedocument.oleObject"/>
  <Override PartName="/xl/drawings/drawing48.xml" ContentType="application/vnd.openxmlformats-officedocument.drawing+xml"/>
  <Override PartName="/xl/embeddings/oleObject51.bin" ContentType="application/vnd.openxmlformats-officedocument.oleObject"/>
  <Override PartName="/xl/drawings/drawing49.xml" ContentType="application/vnd.openxmlformats-officedocument.drawing+xml"/>
  <Override PartName="/xl/embeddings/oleObject52.bin" ContentType="application/vnd.openxmlformats-officedocument.oleObject"/>
  <Override PartName="/xl/drawings/drawing50.xml" ContentType="application/vnd.openxmlformats-officedocument.drawing+xml"/>
  <Override PartName="/xl/embeddings/oleObject53.bin" ContentType="application/vnd.openxmlformats-officedocument.oleObject"/>
  <Override PartName="/xl/drawings/drawing51.xml" ContentType="application/vnd.openxmlformats-officedocument.drawing+xml"/>
  <Override PartName="/xl/embeddings/oleObject54.bin" ContentType="application/vnd.openxmlformats-officedocument.oleObject"/>
  <Override PartName="/xl/drawings/drawing52.xml" ContentType="application/vnd.openxmlformats-officedocument.drawing+xml"/>
  <Override PartName="/xl/embeddings/oleObject55.bin" ContentType="application/vnd.openxmlformats-officedocument.oleObject"/>
  <Override PartName="/xl/drawings/drawing53.xml" ContentType="application/vnd.openxmlformats-officedocument.drawing+xml"/>
  <Override PartName="/xl/embeddings/oleObject56.bin" ContentType="application/vnd.openxmlformats-officedocument.oleObject"/>
  <Override PartName="/xl/drawings/drawing54.xml" ContentType="application/vnd.openxmlformats-officedocument.drawing+xml"/>
  <Override PartName="/xl/embeddings/oleObject57.bin" ContentType="application/vnd.openxmlformats-officedocument.oleObject"/>
  <Override PartName="/xl/drawings/drawing55.xml" ContentType="application/vnd.openxmlformats-officedocument.drawing+xml"/>
  <Override PartName="/xl/embeddings/oleObject58.bin" ContentType="application/vnd.openxmlformats-officedocument.oleObject"/>
  <Override PartName="/xl/drawings/drawing56.xml" ContentType="application/vnd.openxmlformats-officedocument.drawing+xml"/>
  <Override PartName="/xl/embeddings/oleObject59.bin" ContentType="application/vnd.openxmlformats-officedocument.oleObject"/>
  <Override PartName="/xl/drawings/drawing57.xml" ContentType="application/vnd.openxmlformats-officedocument.drawing+xml"/>
  <Override PartName="/xl/embeddings/oleObject60.bin" ContentType="application/vnd.openxmlformats-officedocument.oleObject"/>
  <Override PartName="/xl/drawings/drawing58.xml" ContentType="application/vnd.openxmlformats-officedocument.drawing+xml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drawings/drawing59.xml" ContentType="application/vnd.openxmlformats-officedocument.drawing+xml"/>
  <Override PartName="/xl/embeddings/oleObject63.bin" ContentType="application/vnd.openxmlformats-officedocument.oleObject"/>
  <Override PartName="/xl/drawings/drawing60.xml" ContentType="application/vnd.openxmlformats-officedocument.drawing+xml"/>
  <Override PartName="/xl/embeddings/oleObject64.bin" ContentType="application/vnd.openxmlformats-officedocument.oleObject"/>
  <Override PartName="/xl/drawings/drawing61.xml" ContentType="application/vnd.openxmlformats-officedocument.drawing+xml"/>
  <Override PartName="/xl/embeddings/oleObject65.bin" ContentType="application/vnd.openxmlformats-officedocument.oleObject"/>
  <Override PartName="/xl/drawings/drawing62.xml" ContentType="application/vnd.openxmlformats-officedocument.drawing+xml"/>
  <Override PartName="/xl/embeddings/oleObject66.bin" ContentType="application/vnd.openxmlformats-officedocument.oleObject"/>
  <Override PartName="/xl/drawings/drawing63.xml" ContentType="application/vnd.openxmlformats-officedocument.drawing+xml"/>
  <Override PartName="/xl/embeddings/oleObject6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eyeshu\OneDrive - everis\1 PROYECTOS\EXT-026137-00004 - PMRH MAULE\INFORMES\ETAPA FINAL\ETAPA 4\V2\ANEXOS\"/>
    </mc:Choice>
  </mc:AlternateContent>
  <bookViews>
    <workbookView xWindow="0" yWindow="0" windowWidth="20490" windowHeight="9045" tabRatio="816" firstSheet="2" activeTab="2"/>
  </bookViews>
  <sheets>
    <sheet name="IMPLEMENTACION" sheetId="62" r:id="rId1"/>
    <sheet name="PRESUPUESTO" sheetId="1" r:id="rId2"/>
    <sheet name="GANTT" sheetId="80" r:id="rId3"/>
    <sheet name="SL01" sheetId="2" r:id="rId4"/>
    <sheet name="SL02" sheetId="3" r:id="rId5"/>
    <sheet name="SL03" sheetId="5" r:id="rId6"/>
    <sheet name="SL04" sheetId="6" r:id="rId7"/>
    <sheet name="SL05" sheetId="7" r:id="rId8"/>
    <sheet name="SL06" sheetId="10" r:id="rId9"/>
    <sheet name="SL07" sheetId="11" r:id="rId10"/>
    <sheet name="SL08" sheetId="15" r:id="rId11"/>
    <sheet name="SL09" sheetId="14" r:id="rId12"/>
    <sheet name="SL10" sheetId="16" r:id="rId13"/>
    <sheet name="SL11" sheetId="17" r:id="rId14"/>
    <sheet name="SL12" sheetId="22" r:id="rId15"/>
    <sheet name="SL13" sheetId="25" r:id="rId16"/>
    <sheet name="SL14" sheetId="26" r:id="rId17"/>
    <sheet name="SL15" sheetId="28" r:id="rId18"/>
    <sheet name="SL16" sheetId="29" r:id="rId19"/>
    <sheet name="SL17" sheetId="33" r:id="rId20"/>
    <sheet name="SL18" sheetId="73" r:id="rId21"/>
    <sheet name="SL19" sheetId="34" r:id="rId22"/>
    <sheet name="SL20" sheetId="31" r:id="rId23"/>
    <sheet name="SL21" sheetId="35" r:id="rId24"/>
    <sheet name="SL22" sheetId="36" r:id="rId25"/>
    <sheet name="SL23" sheetId="37" r:id="rId26"/>
    <sheet name="SL24" sheetId="38" r:id="rId27"/>
    <sheet name="SL25" sheetId="30" r:id="rId28"/>
    <sheet name="SL26" sheetId="41" r:id="rId29"/>
    <sheet name="SL27" sheetId="40" r:id="rId30"/>
    <sheet name="SL28" sheetId="42" r:id="rId31"/>
    <sheet name="SL29" sheetId="44" r:id="rId32"/>
    <sheet name="SL30" sheetId="45" r:id="rId33"/>
    <sheet name="SL31" sheetId="46" r:id="rId34"/>
    <sheet name="SL32" sheetId="47" r:id="rId35"/>
    <sheet name="SL33" sheetId="49" r:id="rId36"/>
    <sheet name="SL34" sheetId="48" r:id="rId37"/>
    <sheet name="SL35" sheetId="43" r:id="rId38"/>
    <sheet name="SL36" sheetId="52" r:id="rId39"/>
    <sheet name="SL37" sheetId="50" r:id="rId40"/>
    <sheet name="SL38" sheetId="51" r:id="rId41"/>
    <sheet name="SL39" sheetId="74" r:id="rId42"/>
    <sheet name="SL40" sheetId="75" r:id="rId43"/>
    <sheet name="SL41" sheetId="53" r:id="rId44"/>
    <sheet name="SL42" sheetId="76" r:id="rId45"/>
    <sheet name="SL43" sheetId="77" r:id="rId46"/>
    <sheet name="SLI01" sheetId="57" r:id="rId47"/>
    <sheet name="SLI02" sheetId="55" r:id="rId48"/>
    <sheet name="SLI03" sheetId="79" r:id="rId49"/>
    <sheet name="SLI04" sheetId="54" r:id="rId50"/>
    <sheet name="SLI05" sheetId="8" r:id="rId51"/>
    <sheet name="SLI06" sheetId="9" r:id="rId52"/>
    <sheet name="SLI07" sheetId="56" r:id="rId53"/>
    <sheet name="SLI08" sheetId="12" r:id="rId54"/>
    <sheet name="SLI09" sheetId="59" r:id="rId55"/>
    <sheet name="SLI10" sheetId="63" r:id="rId56"/>
    <sheet name="SLI11" sheetId="18" r:id="rId57"/>
    <sheet name="SLI12" sheetId="66" r:id="rId58"/>
    <sheet name="SLI13" sheetId="68" r:id="rId59"/>
    <sheet name="SLI14" sheetId="67" r:id="rId60"/>
    <sheet name="SLI15" sheetId="70" r:id="rId61"/>
    <sheet name="SLI16" sheetId="71" r:id="rId62"/>
  </sheets>
  <externalReferences>
    <externalReference r:id="rId63"/>
  </externalReferences>
  <definedNames>
    <definedName name="_xlnm._FilterDatabase" localSheetId="1" hidden="1">PRESUPUESTO!$A$7:$Z$143</definedName>
    <definedName name="_xlnm.Print_Area" localSheetId="3">'SL01'!$A$1:$R$55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77" l="1"/>
  <c r="Q22" i="77"/>
  <c r="R22" i="77"/>
  <c r="P22" i="77"/>
  <c r="P12" i="77"/>
  <c r="O12" i="77"/>
  <c r="P24" i="53"/>
  <c r="Q12" i="53"/>
  <c r="P24" i="26"/>
  <c r="Q24" i="26" s="1"/>
  <c r="P23" i="41"/>
  <c r="P24" i="42"/>
  <c r="P23" i="48"/>
  <c r="P24" i="51"/>
  <c r="Q12" i="51"/>
  <c r="Q12" i="48"/>
  <c r="N12" i="47"/>
  <c r="Q12" i="42"/>
  <c r="Q12" i="41"/>
  <c r="Q15" i="30"/>
  <c r="O13" i="36"/>
  <c r="N13" i="36"/>
  <c r="N15" i="31"/>
  <c r="M15" i="31"/>
  <c r="Q12" i="31"/>
  <c r="Q12" i="26"/>
  <c r="O18" i="16"/>
  <c r="P18" i="16"/>
  <c r="Q17" i="16"/>
  <c r="P14" i="15"/>
  <c r="O14" i="15"/>
  <c r="Q15" i="15"/>
  <c r="Q13" i="6"/>
  <c r="Q14" i="6"/>
  <c r="I13" i="37" l="1"/>
  <c r="A72" i="80" l="1"/>
  <c r="F25" i="5"/>
  <c r="E19" i="14" l="1"/>
  <c r="P61" i="5"/>
  <c r="F23" i="5"/>
  <c r="Q61" i="5" l="1"/>
  <c r="M61" i="5" s="1"/>
  <c r="N61" i="5" s="1"/>
  <c r="D18" i="62"/>
  <c r="E18" i="62"/>
  <c r="F18" i="62"/>
  <c r="G18" i="62"/>
  <c r="H18" i="62"/>
  <c r="D19" i="62"/>
  <c r="E19" i="62"/>
  <c r="F19" i="62"/>
  <c r="G19" i="62"/>
  <c r="H19" i="62"/>
  <c r="E20" i="62"/>
  <c r="F20" i="62"/>
  <c r="G20" i="62"/>
  <c r="H20" i="62"/>
  <c r="E21" i="62"/>
  <c r="F21" i="62"/>
  <c r="G21" i="62"/>
  <c r="H21" i="62"/>
  <c r="E22" i="62"/>
  <c r="F22" i="62"/>
  <c r="G22" i="62"/>
  <c r="H22" i="62"/>
  <c r="D23" i="62"/>
  <c r="E23" i="62"/>
  <c r="F23" i="62"/>
  <c r="G23" i="62"/>
  <c r="H23" i="62"/>
  <c r="D24" i="62"/>
  <c r="F24" i="62"/>
  <c r="G24" i="62"/>
  <c r="H24" i="62"/>
  <c r="D25" i="62"/>
  <c r="E25" i="62"/>
  <c r="G25" i="62"/>
  <c r="H25" i="62"/>
  <c r="E26" i="62"/>
  <c r="F26" i="62"/>
  <c r="G26" i="62"/>
  <c r="H26" i="62"/>
  <c r="D27" i="62"/>
  <c r="E27" i="62"/>
  <c r="F27" i="62"/>
  <c r="H27" i="62"/>
  <c r="D28" i="62"/>
  <c r="E28" i="62"/>
  <c r="F28" i="62"/>
  <c r="G28" i="62"/>
  <c r="E29" i="62"/>
  <c r="F29" i="62"/>
  <c r="G29" i="62"/>
  <c r="C20" i="62"/>
  <c r="C21" i="62"/>
  <c r="C22" i="62"/>
  <c r="C24" i="62"/>
  <c r="C25" i="62"/>
  <c r="C26" i="62"/>
  <c r="C27" i="62"/>
  <c r="C28" i="62"/>
  <c r="C29" i="62"/>
  <c r="E45" i="62"/>
  <c r="F45" i="62"/>
  <c r="G45" i="62"/>
  <c r="H45" i="62"/>
  <c r="E46" i="62"/>
  <c r="F46" i="62"/>
  <c r="G46" i="62"/>
  <c r="D47" i="62"/>
  <c r="E47" i="62"/>
  <c r="F47" i="62"/>
  <c r="D48" i="62"/>
  <c r="E48" i="62"/>
  <c r="F48" i="62"/>
  <c r="G48" i="62"/>
  <c r="H48" i="62"/>
  <c r="D49" i="62"/>
  <c r="E49" i="62"/>
  <c r="F49" i="62"/>
  <c r="G49" i="62"/>
  <c r="H49" i="62"/>
  <c r="C50" i="62"/>
  <c r="D50" i="62"/>
  <c r="F50" i="62"/>
  <c r="G50" i="62"/>
  <c r="H50" i="62"/>
  <c r="C51" i="62"/>
  <c r="D51" i="62"/>
  <c r="E51" i="62"/>
  <c r="G51" i="62"/>
  <c r="H51" i="62"/>
  <c r="C52" i="62"/>
  <c r="D52" i="62"/>
  <c r="E52" i="62"/>
  <c r="F52" i="62"/>
  <c r="H52" i="62"/>
  <c r="D53" i="62"/>
  <c r="E53" i="62"/>
  <c r="F53" i="62"/>
  <c r="G53" i="62"/>
  <c r="H53" i="62"/>
  <c r="D54" i="62"/>
  <c r="E54" i="62"/>
  <c r="F54" i="62"/>
  <c r="G54" i="62"/>
  <c r="H54" i="62"/>
  <c r="D44" i="62"/>
  <c r="E44" i="62"/>
  <c r="F44" i="62"/>
  <c r="G44" i="62"/>
  <c r="H44" i="62"/>
  <c r="M12" i="62"/>
  <c r="K146" i="80"/>
  <c r="L146" i="80"/>
  <c r="M146" i="80"/>
  <c r="O146" i="80"/>
  <c r="P146" i="80"/>
  <c r="Q146" i="80"/>
  <c r="J146" i="80"/>
  <c r="P27" i="53"/>
  <c r="Q15" i="53"/>
  <c r="P25" i="53"/>
  <c r="Q13" i="53"/>
  <c r="Q24" i="74"/>
  <c r="P24" i="74"/>
  <c r="Q12" i="74"/>
  <c r="Q24" i="43"/>
  <c r="P24" i="43"/>
  <c r="Q12" i="43"/>
  <c r="P24" i="47"/>
  <c r="Q24" i="47" s="1"/>
  <c r="Q13" i="46"/>
  <c r="Q14" i="30"/>
  <c r="Q13" i="30"/>
  <c r="Q14" i="37"/>
  <c r="Q14" i="31"/>
  <c r="Q13" i="31"/>
  <c r="Q25" i="29"/>
  <c r="P25" i="29"/>
  <c r="Q13" i="29"/>
  <c r="P25" i="22"/>
  <c r="Q13" i="22"/>
  <c r="P27" i="2"/>
  <c r="P26" i="2"/>
  <c r="P25" i="2"/>
  <c r="P24" i="2"/>
  <c r="Q16" i="2"/>
  <c r="Q15" i="2"/>
  <c r="Q14" i="2"/>
  <c r="Q13" i="2"/>
  <c r="Q12" i="2"/>
  <c r="Q142" i="1" l="1"/>
  <c r="Q141" i="1"/>
  <c r="M22" i="71"/>
  <c r="P22" i="71"/>
  <c r="I23" i="71"/>
  <c r="N22" i="71"/>
  <c r="T140" i="1"/>
  <c r="K140" i="80" s="1"/>
  <c r="U140" i="1"/>
  <c r="L140" i="80" s="1"/>
  <c r="V140" i="1"/>
  <c r="M140" i="80" s="1"/>
  <c r="W140" i="1"/>
  <c r="N140" i="80" s="1"/>
  <c r="X140" i="1"/>
  <c r="O140" i="80" s="1"/>
  <c r="Y140" i="1"/>
  <c r="P140" i="80" s="1"/>
  <c r="Z140" i="1"/>
  <c r="Q140" i="80" s="1"/>
  <c r="S140" i="1"/>
  <c r="J140" i="80" s="1"/>
  <c r="Q140" i="1"/>
  <c r="M22" i="70"/>
  <c r="N22" i="70" s="1"/>
  <c r="I22" i="70"/>
  <c r="I12" i="70"/>
  <c r="Q139" i="1"/>
  <c r="M24" i="67"/>
  <c r="N24" i="67" s="1"/>
  <c r="I24" i="67"/>
  <c r="Q138" i="1"/>
  <c r="Q137" i="1"/>
  <c r="M22" i="68"/>
  <c r="N22" i="68" s="1"/>
  <c r="I22" i="68"/>
  <c r="G17" i="68"/>
  <c r="G16" i="68"/>
  <c r="G15" i="68"/>
  <c r="L14" i="68" s="1"/>
  <c r="G14" i="68"/>
  <c r="L13" i="68" s="1"/>
  <c r="G13" i="68"/>
  <c r="L12" i="68"/>
  <c r="I12" i="68"/>
  <c r="M22" i="66"/>
  <c r="N22" i="66" s="1"/>
  <c r="I22" i="66"/>
  <c r="I12" i="66"/>
  <c r="Q136" i="1"/>
  <c r="Q135" i="1"/>
  <c r="M22" i="18"/>
  <c r="N22" i="18" s="1"/>
  <c r="I22" i="18"/>
  <c r="I12" i="18"/>
  <c r="L12" i="63"/>
  <c r="G14" i="63"/>
  <c r="G15" i="63"/>
  <c r="G16" i="63"/>
  <c r="G17" i="63"/>
  <c r="G18" i="63"/>
  <c r="I23" i="63"/>
  <c r="Q134" i="1"/>
  <c r="M22" i="59"/>
  <c r="N22" i="59" s="1"/>
  <c r="I22" i="59"/>
  <c r="Q133" i="1"/>
  <c r="M22" i="12"/>
  <c r="N22" i="12" s="1"/>
  <c r="I22" i="12"/>
  <c r="G18" i="12"/>
  <c r="Q132" i="1"/>
  <c r="M22" i="56"/>
  <c r="N22" i="56" s="1"/>
  <c r="I22" i="56"/>
  <c r="I12" i="56"/>
  <c r="Q131" i="1"/>
  <c r="I22" i="9"/>
  <c r="Q130" i="1"/>
  <c r="M24" i="8"/>
  <c r="N24" i="8" s="1"/>
  <c r="L16" i="8"/>
  <c r="L15" i="8"/>
  <c r="L14" i="8"/>
  <c r="N12" i="8"/>
  <c r="O12" i="8" s="1"/>
  <c r="P12" i="8" s="1"/>
  <c r="N13" i="8"/>
  <c r="O13" i="8"/>
  <c r="P13" i="8" s="1"/>
  <c r="M13" i="8"/>
  <c r="M14" i="8"/>
  <c r="N14" i="8" s="1"/>
  <c r="O14" i="8" s="1"/>
  <c r="P14" i="8" s="1"/>
  <c r="M15" i="8"/>
  <c r="N15" i="8" s="1"/>
  <c r="O15" i="8" s="1"/>
  <c r="P15" i="8" s="1"/>
  <c r="M16" i="8"/>
  <c r="N16" i="8" s="1"/>
  <c r="O16" i="8" s="1"/>
  <c r="P16" i="8" s="1"/>
  <c r="L13" i="8"/>
  <c r="M12" i="8"/>
  <c r="L12" i="8"/>
  <c r="I24" i="8"/>
  <c r="F22" i="8"/>
  <c r="G22" i="8" s="1"/>
  <c r="G28" i="8" s="1"/>
  <c r="F23" i="8"/>
  <c r="G23" i="8"/>
  <c r="F24" i="8"/>
  <c r="G24" i="8"/>
  <c r="G25" i="8"/>
  <c r="G26" i="8"/>
  <c r="G27" i="8"/>
  <c r="G30" i="8"/>
  <c r="G32" i="8"/>
  <c r="G33" i="8"/>
  <c r="G38" i="8" s="1"/>
  <c r="G34" i="8"/>
  <c r="G35" i="8"/>
  <c r="G36" i="8"/>
  <c r="G37" i="8"/>
  <c r="G40" i="8"/>
  <c r="G42" i="8"/>
  <c r="G43" i="8"/>
  <c r="G48" i="8" s="1"/>
  <c r="G44" i="8"/>
  <c r="G45" i="8"/>
  <c r="G46" i="8"/>
  <c r="G47" i="8"/>
  <c r="G52" i="8"/>
  <c r="G58" i="8" s="1"/>
  <c r="G53" i="8"/>
  <c r="G54" i="8"/>
  <c r="G55" i="8"/>
  <c r="G56" i="8"/>
  <c r="G57" i="8"/>
  <c r="Q129" i="1"/>
  <c r="Q128" i="1"/>
  <c r="Q127" i="1"/>
  <c r="M22" i="54"/>
  <c r="N22" i="54" s="1"/>
  <c r="I22" i="54"/>
  <c r="L12" i="54"/>
  <c r="I12" i="79"/>
  <c r="M22" i="79"/>
  <c r="N22" i="79" s="1"/>
  <c r="I22" i="79"/>
  <c r="I12" i="55"/>
  <c r="P22" i="55"/>
  <c r="M22" i="55"/>
  <c r="N22" i="55" s="1"/>
  <c r="I22" i="55"/>
  <c r="Q126" i="1"/>
  <c r="N22" i="57"/>
  <c r="M22" i="57"/>
  <c r="I22" i="57"/>
  <c r="G17" i="77"/>
  <c r="F16" i="77"/>
  <c r="G16" i="77" s="1"/>
  <c r="E16" i="77"/>
  <c r="F15" i="77"/>
  <c r="G15" i="77" s="1"/>
  <c r="E15" i="77"/>
  <c r="G14" i="77"/>
  <c r="F14" i="77"/>
  <c r="E14" i="77"/>
  <c r="F13" i="77"/>
  <c r="G13" i="77" s="1"/>
  <c r="E13" i="77"/>
  <c r="M22" i="77"/>
  <c r="I22" i="77"/>
  <c r="Q124" i="1"/>
  <c r="M22" i="76"/>
  <c r="N22" i="76" s="1"/>
  <c r="I12" i="76"/>
  <c r="I22" i="76" s="1"/>
  <c r="G17" i="76"/>
  <c r="F16" i="76"/>
  <c r="E16" i="76"/>
  <c r="F15" i="76"/>
  <c r="E15" i="76"/>
  <c r="F14" i="76"/>
  <c r="E14" i="76"/>
  <c r="F13" i="76"/>
  <c r="G13" i="76" s="1"/>
  <c r="E13" i="76"/>
  <c r="Q125" i="1" l="1"/>
  <c r="G18" i="68"/>
  <c r="M13" i="68"/>
  <c r="Q12" i="68"/>
  <c r="M14" i="68"/>
  <c r="N14" i="68" s="1"/>
  <c r="O14" i="68" s="1"/>
  <c r="P14" i="68" s="1"/>
  <c r="Q14" i="68" s="1"/>
  <c r="R14" i="68" s="1"/>
  <c r="S14" i="68" s="1"/>
  <c r="L18" i="68"/>
  <c r="G15" i="76"/>
  <c r="G14" i="76"/>
  <c r="G16" i="76"/>
  <c r="M18" i="68" l="1"/>
  <c r="N13" i="68"/>
  <c r="R12" i="68"/>
  <c r="K14" i="68"/>
  <c r="S12" i="68" l="1"/>
  <c r="N18" i="68"/>
  <c r="O13" i="68"/>
  <c r="K12" i="68"/>
  <c r="P13" i="68" l="1"/>
  <c r="O18" i="68"/>
  <c r="Q122" i="1"/>
  <c r="M26" i="53"/>
  <c r="N26" i="53"/>
  <c r="Q25" i="53"/>
  <c r="M25" i="53" s="1"/>
  <c r="Q26" i="53"/>
  <c r="Q27" i="53"/>
  <c r="M27" i="53" s="1"/>
  <c r="P26" i="53"/>
  <c r="Q24" i="53"/>
  <c r="M24" i="53" s="1"/>
  <c r="I25" i="53"/>
  <c r="I26" i="53"/>
  <c r="I27" i="53"/>
  <c r="I15" i="53"/>
  <c r="I14" i="53"/>
  <c r="I13" i="53"/>
  <c r="I12" i="53"/>
  <c r="E22" i="53"/>
  <c r="G44" i="53"/>
  <c r="F43" i="53"/>
  <c r="E43" i="53"/>
  <c r="F42" i="53"/>
  <c r="E42" i="53"/>
  <c r="F41" i="53"/>
  <c r="E41" i="53"/>
  <c r="F40" i="53"/>
  <c r="E40" i="53"/>
  <c r="G35" i="53"/>
  <c r="F34" i="53"/>
  <c r="E34" i="53"/>
  <c r="F33" i="53"/>
  <c r="G33" i="53" s="1"/>
  <c r="E33" i="53"/>
  <c r="F32" i="53"/>
  <c r="E32" i="53"/>
  <c r="F31" i="53"/>
  <c r="G31" i="53" s="1"/>
  <c r="E31" i="53"/>
  <c r="G26" i="53"/>
  <c r="F25" i="53"/>
  <c r="E25" i="53"/>
  <c r="F24" i="53"/>
  <c r="E24" i="53"/>
  <c r="F23" i="53"/>
  <c r="E23" i="53"/>
  <c r="F22" i="53"/>
  <c r="F16" i="53"/>
  <c r="E16" i="53"/>
  <c r="E15" i="53"/>
  <c r="F14" i="53"/>
  <c r="E14" i="53"/>
  <c r="F15" i="53"/>
  <c r="F13" i="53"/>
  <c r="E13" i="53"/>
  <c r="Q119" i="1"/>
  <c r="I12" i="74"/>
  <c r="I24" i="74" s="1"/>
  <c r="Q24" i="75"/>
  <c r="P24" i="75"/>
  <c r="M24" i="75"/>
  <c r="N24" i="75" s="1"/>
  <c r="I24" i="75"/>
  <c r="I12" i="75"/>
  <c r="M24" i="74"/>
  <c r="Q24" i="51"/>
  <c r="M24" i="51"/>
  <c r="N24" i="51" s="1"/>
  <c r="I24" i="51"/>
  <c r="I12" i="51"/>
  <c r="Q116" i="1"/>
  <c r="I24" i="50"/>
  <c r="I12" i="50"/>
  <c r="Q24" i="50"/>
  <c r="P24" i="50"/>
  <c r="M24" i="50"/>
  <c r="N24" i="50" s="1"/>
  <c r="Q115" i="1"/>
  <c r="Q24" i="52"/>
  <c r="P24" i="52"/>
  <c r="M24" i="52"/>
  <c r="N24" i="52" s="1"/>
  <c r="I24" i="52"/>
  <c r="M12" i="52"/>
  <c r="I12" i="52"/>
  <c r="M24" i="43"/>
  <c r="N24" i="43" s="1"/>
  <c r="I24" i="43"/>
  <c r="Q112" i="1"/>
  <c r="I23" i="48"/>
  <c r="M23" i="48"/>
  <c r="N23" i="48" s="1"/>
  <c r="I12" i="48"/>
  <c r="E14" i="48"/>
  <c r="E15" i="48"/>
  <c r="E16" i="48"/>
  <c r="F16" i="48"/>
  <c r="F14" i="48"/>
  <c r="F15" i="48"/>
  <c r="F13" i="48"/>
  <c r="E13" i="48"/>
  <c r="L12" i="49"/>
  <c r="K12" i="49"/>
  <c r="I12" i="49"/>
  <c r="I24" i="49" s="1"/>
  <c r="Q24" i="49"/>
  <c r="P24" i="49"/>
  <c r="M24" i="49"/>
  <c r="N24" i="49" s="1"/>
  <c r="M24" i="47"/>
  <c r="N24" i="47" s="1"/>
  <c r="I24" i="47"/>
  <c r="F15" i="47"/>
  <c r="G15" i="47"/>
  <c r="F16" i="47"/>
  <c r="G16" i="47"/>
  <c r="F17" i="47"/>
  <c r="G17" i="47"/>
  <c r="F13" i="47"/>
  <c r="I12" i="47"/>
  <c r="M25" i="46"/>
  <c r="I25" i="46"/>
  <c r="I13" i="46"/>
  <c r="G26" i="46"/>
  <c r="G25" i="46"/>
  <c r="G24" i="46"/>
  <c r="G23" i="46"/>
  <c r="G22" i="46"/>
  <c r="Q109" i="1"/>
  <c r="Q24" i="45"/>
  <c r="N12" i="45"/>
  <c r="M12" i="45"/>
  <c r="P24" i="45" s="1"/>
  <c r="M24" i="45" s="1"/>
  <c r="N24" i="45" s="1"/>
  <c r="I12" i="45"/>
  <c r="I24" i="45" s="1"/>
  <c r="E15" i="45"/>
  <c r="E14" i="45"/>
  <c r="E16" i="45"/>
  <c r="E13" i="45"/>
  <c r="G17" i="45"/>
  <c r="F16" i="45"/>
  <c r="G16" i="45" s="1"/>
  <c r="F15" i="45"/>
  <c r="F14" i="45"/>
  <c r="G13" i="45"/>
  <c r="F13" i="45"/>
  <c r="Q108" i="1"/>
  <c r="Q24" i="44"/>
  <c r="P24" i="44"/>
  <c r="M24" i="44"/>
  <c r="N24" i="44" s="1"/>
  <c r="I24" i="44"/>
  <c r="M12" i="44"/>
  <c r="I12" i="44"/>
  <c r="G17" i="44"/>
  <c r="G16" i="44"/>
  <c r="F16" i="44"/>
  <c r="E16" i="44"/>
  <c r="F15" i="44"/>
  <c r="E15" i="44"/>
  <c r="F14" i="44"/>
  <c r="E14" i="44"/>
  <c r="F13" i="44"/>
  <c r="E13" i="44"/>
  <c r="M24" i="42"/>
  <c r="Q24" i="42"/>
  <c r="I24" i="42"/>
  <c r="I12" i="42"/>
  <c r="G17" i="42"/>
  <c r="E16" i="42"/>
  <c r="E15" i="42"/>
  <c r="F14" i="42"/>
  <c r="F16" i="42"/>
  <c r="F15" i="42"/>
  <c r="E14" i="42"/>
  <c r="F13" i="42"/>
  <c r="E13" i="42"/>
  <c r="Q106" i="1"/>
  <c r="I24" i="40"/>
  <c r="I12" i="40"/>
  <c r="Q24" i="40"/>
  <c r="P24" i="40"/>
  <c r="N24" i="40"/>
  <c r="I12" i="29"/>
  <c r="I14" i="10"/>
  <c r="I15" i="10"/>
  <c r="I13" i="10"/>
  <c r="I23" i="41"/>
  <c r="N24" i="53" l="1"/>
  <c r="Q120" i="1"/>
  <c r="Q117" i="1"/>
  <c r="Q113" i="1"/>
  <c r="Q107" i="1"/>
  <c r="N24" i="42"/>
  <c r="Q123" i="1"/>
  <c r="N27" i="53"/>
  <c r="N25" i="53"/>
  <c r="Q121" i="1"/>
  <c r="N24" i="74"/>
  <c r="Q118" i="1"/>
  <c r="Q114" i="1"/>
  <c r="Q111" i="1"/>
  <c r="N25" i="46"/>
  <c r="Q110" i="1"/>
  <c r="M23" i="41"/>
  <c r="Q13" i="68"/>
  <c r="P18" i="68"/>
  <c r="G23" i="53"/>
  <c r="G34" i="53"/>
  <c r="G22" i="53"/>
  <c r="G41" i="53"/>
  <c r="G43" i="53"/>
  <c r="G25" i="53"/>
  <c r="G32" i="53"/>
  <c r="G40" i="53"/>
  <c r="G42" i="53"/>
  <c r="G24" i="53"/>
  <c r="G27" i="46"/>
  <c r="G28" i="46" s="1"/>
  <c r="G15" i="45"/>
  <c r="G14" i="45"/>
  <c r="F18" i="45" s="1"/>
  <c r="G18" i="45" s="1"/>
  <c r="G13" i="44"/>
  <c r="G15" i="44"/>
  <c r="G14" i="44"/>
  <c r="I12" i="41"/>
  <c r="Q102" i="1"/>
  <c r="Q103" i="1"/>
  <c r="Q104" i="1"/>
  <c r="Q101" i="1"/>
  <c r="I25" i="30"/>
  <c r="I26" i="30"/>
  <c r="I27" i="30"/>
  <c r="I24" i="30"/>
  <c r="M27" i="30"/>
  <c r="N27" i="30" s="1"/>
  <c r="M26" i="30"/>
  <c r="N26" i="30" s="1"/>
  <c r="M25" i="30"/>
  <c r="N25" i="30" s="1"/>
  <c r="M24" i="30"/>
  <c r="N24" i="30" s="1"/>
  <c r="Q97" i="1"/>
  <c r="Q98" i="1"/>
  <c r="Q99" i="1"/>
  <c r="Q100" i="1"/>
  <c r="Q96" i="1"/>
  <c r="I17" i="38"/>
  <c r="I28" i="38" s="1"/>
  <c r="Q25" i="38"/>
  <c r="Q26" i="38"/>
  <c r="Q27" i="38"/>
  <c r="M27" i="38" s="1"/>
  <c r="N27" i="38" s="1"/>
  <c r="Q28" i="38"/>
  <c r="M28" i="38" s="1"/>
  <c r="N28" i="38" s="1"/>
  <c r="P28" i="38"/>
  <c r="P27" i="38"/>
  <c r="P26" i="38"/>
  <c r="P25" i="38"/>
  <c r="Q24" i="38"/>
  <c r="P24" i="38"/>
  <c r="M26" i="38"/>
  <c r="N26" i="38" s="1"/>
  <c r="M25" i="38"/>
  <c r="N25" i="38" s="1"/>
  <c r="M24" i="38"/>
  <c r="N24" i="38" s="1"/>
  <c r="P95" i="1"/>
  <c r="P94" i="1"/>
  <c r="F13" i="37"/>
  <c r="I25" i="37"/>
  <c r="I24" i="37"/>
  <c r="P93" i="1"/>
  <c r="P92" i="1"/>
  <c r="I25" i="36"/>
  <c r="T92" i="1"/>
  <c r="K92" i="80" s="1"/>
  <c r="U92" i="1"/>
  <c r="L92" i="80" s="1"/>
  <c r="V92" i="1"/>
  <c r="M92" i="80" s="1"/>
  <c r="W92" i="1"/>
  <c r="N92" i="80" s="1"/>
  <c r="X92" i="1"/>
  <c r="O92" i="80" s="1"/>
  <c r="Y92" i="1"/>
  <c r="P92" i="80" s="1"/>
  <c r="Z92" i="1"/>
  <c r="Q92" i="80" s="1"/>
  <c r="T93" i="1"/>
  <c r="K93" i="80" s="1"/>
  <c r="U93" i="1"/>
  <c r="L93" i="80" s="1"/>
  <c r="V93" i="1"/>
  <c r="M93" i="80" s="1"/>
  <c r="W93" i="1"/>
  <c r="N93" i="80" s="1"/>
  <c r="S93" i="1"/>
  <c r="J93" i="80" s="1"/>
  <c r="I13" i="36"/>
  <c r="F23" i="36"/>
  <c r="N28" i="35"/>
  <c r="N27" i="35"/>
  <c r="N26" i="35"/>
  <c r="N25" i="35"/>
  <c r="N24" i="35"/>
  <c r="Q88" i="1"/>
  <c r="Q89" i="1"/>
  <c r="Q90" i="1"/>
  <c r="Q91" i="1"/>
  <c r="Q87" i="1"/>
  <c r="M28" i="35"/>
  <c r="P25" i="35"/>
  <c r="P26" i="35"/>
  <c r="M26" i="35" s="1"/>
  <c r="P27" i="35"/>
  <c r="P28" i="35"/>
  <c r="P24" i="35"/>
  <c r="M27" i="35"/>
  <c r="M25" i="35"/>
  <c r="M24" i="35"/>
  <c r="Q85" i="1"/>
  <c r="Q86" i="1"/>
  <c r="Q83" i="1"/>
  <c r="P82" i="1"/>
  <c r="I24" i="34"/>
  <c r="P81" i="1"/>
  <c r="Q105" i="1" l="1"/>
  <c r="N23" i="41"/>
  <c r="R13" i="68"/>
  <c r="Q18" i="68"/>
  <c r="G19" i="45"/>
  <c r="F18" i="44"/>
  <c r="G18" i="44" s="1"/>
  <c r="G19" i="44" s="1"/>
  <c r="T73" i="1"/>
  <c r="K73" i="80" s="1"/>
  <c r="U73" i="1"/>
  <c r="L73" i="80" s="1"/>
  <c r="V73" i="1"/>
  <c r="M73" i="80" s="1"/>
  <c r="W73" i="1"/>
  <c r="N73" i="80" s="1"/>
  <c r="X73" i="1"/>
  <c r="O73" i="80" s="1"/>
  <c r="Y73" i="1"/>
  <c r="P73" i="80" s="1"/>
  <c r="Z73" i="1"/>
  <c r="Q73" i="80" s="1"/>
  <c r="V74" i="1"/>
  <c r="M74" i="80" s="1"/>
  <c r="W74" i="1"/>
  <c r="N74" i="80" s="1"/>
  <c r="X74" i="1"/>
  <c r="O74" i="80" s="1"/>
  <c r="Y74" i="1"/>
  <c r="P74" i="80" s="1"/>
  <c r="Z74" i="1"/>
  <c r="Q74" i="80" s="1"/>
  <c r="V75" i="1"/>
  <c r="M75" i="80" s="1"/>
  <c r="W75" i="1"/>
  <c r="N75" i="80" s="1"/>
  <c r="X75" i="1"/>
  <c r="O75" i="80" s="1"/>
  <c r="Y75" i="1"/>
  <c r="P75" i="80" s="1"/>
  <c r="Z75" i="1"/>
  <c r="Q75" i="80" s="1"/>
  <c r="T76" i="1"/>
  <c r="K76" i="80" s="1"/>
  <c r="U76" i="1"/>
  <c r="L76" i="80" s="1"/>
  <c r="V76" i="1"/>
  <c r="M76" i="80" s="1"/>
  <c r="W76" i="1"/>
  <c r="N76" i="80" s="1"/>
  <c r="X76" i="1"/>
  <c r="O76" i="80" s="1"/>
  <c r="Y76" i="1"/>
  <c r="P76" i="80" s="1"/>
  <c r="Z76" i="1"/>
  <c r="Q76" i="80" s="1"/>
  <c r="T77" i="1"/>
  <c r="K77" i="80" s="1"/>
  <c r="U77" i="1"/>
  <c r="L77" i="80" s="1"/>
  <c r="V77" i="1"/>
  <c r="M77" i="80" s="1"/>
  <c r="W77" i="1"/>
  <c r="N77" i="80" s="1"/>
  <c r="X77" i="1"/>
  <c r="O77" i="80" s="1"/>
  <c r="Y77" i="1"/>
  <c r="P77" i="80" s="1"/>
  <c r="Z77" i="1"/>
  <c r="Q77" i="80" s="1"/>
  <c r="U78" i="1"/>
  <c r="L78" i="80" s="1"/>
  <c r="V78" i="1"/>
  <c r="M78" i="80" s="1"/>
  <c r="W78" i="1"/>
  <c r="N78" i="80" s="1"/>
  <c r="X78" i="1"/>
  <c r="O78" i="80" s="1"/>
  <c r="Y78" i="1"/>
  <c r="P78" i="80" s="1"/>
  <c r="Z78" i="1"/>
  <c r="Q78" i="80" s="1"/>
  <c r="V79" i="1"/>
  <c r="M79" i="80" s="1"/>
  <c r="W79" i="1"/>
  <c r="N79" i="80" s="1"/>
  <c r="X79" i="1"/>
  <c r="O79" i="80" s="1"/>
  <c r="Y79" i="1"/>
  <c r="P79" i="80" s="1"/>
  <c r="Z79" i="1"/>
  <c r="Q79" i="80" s="1"/>
  <c r="V80" i="1"/>
  <c r="M80" i="80" s="1"/>
  <c r="W80" i="1"/>
  <c r="N80" i="80" s="1"/>
  <c r="X80" i="1"/>
  <c r="O80" i="80" s="1"/>
  <c r="Y80" i="1"/>
  <c r="P80" i="80" s="1"/>
  <c r="Z80" i="1"/>
  <c r="Q80" i="80" s="1"/>
  <c r="S74" i="1"/>
  <c r="J74" i="80" s="1"/>
  <c r="S75" i="1"/>
  <c r="J75" i="80" s="1"/>
  <c r="S79" i="1"/>
  <c r="J79" i="80" s="1"/>
  <c r="S80" i="1"/>
  <c r="J80" i="80" s="1"/>
  <c r="Q71" i="1"/>
  <c r="F23" i="29"/>
  <c r="F22" i="29"/>
  <c r="I13" i="29"/>
  <c r="P70" i="1"/>
  <c r="N24" i="28"/>
  <c r="I24" i="28"/>
  <c r="Q67" i="1"/>
  <c r="L12" i="22"/>
  <c r="P65" i="1"/>
  <c r="M25" i="22"/>
  <c r="N25" i="22" s="1"/>
  <c r="I24" i="22"/>
  <c r="Q62" i="1"/>
  <c r="Q63" i="1"/>
  <c r="Q64" i="1"/>
  <c r="Q61" i="1"/>
  <c r="F14" i="17"/>
  <c r="F15" i="17"/>
  <c r="F16" i="17"/>
  <c r="F13" i="17"/>
  <c r="G16" i="16"/>
  <c r="G15" i="16"/>
  <c r="G14" i="16"/>
  <c r="G13" i="16"/>
  <c r="G17" i="16" s="1"/>
  <c r="Q59" i="1"/>
  <c r="Q54" i="1"/>
  <c r="M28" i="16"/>
  <c r="N28" i="16"/>
  <c r="I25" i="16"/>
  <c r="I26" i="16"/>
  <c r="I27" i="16"/>
  <c r="I28" i="16"/>
  <c r="I24" i="16"/>
  <c r="Q51" i="1"/>
  <c r="Q52" i="1"/>
  <c r="Q53" i="1"/>
  <c r="Q50" i="1"/>
  <c r="Q49" i="1"/>
  <c r="Q46" i="1"/>
  <c r="Q47" i="1"/>
  <c r="Q48" i="1"/>
  <c r="Q45" i="1"/>
  <c r="L54" i="5"/>
  <c r="L55" i="5" s="1"/>
  <c r="L56" i="5" s="1"/>
  <c r="P33" i="1"/>
  <c r="Q66" i="1" l="1"/>
  <c r="S13" i="68"/>
  <c r="R18" i="68"/>
  <c r="P41" i="1"/>
  <c r="P42" i="1"/>
  <c r="P43" i="1"/>
  <c r="P44" i="1"/>
  <c r="P40" i="1"/>
  <c r="L27" i="7"/>
  <c r="L26" i="7"/>
  <c r="I24" i="7"/>
  <c r="I25" i="7"/>
  <c r="I26" i="7"/>
  <c r="I27" i="7"/>
  <c r="I23" i="7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4" i="1"/>
  <c r="P35" i="1"/>
  <c r="P36" i="1"/>
  <c r="P37" i="1"/>
  <c r="P18" i="1"/>
  <c r="P39" i="1"/>
  <c r="P38" i="1"/>
  <c r="I25" i="6"/>
  <c r="I24" i="6"/>
  <c r="Y93" i="1" l="1"/>
  <c r="P93" i="80" s="1"/>
  <c r="S18" i="68"/>
  <c r="K13" i="68"/>
  <c r="K18" i="68" s="1"/>
  <c r="Q25" i="2"/>
  <c r="Q26" i="2"/>
  <c r="Q27" i="2"/>
  <c r="Q28" i="2"/>
  <c r="Q24" i="2"/>
  <c r="P28" i="2"/>
  <c r="G24" i="6"/>
  <c r="G23" i="6"/>
  <c r="G22" i="6"/>
  <c r="G16" i="6"/>
  <c r="G15" i="6"/>
  <c r="G14" i="6"/>
  <c r="G13" i="6"/>
  <c r="P33" i="5"/>
  <c r="Z93" i="1" l="1"/>
  <c r="Q93" i="80" s="1"/>
  <c r="Q14" i="1"/>
  <c r="Q15" i="1"/>
  <c r="Q16" i="1"/>
  <c r="Q17" i="1"/>
  <c r="Q13" i="1"/>
  <c r="R20" i="8" l="1"/>
  <c r="S20" i="8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8" i="1"/>
  <c r="S32" i="5" l="1"/>
  <c r="A142" i="80" l="1"/>
  <c r="A141" i="80"/>
  <c r="A140" i="80"/>
  <c r="A139" i="80"/>
  <c r="A138" i="80"/>
  <c r="A137" i="80"/>
  <c r="A136" i="80"/>
  <c r="A135" i="80"/>
  <c r="A134" i="80"/>
  <c r="A133" i="80"/>
  <c r="A132" i="80"/>
  <c r="A131" i="80"/>
  <c r="A130" i="80"/>
  <c r="A129" i="80"/>
  <c r="A128" i="80"/>
  <c r="A127" i="80"/>
  <c r="A126" i="80"/>
  <c r="A125" i="80"/>
  <c r="A124" i="80"/>
  <c r="A123" i="80"/>
  <c r="A122" i="80"/>
  <c r="A121" i="80"/>
  <c r="A120" i="80"/>
  <c r="A119" i="80"/>
  <c r="A118" i="80"/>
  <c r="A117" i="80"/>
  <c r="A116" i="80"/>
  <c r="A115" i="80"/>
  <c r="A114" i="80"/>
  <c r="A113" i="80"/>
  <c r="A112" i="80"/>
  <c r="A111" i="80"/>
  <c r="A110" i="80"/>
  <c r="A109" i="80"/>
  <c r="A108" i="80"/>
  <c r="A107" i="80"/>
  <c r="A106" i="80"/>
  <c r="A105" i="80"/>
  <c r="A104" i="80"/>
  <c r="A103" i="80"/>
  <c r="A102" i="80"/>
  <c r="A101" i="80"/>
  <c r="A100" i="80"/>
  <c r="A99" i="80"/>
  <c r="A98" i="80"/>
  <c r="A97" i="80"/>
  <c r="A96" i="80"/>
  <c r="A95" i="80"/>
  <c r="A94" i="80"/>
  <c r="A93" i="80"/>
  <c r="A92" i="80"/>
  <c r="A91" i="80"/>
  <c r="A90" i="80"/>
  <c r="A89" i="80"/>
  <c r="A88" i="80"/>
  <c r="A87" i="80"/>
  <c r="A86" i="80"/>
  <c r="A85" i="80"/>
  <c r="A84" i="80"/>
  <c r="A83" i="80"/>
  <c r="A82" i="80"/>
  <c r="A81" i="80"/>
  <c r="A80" i="80"/>
  <c r="A79" i="80"/>
  <c r="A78" i="80"/>
  <c r="A77" i="80"/>
  <c r="A76" i="80"/>
  <c r="A75" i="80"/>
  <c r="A74" i="80"/>
  <c r="A73" i="80"/>
  <c r="A71" i="80"/>
  <c r="A70" i="80"/>
  <c r="A69" i="80"/>
  <c r="A68" i="80"/>
  <c r="A67" i="80"/>
  <c r="A66" i="80"/>
  <c r="A65" i="80"/>
  <c r="A64" i="80"/>
  <c r="A63" i="80"/>
  <c r="A62" i="80"/>
  <c r="A61" i="80"/>
  <c r="A60" i="80"/>
  <c r="A59" i="80"/>
  <c r="A58" i="80"/>
  <c r="A57" i="80"/>
  <c r="A56" i="80"/>
  <c r="A55" i="80"/>
  <c r="A54" i="80"/>
  <c r="A53" i="80"/>
  <c r="A52" i="80"/>
  <c r="A51" i="80"/>
  <c r="A50" i="80"/>
  <c r="A49" i="80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8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K9" i="62"/>
  <c r="L9" i="62"/>
  <c r="I10" i="62"/>
  <c r="J10" i="62"/>
  <c r="K10" i="62"/>
  <c r="J8" i="62"/>
  <c r="L8" i="62"/>
  <c r="I8" i="62"/>
  <c r="F9" i="62"/>
  <c r="G9" i="62"/>
  <c r="D10" i="62"/>
  <c r="E10" i="62"/>
  <c r="F10" i="62"/>
  <c r="E8" i="62"/>
  <c r="G8" i="62"/>
  <c r="D8" i="62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X38" i="1"/>
  <c r="O38" i="80" s="1"/>
  <c r="Y38" i="1"/>
  <c r="P38" i="80" s="1"/>
  <c r="Z38" i="1"/>
  <c r="Q38" i="80" s="1"/>
  <c r="X39" i="1"/>
  <c r="O39" i="80" s="1"/>
  <c r="Y39" i="1"/>
  <c r="P39" i="80" s="1"/>
  <c r="Z39" i="1"/>
  <c r="Q39" i="80" s="1"/>
  <c r="S39" i="1"/>
  <c r="J39" i="80" s="1"/>
  <c r="S38" i="1"/>
  <c r="J38" i="80" s="1"/>
  <c r="S19" i="1"/>
  <c r="J19" i="80" s="1"/>
  <c r="T19" i="1"/>
  <c r="K19" i="80" s="1"/>
  <c r="V19" i="1"/>
  <c r="M19" i="80" s="1"/>
  <c r="W19" i="1"/>
  <c r="N19" i="80" s="1"/>
  <c r="X19" i="1"/>
  <c r="O19" i="80" s="1"/>
  <c r="Y19" i="1"/>
  <c r="P19" i="80" s="1"/>
  <c r="Z19" i="1"/>
  <c r="Q19" i="80" s="1"/>
  <c r="T20" i="1"/>
  <c r="K20" i="80" s="1"/>
  <c r="U20" i="1"/>
  <c r="L20" i="80" s="1"/>
  <c r="V20" i="1"/>
  <c r="M20" i="80" s="1"/>
  <c r="W20" i="1"/>
  <c r="N20" i="80" s="1"/>
  <c r="X20" i="1"/>
  <c r="O20" i="80" s="1"/>
  <c r="Y20" i="1"/>
  <c r="P20" i="80" s="1"/>
  <c r="Z20" i="1"/>
  <c r="Q20" i="80" s="1"/>
  <c r="S21" i="1"/>
  <c r="J21" i="80" s="1"/>
  <c r="T21" i="1"/>
  <c r="K21" i="80" s="1"/>
  <c r="U21" i="1"/>
  <c r="L21" i="80" s="1"/>
  <c r="V21" i="1"/>
  <c r="M21" i="80" s="1"/>
  <c r="W21" i="1"/>
  <c r="N21" i="80" s="1"/>
  <c r="Y21" i="1"/>
  <c r="P21" i="80" s="1"/>
  <c r="Z21" i="1"/>
  <c r="Q21" i="80" s="1"/>
  <c r="S22" i="1"/>
  <c r="J22" i="80" s="1"/>
  <c r="T22" i="1"/>
  <c r="K22" i="80" s="1"/>
  <c r="U22" i="1"/>
  <c r="L22" i="80" s="1"/>
  <c r="V22" i="1"/>
  <c r="M22" i="80" s="1"/>
  <c r="W22" i="1"/>
  <c r="N22" i="80" s="1"/>
  <c r="Y22" i="1"/>
  <c r="P22" i="80" s="1"/>
  <c r="Z22" i="1"/>
  <c r="Q22" i="80" s="1"/>
  <c r="S23" i="1"/>
  <c r="J23" i="80" s="1"/>
  <c r="U23" i="1"/>
  <c r="L23" i="80" s="1"/>
  <c r="V23" i="1"/>
  <c r="M23" i="80" s="1"/>
  <c r="W23" i="1"/>
  <c r="N23" i="80" s="1"/>
  <c r="X23" i="1"/>
  <c r="O23" i="80" s="1"/>
  <c r="Y23" i="1"/>
  <c r="P23" i="80" s="1"/>
  <c r="Z23" i="1"/>
  <c r="Q23" i="80" s="1"/>
  <c r="S24" i="1"/>
  <c r="J24" i="80" s="1"/>
  <c r="T24" i="1"/>
  <c r="K24" i="80" s="1"/>
  <c r="V24" i="1"/>
  <c r="M24" i="80" s="1"/>
  <c r="W24" i="1"/>
  <c r="N24" i="80" s="1"/>
  <c r="X24" i="1"/>
  <c r="O24" i="80" s="1"/>
  <c r="Y24" i="1"/>
  <c r="P24" i="80" s="1"/>
  <c r="Z24" i="1"/>
  <c r="Q24" i="80" s="1"/>
  <c r="S25" i="1"/>
  <c r="J25" i="80" s="1"/>
  <c r="T25" i="1"/>
  <c r="K25" i="80" s="1"/>
  <c r="V25" i="1"/>
  <c r="M25" i="80" s="1"/>
  <c r="W25" i="1"/>
  <c r="N25" i="80" s="1"/>
  <c r="X25" i="1"/>
  <c r="O25" i="80" s="1"/>
  <c r="Y25" i="1"/>
  <c r="P25" i="80" s="1"/>
  <c r="Z25" i="1"/>
  <c r="Q25" i="80" s="1"/>
  <c r="S26" i="1"/>
  <c r="J26" i="80" s="1"/>
  <c r="U26" i="1"/>
  <c r="L26" i="80" s="1"/>
  <c r="V26" i="1"/>
  <c r="M26" i="80" s="1"/>
  <c r="W26" i="1"/>
  <c r="N26" i="80" s="1"/>
  <c r="X26" i="1"/>
  <c r="O26" i="80" s="1"/>
  <c r="Y26" i="1"/>
  <c r="P26" i="80" s="1"/>
  <c r="Z26" i="1"/>
  <c r="Q26" i="80" s="1"/>
  <c r="S27" i="1"/>
  <c r="J27" i="80" s="1"/>
  <c r="T27" i="1"/>
  <c r="K27" i="80" s="1"/>
  <c r="V27" i="1"/>
  <c r="M27" i="80" s="1"/>
  <c r="W27" i="1"/>
  <c r="N27" i="80" s="1"/>
  <c r="X27" i="1"/>
  <c r="O27" i="80" s="1"/>
  <c r="Y27" i="1"/>
  <c r="P27" i="80" s="1"/>
  <c r="Z27" i="1"/>
  <c r="Q27" i="80" s="1"/>
  <c r="S28" i="1"/>
  <c r="J28" i="80" s="1"/>
  <c r="U28" i="1"/>
  <c r="L28" i="80" s="1"/>
  <c r="V28" i="1"/>
  <c r="M28" i="80" s="1"/>
  <c r="W28" i="1"/>
  <c r="N28" i="80" s="1"/>
  <c r="X28" i="1"/>
  <c r="O28" i="80" s="1"/>
  <c r="Y28" i="1"/>
  <c r="P28" i="80" s="1"/>
  <c r="Z28" i="1"/>
  <c r="Q28" i="80" s="1"/>
  <c r="S29" i="1"/>
  <c r="J29" i="80" s="1"/>
  <c r="T29" i="1"/>
  <c r="K29" i="80" s="1"/>
  <c r="U29" i="1"/>
  <c r="L29" i="80" s="1"/>
  <c r="W29" i="1"/>
  <c r="N29" i="80" s="1"/>
  <c r="X29" i="1"/>
  <c r="O29" i="80" s="1"/>
  <c r="Y29" i="1"/>
  <c r="P29" i="80" s="1"/>
  <c r="Z29" i="1"/>
  <c r="Q29" i="80" s="1"/>
  <c r="S30" i="1"/>
  <c r="J30" i="80" s="1"/>
  <c r="T30" i="1"/>
  <c r="K30" i="80" s="1"/>
  <c r="U30" i="1"/>
  <c r="L30" i="80" s="1"/>
  <c r="W30" i="1"/>
  <c r="N30" i="80" s="1"/>
  <c r="X30" i="1"/>
  <c r="O30" i="80" s="1"/>
  <c r="Y30" i="1"/>
  <c r="P30" i="80" s="1"/>
  <c r="Z30" i="1"/>
  <c r="Q30" i="80" s="1"/>
  <c r="S31" i="1"/>
  <c r="J31" i="80" s="1"/>
  <c r="T31" i="1"/>
  <c r="K31" i="80" s="1"/>
  <c r="U31" i="1"/>
  <c r="L31" i="80" s="1"/>
  <c r="V31" i="1"/>
  <c r="M31" i="80" s="1"/>
  <c r="W31" i="1"/>
  <c r="N31" i="80" s="1"/>
  <c r="X31" i="1"/>
  <c r="O31" i="80" s="1"/>
  <c r="Z31" i="1"/>
  <c r="Q31" i="80" s="1"/>
  <c r="S32" i="1"/>
  <c r="J32" i="80" s="1"/>
  <c r="T32" i="1"/>
  <c r="K32" i="80" s="1"/>
  <c r="U32" i="1"/>
  <c r="L32" i="80" s="1"/>
  <c r="V32" i="1"/>
  <c r="M32" i="80" s="1"/>
  <c r="W32" i="1"/>
  <c r="N32" i="80" s="1"/>
  <c r="X32" i="1"/>
  <c r="O32" i="80" s="1"/>
  <c r="Y32" i="1"/>
  <c r="P32" i="80" s="1"/>
  <c r="S33" i="1"/>
  <c r="J33" i="80" s="1"/>
  <c r="T33" i="1"/>
  <c r="K33" i="80" s="1"/>
  <c r="U33" i="1"/>
  <c r="L33" i="80" s="1"/>
  <c r="V33" i="1"/>
  <c r="M33" i="80" s="1"/>
  <c r="W33" i="1"/>
  <c r="N33" i="80" s="1"/>
  <c r="Y33" i="1"/>
  <c r="P33" i="80" s="1"/>
  <c r="Z33" i="1"/>
  <c r="Q33" i="80" s="1"/>
  <c r="S34" i="1"/>
  <c r="J34" i="80" s="1"/>
  <c r="T34" i="1"/>
  <c r="K34" i="80" s="1"/>
  <c r="U34" i="1"/>
  <c r="L34" i="80" s="1"/>
  <c r="V34" i="1"/>
  <c r="M34" i="80" s="1"/>
  <c r="W34" i="1"/>
  <c r="N34" i="80" s="1"/>
  <c r="X34" i="1"/>
  <c r="O34" i="80" s="1"/>
  <c r="Y34" i="1"/>
  <c r="P34" i="80" s="1"/>
  <c r="S35" i="1"/>
  <c r="J35" i="80" s="1"/>
  <c r="T35" i="1"/>
  <c r="K35" i="80" s="1"/>
  <c r="U35" i="1"/>
  <c r="L35" i="80" s="1"/>
  <c r="V35" i="1"/>
  <c r="M35" i="80" s="1"/>
  <c r="W35" i="1"/>
  <c r="N35" i="80" s="1"/>
  <c r="X35" i="1"/>
  <c r="O35" i="80" s="1"/>
  <c r="Y35" i="1"/>
  <c r="P35" i="80" s="1"/>
  <c r="S36" i="1"/>
  <c r="J36" i="80" s="1"/>
  <c r="T36" i="1"/>
  <c r="K36" i="80" s="1"/>
  <c r="U36" i="1"/>
  <c r="L36" i="80" s="1"/>
  <c r="V36" i="1"/>
  <c r="M36" i="80" s="1"/>
  <c r="W36" i="1"/>
  <c r="N36" i="80" s="1"/>
  <c r="X36" i="1"/>
  <c r="O36" i="80" s="1"/>
  <c r="Z36" i="1"/>
  <c r="Q36" i="80" s="1"/>
  <c r="S37" i="1"/>
  <c r="J37" i="80" s="1"/>
  <c r="T37" i="1"/>
  <c r="K37" i="80" s="1"/>
  <c r="U37" i="1"/>
  <c r="L37" i="80" s="1"/>
  <c r="V37" i="1"/>
  <c r="M37" i="80" s="1"/>
  <c r="W37" i="1"/>
  <c r="N37" i="80" s="1"/>
  <c r="X37" i="1"/>
  <c r="O37" i="80" s="1"/>
  <c r="Y37" i="1"/>
  <c r="P37" i="80" s="1"/>
  <c r="Z37" i="1"/>
  <c r="Q37" i="80" s="1"/>
  <c r="T18" i="1"/>
  <c r="K18" i="80" s="1"/>
  <c r="V18" i="1"/>
  <c r="W18" i="1"/>
  <c r="X18" i="1"/>
  <c r="O18" i="80" s="1"/>
  <c r="Y18" i="1"/>
  <c r="P18" i="80" s="1"/>
  <c r="Z18" i="1"/>
  <c r="Q18" i="80" s="1"/>
  <c r="S18" i="1"/>
  <c r="T141" i="1"/>
  <c r="K141" i="80" s="1"/>
  <c r="U141" i="1"/>
  <c r="L141" i="80" s="1"/>
  <c r="V141" i="1"/>
  <c r="M141" i="80" s="1"/>
  <c r="W141" i="1"/>
  <c r="N141" i="80" s="1"/>
  <c r="X141" i="1"/>
  <c r="O141" i="80" s="1"/>
  <c r="Y141" i="1"/>
  <c r="P141" i="80" s="1"/>
  <c r="Z141" i="1"/>
  <c r="Q141" i="80" s="1"/>
  <c r="S141" i="1"/>
  <c r="J141" i="80" s="1"/>
  <c r="I13" i="71"/>
  <c r="I22" i="71" s="1"/>
  <c r="T138" i="1"/>
  <c r="K138" i="80" s="1"/>
  <c r="U138" i="1"/>
  <c r="L138" i="80" s="1"/>
  <c r="V138" i="1"/>
  <c r="M138" i="80" s="1"/>
  <c r="W138" i="1"/>
  <c r="N138" i="80" s="1"/>
  <c r="X138" i="1"/>
  <c r="O138" i="80" s="1"/>
  <c r="Y138" i="1"/>
  <c r="P138" i="80" s="1"/>
  <c r="Z138" i="1"/>
  <c r="Q138" i="80" s="1"/>
  <c r="S138" i="1"/>
  <c r="J138" i="80" s="1"/>
  <c r="J18" i="80" l="1"/>
  <c r="N18" i="80"/>
  <c r="M18" i="80"/>
  <c r="G10" i="62"/>
  <c r="C10" i="62" s="1"/>
  <c r="I138" i="80"/>
  <c r="I141" i="80"/>
  <c r="I140" i="80"/>
  <c r="I37" i="80"/>
  <c r="U133" i="1"/>
  <c r="L133" i="80" s="1"/>
  <c r="V133" i="1"/>
  <c r="M133" i="80" s="1"/>
  <c r="W133" i="1"/>
  <c r="N133" i="80" s="1"/>
  <c r="X133" i="1"/>
  <c r="O133" i="80" s="1"/>
  <c r="Y133" i="1"/>
  <c r="P133" i="80" s="1"/>
  <c r="Z133" i="1"/>
  <c r="Q133" i="80" s="1"/>
  <c r="S133" i="1"/>
  <c r="J133" i="80" s="1"/>
  <c r="Y130" i="1"/>
  <c r="P130" i="80" s="1"/>
  <c r="Z130" i="1"/>
  <c r="Q130" i="80" s="1"/>
  <c r="T127" i="1"/>
  <c r="K127" i="80" s="1"/>
  <c r="U127" i="1"/>
  <c r="L127" i="80" s="1"/>
  <c r="V127" i="1"/>
  <c r="M127" i="80" s="1"/>
  <c r="W127" i="1"/>
  <c r="N127" i="80" s="1"/>
  <c r="X127" i="1"/>
  <c r="O127" i="80" s="1"/>
  <c r="Y127" i="1"/>
  <c r="P127" i="80" s="1"/>
  <c r="Z127" i="1"/>
  <c r="Q127" i="80" s="1"/>
  <c r="T125" i="1"/>
  <c r="K125" i="80" s="1"/>
  <c r="U125" i="1"/>
  <c r="L125" i="80" s="1"/>
  <c r="Y125" i="1"/>
  <c r="P125" i="80" s="1"/>
  <c r="Z125" i="1"/>
  <c r="Q125" i="80" s="1"/>
  <c r="S125" i="1"/>
  <c r="J125" i="80" s="1"/>
  <c r="T124" i="1"/>
  <c r="K124" i="80" s="1"/>
  <c r="W124" i="1"/>
  <c r="N124" i="80" s="1"/>
  <c r="X124" i="1"/>
  <c r="O124" i="80" s="1"/>
  <c r="Y124" i="1"/>
  <c r="P124" i="80" s="1"/>
  <c r="Z124" i="1"/>
  <c r="Q124" i="80" s="1"/>
  <c r="S124" i="1"/>
  <c r="J124" i="80" s="1"/>
  <c r="T120" i="1"/>
  <c r="K120" i="80" s="1"/>
  <c r="W120" i="1"/>
  <c r="N120" i="80" s="1"/>
  <c r="X120" i="1"/>
  <c r="O120" i="80" s="1"/>
  <c r="Y120" i="1"/>
  <c r="P120" i="80" s="1"/>
  <c r="Z120" i="1"/>
  <c r="Q120" i="80" s="1"/>
  <c r="T121" i="1"/>
  <c r="K121" i="80" s="1"/>
  <c r="U121" i="1"/>
  <c r="L121" i="80" s="1"/>
  <c r="X121" i="1"/>
  <c r="O121" i="80" s="1"/>
  <c r="Y121" i="1"/>
  <c r="P121" i="80" s="1"/>
  <c r="Z121" i="1"/>
  <c r="Q121" i="80" s="1"/>
  <c r="U122" i="1"/>
  <c r="L122" i="80" s="1"/>
  <c r="V122" i="1"/>
  <c r="M122" i="80" s="1"/>
  <c r="W122" i="1"/>
  <c r="N122" i="80" s="1"/>
  <c r="X122" i="1"/>
  <c r="O122" i="80" s="1"/>
  <c r="Y122" i="1"/>
  <c r="P122" i="80" s="1"/>
  <c r="Z122" i="1"/>
  <c r="Q122" i="80" s="1"/>
  <c r="V123" i="1"/>
  <c r="M123" i="80" s="1"/>
  <c r="W123" i="1"/>
  <c r="N123" i="80" s="1"/>
  <c r="X123" i="1"/>
  <c r="O123" i="80" s="1"/>
  <c r="Y123" i="1"/>
  <c r="P123" i="80" s="1"/>
  <c r="Z123" i="1"/>
  <c r="Q123" i="80" s="1"/>
  <c r="S121" i="1"/>
  <c r="J121" i="80" s="1"/>
  <c r="S123" i="1"/>
  <c r="J123" i="80" s="1"/>
  <c r="S120" i="1"/>
  <c r="J120" i="80" s="1"/>
  <c r="T119" i="1"/>
  <c r="K119" i="80" s="1"/>
  <c r="U119" i="1"/>
  <c r="L119" i="80" s="1"/>
  <c r="V119" i="1"/>
  <c r="M119" i="80" s="1"/>
  <c r="W119" i="1"/>
  <c r="N119" i="80" s="1"/>
  <c r="X119" i="1"/>
  <c r="O119" i="80" s="1"/>
  <c r="Y119" i="1"/>
  <c r="P119" i="80" s="1"/>
  <c r="Z119" i="1"/>
  <c r="Q119" i="80" s="1"/>
  <c r="S119" i="1"/>
  <c r="J119" i="80" s="1"/>
  <c r="V118" i="1"/>
  <c r="M118" i="80" s="1"/>
  <c r="W118" i="1"/>
  <c r="N118" i="80" s="1"/>
  <c r="X118" i="1"/>
  <c r="O118" i="80" s="1"/>
  <c r="Y118" i="1"/>
  <c r="P118" i="80" s="1"/>
  <c r="Z118" i="1"/>
  <c r="Q118" i="80" s="1"/>
  <c r="S118" i="1"/>
  <c r="J118" i="80" s="1"/>
  <c r="T117" i="1"/>
  <c r="K117" i="80" s="1"/>
  <c r="V117" i="1"/>
  <c r="M117" i="80" s="1"/>
  <c r="W117" i="1"/>
  <c r="N117" i="80" s="1"/>
  <c r="Y117" i="1"/>
  <c r="P117" i="80" s="1"/>
  <c r="Z117" i="1"/>
  <c r="Q117" i="80" s="1"/>
  <c r="S117" i="1"/>
  <c r="J117" i="80" s="1"/>
  <c r="V116" i="1"/>
  <c r="M116" i="80" s="1"/>
  <c r="W116" i="1"/>
  <c r="N116" i="80" s="1"/>
  <c r="X116" i="1"/>
  <c r="O116" i="80" s="1"/>
  <c r="Y116" i="1"/>
  <c r="P116" i="80" s="1"/>
  <c r="Z116" i="1"/>
  <c r="Q116" i="80" s="1"/>
  <c r="S116" i="1"/>
  <c r="J116" i="80" s="1"/>
  <c r="T115" i="1"/>
  <c r="K115" i="80" s="1"/>
  <c r="U115" i="1"/>
  <c r="L115" i="80" s="1"/>
  <c r="V115" i="1"/>
  <c r="M115" i="80" s="1"/>
  <c r="W115" i="1"/>
  <c r="N115" i="80" s="1"/>
  <c r="X115" i="1"/>
  <c r="O115" i="80" s="1"/>
  <c r="Y115" i="1"/>
  <c r="P115" i="80" s="1"/>
  <c r="Z115" i="1"/>
  <c r="Q115" i="80" s="1"/>
  <c r="S115" i="1"/>
  <c r="J115" i="80" s="1"/>
  <c r="U113" i="1"/>
  <c r="L113" i="80" s="1"/>
  <c r="V113" i="1"/>
  <c r="M113" i="80" s="1"/>
  <c r="W113" i="1"/>
  <c r="N113" i="80" s="1"/>
  <c r="X113" i="1"/>
  <c r="O113" i="80" s="1"/>
  <c r="Y113" i="1"/>
  <c r="P113" i="80" s="1"/>
  <c r="S113" i="1"/>
  <c r="J113" i="80" s="1"/>
  <c r="T112" i="1"/>
  <c r="K112" i="80" s="1"/>
  <c r="U112" i="1"/>
  <c r="L112" i="80" s="1"/>
  <c r="V112" i="1"/>
  <c r="M112" i="80" s="1"/>
  <c r="W112" i="1"/>
  <c r="N112" i="80" s="1"/>
  <c r="X112" i="1"/>
  <c r="O112" i="80" s="1"/>
  <c r="Y112" i="1"/>
  <c r="P112" i="80" s="1"/>
  <c r="Z112" i="1"/>
  <c r="Q112" i="80" s="1"/>
  <c r="S112" i="1"/>
  <c r="J112" i="80" s="1"/>
  <c r="T110" i="1"/>
  <c r="K110" i="80" s="1"/>
  <c r="W110" i="1"/>
  <c r="N110" i="80" s="1"/>
  <c r="X110" i="1"/>
  <c r="O110" i="80" s="1"/>
  <c r="Y110" i="1"/>
  <c r="P110" i="80" s="1"/>
  <c r="Z110" i="1"/>
  <c r="Q110" i="80" s="1"/>
  <c r="S110" i="1"/>
  <c r="J110" i="80" s="1"/>
  <c r="I12" i="46"/>
  <c r="I24" i="46" s="1"/>
  <c r="T109" i="1"/>
  <c r="K109" i="80" s="1"/>
  <c r="U109" i="1"/>
  <c r="L109" i="80" s="1"/>
  <c r="V109" i="1"/>
  <c r="M109" i="80" s="1"/>
  <c r="W109" i="1"/>
  <c r="N109" i="80" s="1"/>
  <c r="X109" i="1"/>
  <c r="O109" i="80" s="1"/>
  <c r="Y109" i="1"/>
  <c r="P109" i="80" s="1"/>
  <c r="Z109" i="1"/>
  <c r="Q109" i="80" s="1"/>
  <c r="S109" i="1"/>
  <c r="J109" i="80" s="1"/>
  <c r="T108" i="1"/>
  <c r="K108" i="80" s="1"/>
  <c r="U108" i="1"/>
  <c r="L108" i="80" s="1"/>
  <c r="V108" i="1"/>
  <c r="M108" i="80" s="1"/>
  <c r="W108" i="1"/>
  <c r="N108" i="80" s="1"/>
  <c r="X108" i="1"/>
  <c r="O108" i="80" s="1"/>
  <c r="Y108" i="1"/>
  <c r="P108" i="80" s="1"/>
  <c r="Z108" i="1"/>
  <c r="Q108" i="80" s="1"/>
  <c r="S108" i="1"/>
  <c r="J108" i="80" s="1"/>
  <c r="U107" i="1"/>
  <c r="L107" i="80" s="1"/>
  <c r="V107" i="1"/>
  <c r="M107" i="80" s="1"/>
  <c r="W107" i="1"/>
  <c r="N107" i="80" s="1"/>
  <c r="X107" i="1"/>
  <c r="O107" i="80" s="1"/>
  <c r="Y107" i="1"/>
  <c r="P107" i="80" s="1"/>
  <c r="Z107" i="1"/>
  <c r="Q107" i="80" s="1"/>
  <c r="S107" i="1"/>
  <c r="J107" i="80" s="1"/>
  <c r="T106" i="1"/>
  <c r="K106" i="80" s="1"/>
  <c r="U106" i="1"/>
  <c r="L106" i="80" s="1"/>
  <c r="V106" i="1"/>
  <c r="M106" i="80" s="1"/>
  <c r="W106" i="1"/>
  <c r="N106" i="80" s="1"/>
  <c r="X106" i="1"/>
  <c r="O106" i="80" s="1"/>
  <c r="Y106" i="1"/>
  <c r="P106" i="80" s="1"/>
  <c r="S106" i="1"/>
  <c r="J106" i="80" s="1"/>
  <c r="T105" i="1"/>
  <c r="K105" i="80" s="1"/>
  <c r="U105" i="1"/>
  <c r="L105" i="80" s="1"/>
  <c r="V105" i="1"/>
  <c r="M105" i="80" s="1"/>
  <c r="W105" i="1"/>
  <c r="N105" i="80" s="1"/>
  <c r="X105" i="1"/>
  <c r="O105" i="80" s="1"/>
  <c r="Y105" i="1"/>
  <c r="P105" i="80" s="1"/>
  <c r="Z105" i="1"/>
  <c r="Q105" i="80" s="1"/>
  <c r="S105" i="1"/>
  <c r="J105" i="80" s="1"/>
  <c r="T101" i="1"/>
  <c r="K101" i="80" s="1"/>
  <c r="U101" i="1"/>
  <c r="L101" i="80" s="1"/>
  <c r="V101" i="1"/>
  <c r="M101" i="80" s="1"/>
  <c r="W101" i="1"/>
  <c r="N101" i="80" s="1"/>
  <c r="X101" i="1"/>
  <c r="O101" i="80" s="1"/>
  <c r="Y101" i="1"/>
  <c r="P101" i="80" s="1"/>
  <c r="Z101" i="1"/>
  <c r="Q101" i="80" s="1"/>
  <c r="T102" i="1"/>
  <c r="K102" i="80" s="1"/>
  <c r="U102" i="1"/>
  <c r="L102" i="80" s="1"/>
  <c r="V102" i="1"/>
  <c r="M102" i="80" s="1"/>
  <c r="W102" i="1"/>
  <c r="N102" i="80" s="1"/>
  <c r="X102" i="1"/>
  <c r="O102" i="80" s="1"/>
  <c r="Y102" i="1"/>
  <c r="P102" i="80" s="1"/>
  <c r="Z102" i="1"/>
  <c r="Q102" i="80" s="1"/>
  <c r="T103" i="1"/>
  <c r="K103" i="80" s="1"/>
  <c r="U103" i="1"/>
  <c r="L103" i="80" s="1"/>
  <c r="V103" i="1"/>
  <c r="M103" i="80" s="1"/>
  <c r="W103" i="1"/>
  <c r="N103" i="80" s="1"/>
  <c r="X103" i="1"/>
  <c r="O103" i="80" s="1"/>
  <c r="Y103" i="1"/>
  <c r="P103" i="80" s="1"/>
  <c r="Z103" i="1"/>
  <c r="Q103" i="80" s="1"/>
  <c r="T104" i="1"/>
  <c r="K104" i="80" s="1"/>
  <c r="U104" i="1"/>
  <c r="L104" i="80" s="1"/>
  <c r="V104" i="1"/>
  <c r="M104" i="80" s="1"/>
  <c r="W104" i="1"/>
  <c r="N104" i="80" s="1"/>
  <c r="X104" i="1"/>
  <c r="O104" i="80" s="1"/>
  <c r="Y104" i="1"/>
  <c r="P104" i="80" s="1"/>
  <c r="Z104" i="1"/>
  <c r="Q104" i="80" s="1"/>
  <c r="S102" i="1"/>
  <c r="J102" i="80" s="1"/>
  <c r="S103" i="1"/>
  <c r="J103" i="80" s="1"/>
  <c r="S104" i="1"/>
  <c r="J104" i="80" s="1"/>
  <c r="S101" i="1"/>
  <c r="J101" i="80" s="1"/>
  <c r="G50" i="30"/>
  <c r="G51" i="30"/>
  <c r="G52" i="30"/>
  <c r="G53" i="30"/>
  <c r="G37" i="30"/>
  <c r="G38" i="30"/>
  <c r="G39" i="30"/>
  <c r="G40" i="30"/>
  <c r="G41" i="30"/>
  <c r="G42" i="30"/>
  <c r="G25" i="30"/>
  <c r="G26" i="30"/>
  <c r="G27" i="30"/>
  <c r="G28" i="30"/>
  <c r="G29" i="30"/>
  <c r="G30" i="30"/>
  <c r="N12" i="30"/>
  <c r="M12" i="30"/>
  <c r="I15" i="30"/>
  <c r="I14" i="30"/>
  <c r="I13" i="30"/>
  <c r="I12" i="30"/>
  <c r="G14" i="30"/>
  <c r="G15" i="30"/>
  <c r="G16" i="30"/>
  <c r="G17" i="30"/>
  <c r="G18" i="30"/>
  <c r="G19" i="30"/>
  <c r="T96" i="1"/>
  <c r="K96" i="80" s="1"/>
  <c r="U96" i="1"/>
  <c r="L96" i="80" s="1"/>
  <c r="V96" i="1"/>
  <c r="M96" i="80" s="1"/>
  <c r="W96" i="1"/>
  <c r="N96" i="80" s="1"/>
  <c r="X96" i="1"/>
  <c r="O96" i="80" s="1"/>
  <c r="Y96" i="1"/>
  <c r="P96" i="80" s="1"/>
  <c r="Z96" i="1"/>
  <c r="Q96" i="80" s="1"/>
  <c r="T97" i="1"/>
  <c r="K97" i="80" s="1"/>
  <c r="U97" i="1"/>
  <c r="L97" i="80" s="1"/>
  <c r="V97" i="1"/>
  <c r="M97" i="80" s="1"/>
  <c r="W97" i="1"/>
  <c r="N97" i="80" s="1"/>
  <c r="X97" i="1"/>
  <c r="O97" i="80" s="1"/>
  <c r="Y97" i="1"/>
  <c r="P97" i="80" s="1"/>
  <c r="Z97" i="1"/>
  <c r="Q97" i="80" s="1"/>
  <c r="T98" i="1"/>
  <c r="K98" i="80" s="1"/>
  <c r="U98" i="1"/>
  <c r="L98" i="80" s="1"/>
  <c r="V98" i="1"/>
  <c r="M98" i="80" s="1"/>
  <c r="W98" i="1"/>
  <c r="N98" i="80" s="1"/>
  <c r="X98" i="1"/>
  <c r="O98" i="80" s="1"/>
  <c r="Y98" i="1"/>
  <c r="P98" i="80" s="1"/>
  <c r="Z98" i="1"/>
  <c r="Q98" i="80" s="1"/>
  <c r="T99" i="1"/>
  <c r="K99" i="80" s="1"/>
  <c r="U99" i="1"/>
  <c r="L99" i="80" s="1"/>
  <c r="V99" i="1"/>
  <c r="M99" i="80" s="1"/>
  <c r="W99" i="1"/>
  <c r="N99" i="80" s="1"/>
  <c r="X99" i="1"/>
  <c r="O99" i="80" s="1"/>
  <c r="Y99" i="1"/>
  <c r="P99" i="80" s="1"/>
  <c r="Z99" i="1"/>
  <c r="Q99" i="80" s="1"/>
  <c r="T100" i="1"/>
  <c r="K100" i="80" s="1"/>
  <c r="U100" i="1"/>
  <c r="L100" i="80" s="1"/>
  <c r="V100" i="1"/>
  <c r="M100" i="80" s="1"/>
  <c r="W100" i="1"/>
  <c r="N100" i="80" s="1"/>
  <c r="X100" i="1"/>
  <c r="O100" i="80" s="1"/>
  <c r="Y100" i="1"/>
  <c r="P100" i="80" s="1"/>
  <c r="Z100" i="1"/>
  <c r="Q100" i="80" s="1"/>
  <c r="S97" i="1"/>
  <c r="J97" i="80" s="1"/>
  <c r="S98" i="1"/>
  <c r="J98" i="80" s="1"/>
  <c r="S99" i="1"/>
  <c r="J99" i="80" s="1"/>
  <c r="S100" i="1"/>
  <c r="J100" i="80" s="1"/>
  <c r="S96" i="1"/>
  <c r="J96" i="80" s="1"/>
  <c r="N16" i="38"/>
  <c r="O16" i="38"/>
  <c r="N17" i="38"/>
  <c r="O17" i="38"/>
  <c r="O15" i="38"/>
  <c r="N15" i="38"/>
  <c r="M14" i="38"/>
  <c r="N14" i="38" s="1"/>
  <c r="N13" i="38"/>
  <c r="M13" i="38"/>
  <c r="I14" i="38"/>
  <c r="I25" i="38" s="1"/>
  <c r="I15" i="38"/>
  <c r="I26" i="38" s="1"/>
  <c r="I16" i="38"/>
  <c r="I27" i="38" s="1"/>
  <c r="I13" i="38"/>
  <c r="I24" i="38" s="1"/>
  <c r="Z82" i="1"/>
  <c r="Q82" i="80" s="1"/>
  <c r="T82" i="1"/>
  <c r="K82" i="80" s="1"/>
  <c r="X82" i="1"/>
  <c r="O82" i="80" s="1"/>
  <c r="Y82" i="1"/>
  <c r="P82" i="80" s="1"/>
  <c r="S82" i="1"/>
  <c r="J82" i="80" s="1"/>
  <c r="V45" i="1"/>
  <c r="M45" i="80" s="1"/>
  <c r="W45" i="1"/>
  <c r="N45" i="80" s="1"/>
  <c r="X45" i="1"/>
  <c r="O45" i="80" s="1"/>
  <c r="Y45" i="1"/>
  <c r="P45" i="80" s="1"/>
  <c r="Z45" i="1"/>
  <c r="Q45" i="80" s="1"/>
  <c r="V46" i="1"/>
  <c r="M46" i="80" s="1"/>
  <c r="W46" i="1"/>
  <c r="N46" i="80" s="1"/>
  <c r="X46" i="1"/>
  <c r="O46" i="80" s="1"/>
  <c r="Y46" i="1"/>
  <c r="P46" i="80" s="1"/>
  <c r="Z46" i="1"/>
  <c r="Q46" i="80" s="1"/>
  <c r="W47" i="1"/>
  <c r="N47" i="80" s="1"/>
  <c r="X47" i="1"/>
  <c r="O47" i="80" s="1"/>
  <c r="Y47" i="1"/>
  <c r="P47" i="80" s="1"/>
  <c r="Z47" i="1"/>
  <c r="Q47" i="80" s="1"/>
  <c r="U45" i="1"/>
  <c r="L45" i="80" s="1"/>
  <c r="U46" i="1"/>
  <c r="L46" i="80" s="1"/>
  <c r="T47" i="1"/>
  <c r="K47" i="80" s="1"/>
  <c r="S46" i="1"/>
  <c r="J46" i="80" s="1"/>
  <c r="S47" i="1"/>
  <c r="J47" i="80" s="1"/>
  <c r="U40" i="1"/>
  <c r="L40" i="80" s="1"/>
  <c r="V40" i="1"/>
  <c r="M40" i="80" s="1"/>
  <c r="W40" i="1"/>
  <c r="N40" i="80" s="1"/>
  <c r="X40" i="1"/>
  <c r="O40" i="80" s="1"/>
  <c r="Y40" i="1"/>
  <c r="P40" i="80" s="1"/>
  <c r="Z40" i="1"/>
  <c r="Q40" i="80" s="1"/>
  <c r="V41" i="1"/>
  <c r="M41" i="80" s="1"/>
  <c r="W41" i="1"/>
  <c r="N41" i="80" s="1"/>
  <c r="X41" i="1"/>
  <c r="O41" i="80" s="1"/>
  <c r="Y41" i="1"/>
  <c r="P41" i="80" s="1"/>
  <c r="Z41" i="1"/>
  <c r="Q41" i="80" s="1"/>
  <c r="V42" i="1"/>
  <c r="M42" i="80" s="1"/>
  <c r="W42" i="1"/>
  <c r="N42" i="80" s="1"/>
  <c r="X42" i="1"/>
  <c r="O42" i="80" s="1"/>
  <c r="Y42" i="1"/>
  <c r="P42" i="80" s="1"/>
  <c r="Z42" i="1"/>
  <c r="Q42" i="80" s="1"/>
  <c r="T43" i="1"/>
  <c r="K43" i="80" s="1"/>
  <c r="U43" i="1"/>
  <c r="L43" i="80" s="1"/>
  <c r="X43" i="1"/>
  <c r="O43" i="80" s="1"/>
  <c r="Y43" i="1"/>
  <c r="P43" i="80" s="1"/>
  <c r="Z43" i="1"/>
  <c r="Q43" i="80" s="1"/>
  <c r="T44" i="1"/>
  <c r="K44" i="80" s="1"/>
  <c r="W44" i="1"/>
  <c r="N44" i="80" s="1"/>
  <c r="X44" i="1"/>
  <c r="O44" i="80" s="1"/>
  <c r="Y44" i="1"/>
  <c r="P44" i="80" s="1"/>
  <c r="Z44" i="1"/>
  <c r="Q44" i="80" s="1"/>
  <c r="S41" i="1"/>
  <c r="J41" i="80" s="1"/>
  <c r="S42" i="1"/>
  <c r="J42" i="80" s="1"/>
  <c r="S43" i="1"/>
  <c r="J43" i="80" s="1"/>
  <c r="S44" i="1"/>
  <c r="J44" i="80" s="1"/>
  <c r="S40" i="1"/>
  <c r="J40" i="80" s="1"/>
  <c r="M25" i="10"/>
  <c r="N25" i="10" s="1"/>
  <c r="R24" i="10"/>
  <c r="S24" i="10"/>
  <c r="R25" i="10"/>
  <c r="S25" i="10"/>
  <c r="S27" i="10"/>
  <c r="I25" i="10"/>
  <c r="I26" i="10"/>
  <c r="I27" i="10"/>
  <c r="I24" i="10"/>
  <c r="N15" i="10"/>
  <c r="M14" i="10"/>
  <c r="I16" i="10"/>
  <c r="L13" i="10"/>
  <c r="G27" i="10"/>
  <c r="G26" i="10"/>
  <c r="F25" i="10"/>
  <c r="F22" i="10"/>
  <c r="I17" i="7"/>
  <c r="G15" i="7"/>
  <c r="M15" i="7" s="1"/>
  <c r="I15" i="7"/>
  <c r="I16" i="7"/>
  <c r="N14" i="7"/>
  <c r="M14" i="7"/>
  <c r="R31" i="5"/>
  <c r="S30" i="5"/>
  <c r="S29" i="5"/>
  <c r="I14" i="5"/>
  <c r="I39" i="5" s="1"/>
  <c r="I15" i="5"/>
  <c r="I40" i="5" s="1"/>
  <c r="I16" i="5"/>
  <c r="I41" i="5" s="1"/>
  <c r="I17" i="5"/>
  <c r="I42" i="5" s="1"/>
  <c r="I18" i="5"/>
  <c r="I43" i="5" s="1"/>
  <c r="I19" i="5"/>
  <c r="I44" i="5" s="1"/>
  <c r="I20" i="5"/>
  <c r="I45" i="5" s="1"/>
  <c r="I21" i="5"/>
  <c r="I46" i="5" s="1"/>
  <c r="I22" i="5"/>
  <c r="I47" i="5" s="1"/>
  <c r="I23" i="5"/>
  <c r="I48" i="5" s="1"/>
  <c r="I24" i="5"/>
  <c r="I49" i="5" s="1"/>
  <c r="I61" i="5" s="1"/>
  <c r="I25" i="5"/>
  <c r="I50" i="5" s="1"/>
  <c r="I26" i="5"/>
  <c r="I51" i="5" s="1"/>
  <c r="I27" i="5"/>
  <c r="I52" i="5" s="1"/>
  <c r="I28" i="5"/>
  <c r="I53" i="5" s="1"/>
  <c r="I29" i="5"/>
  <c r="I54" i="5" s="1"/>
  <c r="I30" i="5"/>
  <c r="I55" i="5" s="1"/>
  <c r="I31" i="5"/>
  <c r="I56" i="5" s="1"/>
  <c r="I32" i="5"/>
  <c r="I57" i="5" s="1"/>
  <c r="I13" i="5"/>
  <c r="I38" i="5" s="1"/>
  <c r="G29" i="5"/>
  <c r="G30" i="5"/>
  <c r="I98" i="80" l="1"/>
  <c r="I119" i="80"/>
  <c r="I96" i="80"/>
  <c r="I97" i="80"/>
  <c r="I101" i="80"/>
  <c r="I112" i="80"/>
  <c r="I115" i="80"/>
  <c r="I100" i="80"/>
  <c r="I99" i="80"/>
  <c r="I108" i="80"/>
  <c r="I109" i="80"/>
  <c r="I105" i="80"/>
  <c r="I102" i="80"/>
  <c r="I104" i="80"/>
  <c r="I103" i="80"/>
  <c r="U110" i="1"/>
  <c r="L110" i="80" s="1"/>
  <c r="Z35" i="1"/>
  <c r="Q35" i="80" s="1"/>
  <c r="I35" i="80" s="1"/>
  <c r="Y36" i="1"/>
  <c r="P36" i="80" s="1"/>
  <c r="I36" i="80" s="1"/>
  <c r="Z34" i="1"/>
  <c r="Q34" i="80" s="1"/>
  <c r="I34" i="80" s="1"/>
  <c r="P26" i="10"/>
  <c r="T46" i="1"/>
  <c r="K46" i="80" s="1"/>
  <c r="I46" i="80" s="1"/>
  <c r="M13" i="10"/>
  <c r="O15" i="10"/>
  <c r="U47" i="1"/>
  <c r="L47" i="80" s="1"/>
  <c r="P24" i="10"/>
  <c r="U41" i="1"/>
  <c r="L41" i="80" s="1"/>
  <c r="T41" i="1"/>
  <c r="K41" i="80" s="1"/>
  <c r="T42" i="1"/>
  <c r="K42" i="80" s="1"/>
  <c r="N15" i="7"/>
  <c r="G11" i="62"/>
  <c r="I41" i="80" l="1"/>
  <c r="V110" i="1"/>
  <c r="M110" i="80" s="1"/>
  <c r="I110" i="80" s="1"/>
  <c r="R41" i="1"/>
  <c r="Q26" i="10"/>
  <c r="V47" i="1"/>
  <c r="M26" i="10"/>
  <c r="N26" i="10" s="1"/>
  <c r="T45" i="1"/>
  <c r="K45" i="80" s="1"/>
  <c r="Q24" i="10"/>
  <c r="M24" i="10"/>
  <c r="N24" i="10" s="1"/>
  <c r="U42" i="1"/>
  <c r="Z48" i="1"/>
  <c r="Q48" i="80" s="1"/>
  <c r="Y48" i="1"/>
  <c r="P48" i="80" s="1"/>
  <c r="X48" i="1"/>
  <c r="O48" i="80" s="1"/>
  <c r="W48" i="1"/>
  <c r="N48" i="80" s="1"/>
  <c r="V48" i="1"/>
  <c r="M48" i="80" s="1"/>
  <c r="S48" i="1"/>
  <c r="J48" i="80" s="1"/>
  <c r="R47" i="1" l="1"/>
  <c r="M47" i="80"/>
  <c r="I47" i="80" s="1"/>
  <c r="R42" i="1"/>
  <c r="L42" i="80"/>
  <c r="I42" i="80" s="1"/>
  <c r="T94" i="1"/>
  <c r="K94" i="80" s="1"/>
  <c r="U94" i="1"/>
  <c r="L94" i="80" s="1"/>
  <c r="V94" i="1"/>
  <c r="M94" i="80" s="1"/>
  <c r="W94" i="1"/>
  <c r="N94" i="80" s="1"/>
  <c r="X94" i="1"/>
  <c r="O94" i="80" s="1"/>
  <c r="Y94" i="1"/>
  <c r="P94" i="80" s="1"/>
  <c r="Z94" i="1"/>
  <c r="Q94" i="80" s="1"/>
  <c r="I14" i="37"/>
  <c r="F22" i="37"/>
  <c r="I12" i="36"/>
  <c r="I24" i="36" s="1"/>
  <c r="G27" i="36"/>
  <c r="G26" i="36"/>
  <c r="G25" i="36"/>
  <c r="G24" i="36"/>
  <c r="G28" i="36"/>
  <c r="T87" i="1"/>
  <c r="K87" i="80" s="1"/>
  <c r="U87" i="1"/>
  <c r="L87" i="80" s="1"/>
  <c r="V87" i="1"/>
  <c r="M87" i="80" s="1"/>
  <c r="W87" i="1"/>
  <c r="N87" i="80" s="1"/>
  <c r="X87" i="1"/>
  <c r="O87" i="80" s="1"/>
  <c r="Y87" i="1"/>
  <c r="P87" i="80" s="1"/>
  <c r="Z87" i="1"/>
  <c r="Q87" i="80" s="1"/>
  <c r="T88" i="1"/>
  <c r="K88" i="80" s="1"/>
  <c r="U88" i="1"/>
  <c r="L88" i="80" s="1"/>
  <c r="V88" i="1"/>
  <c r="M88" i="80" s="1"/>
  <c r="W88" i="1"/>
  <c r="N88" i="80" s="1"/>
  <c r="X88" i="1"/>
  <c r="O88" i="80" s="1"/>
  <c r="Y88" i="1"/>
  <c r="P88" i="80" s="1"/>
  <c r="Z88" i="1"/>
  <c r="Q88" i="80" s="1"/>
  <c r="T89" i="1"/>
  <c r="K89" i="80" s="1"/>
  <c r="U89" i="1"/>
  <c r="L89" i="80" s="1"/>
  <c r="V89" i="1"/>
  <c r="M89" i="80" s="1"/>
  <c r="W89" i="1"/>
  <c r="N89" i="80" s="1"/>
  <c r="X89" i="1"/>
  <c r="O89" i="80" s="1"/>
  <c r="Y89" i="1"/>
  <c r="P89" i="80" s="1"/>
  <c r="Z89" i="1"/>
  <c r="Q89" i="80" s="1"/>
  <c r="T90" i="1"/>
  <c r="K90" i="80" s="1"/>
  <c r="U90" i="1"/>
  <c r="L90" i="80" s="1"/>
  <c r="V90" i="1"/>
  <c r="M90" i="80" s="1"/>
  <c r="W90" i="1"/>
  <c r="N90" i="80" s="1"/>
  <c r="X90" i="1"/>
  <c r="O90" i="80" s="1"/>
  <c r="Y90" i="1"/>
  <c r="P90" i="80" s="1"/>
  <c r="Z90" i="1"/>
  <c r="Q90" i="80" s="1"/>
  <c r="T91" i="1"/>
  <c r="K91" i="80" s="1"/>
  <c r="U91" i="1"/>
  <c r="L91" i="80" s="1"/>
  <c r="V91" i="1"/>
  <c r="M91" i="80" s="1"/>
  <c r="W91" i="1"/>
  <c r="N91" i="80" s="1"/>
  <c r="X91" i="1"/>
  <c r="O91" i="80" s="1"/>
  <c r="Y91" i="1"/>
  <c r="P91" i="80" s="1"/>
  <c r="Z91" i="1"/>
  <c r="Q91" i="80" s="1"/>
  <c r="J14" i="35"/>
  <c r="J15" i="35"/>
  <c r="J16" i="35"/>
  <c r="J17" i="35"/>
  <c r="I14" i="35"/>
  <c r="I25" i="35" s="1"/>
  <c r="I15" i="35"/>
  <c r="I26" i="35" s="1"/>
  <c r="I16" i="35"/>
  <c r="I27" i="35" s="1"/>
  <c r="I17" i="35"/>
  <c r="I28" i="35" s="1"/>
  <c r="I13" i="35"/>
  <c r="I24" i="35" s="1"/>
  <c r="T83" i="1"/>
  <c r="K83" i="80" s="1"/>
  <c r="U83" i="1"/>
  <c r="L83" i="80" s="1"/>
  <c r="V83" i="1"/>
  <c r="M83" i="80" s="1"/>
  <c r="W83" i="1"/>
  <c r="N83" i="80" s="1"/>
  <c r="X83" i="1"/>
  <c r="O83" i="80" s="1"/>
  <c r="Y83" i="1"/>
  <c r="P83" i="80" s="1"/>
  <c r="Z83" i="1"/>
  <c r="Q83" i="80" s="1"/>
  <c r="T84" i="1"/>
  <c r="K84" i="80" s="1"/>
  <c r="U84" i="1"/>
  <c r="L84" i="80" s="1"/>
  <c r="V84" i="1"/>
  <c r="M84" i="80" s="1"/>
  <c r="W84" i="1"/>
  <c r="N84" i="80" s="1"/>
  <c r="X84" i="1"/>
  <c r="O84" i="80" s="1"/>
  <c r="Y84" i="1"/>
  <c r="P84" i="80" s="1"/>
  <c r="Z84" i="1"/>
  <c r="Q84" i="80" s="1"/>
  <c r="T85" i="1"/>
  <c r="K85" i="80" s="1"/>
  <c r="U85" i="1"/>
  <c r="L85" i="80" s="1"/>
  <c r="V85" i="1"/>
  <c r="M85" i="80" s="1"/>
  <c r="W85" i="1"/>
  <c r="N85" i="80" s="1"/>
  <c r="X85" i="1"/>
  <c r="O85" i="80" s="1"/>
  <c r="Y85" i="1"/>
  <c r="P85" i="80" s="1"/>
  <c r="Z85" i="1"/>
  <c r="Q85" i="80" s="1"/>
  <c r="T86" i="1"/>
  <c r="K86" i="80" s="1"/>
  <c r="U86" i="1"/>
  <c r="L86" i="80" s="1"/>
  <c r="V86" i="1"/>
  <c r="M86" i="80" s="1"/>
  <c r="W86" i="1"/>
  <c r="N86" i="80" s="1"/>
  <c r="X86" i="1"/>
  <c r="O86" i="80" s="1"/>
  <c r="Y86" i="1"/>
  <c r="P86" i="80" s="1"/>
  <c r="Z86" i="1"/>
  <c r="Q86" i="80" s="1"/>
  <c r="S84" i="1"/>
  <c r="J84" i="80" s="1"/>
  <c r="S85" i="1"/>
  <c r="J85" i="80" s="1"/>
  <c r="S86" i="1"/>
  <c r="J86" i="80" s="1"/>
  <c r="S83" i="1"/>
  <c r="J83" i="80" s="1"/>
  <c r="U81" i="1"/>
  <c r="L81" i="80" s="1"/>
  <c r="V81" i="1"/>
  <c r="M81" i="80" s="1"/>
  <c r="W81" i="1"/>
  <c r="N81" i="80" s="1"/>
  <c r="X81" i="1"/>
  <c r="O81" i="80" s="1"/>
  <c r="Y81" i="1"/>
  <c r="P81" i="80" s="1"/>
  <c r="Z81" i="1"/>
  <c r="Q81" i="80" s="1"/>
  <c r="S81" i="1"/>
  <c r="J81" i="80" s="1"/>
  <c r="M24" i="31"/>
  <c r="N24" i="31" s="1"/>
  <c r="R24" i="31"/>
  <c r="R25" i="31"/>
  <c r="M25" i="31" s="1"/>
  <c r="M26" i="31"/>
  <c r="N26" i="31" s="1"/>
  <c r="M27" i="31"/>
  <c r="N27" i="31" s="1"/>
  <c r="I15" i="31"/>
  <c r="I27" i="31" s="1"/>
  <c r="I14" i="31"/>
  <c r="I26" i="31" s="1"/>
  <c r="I13" i="31"/>
  <c r="I25" i="31" s="1"/>
  <c r="I12" i="31"/>
  <c r="I24" i="31" s="1"/>
  <c r="G54" i="31"/>
  <c r="G53" i="31"/>
  <c r="G52" i="31"/>
  <c r="G51" i="31"/>
  <c r="G50" i="31"/>
  <c r="G49" i="31"/>
  <c r="G48" i="31"/>
  <c r="G43" i="31"/>
  <c r="G42" i="31"/>
  <c r="G41" i="31"/>
  <c r="G40" i="31"/>
  <c r="G39" i="31"/>
  <c r="G38" i="31"/>
  <c r="G37" i="31"/>
  <c r="G31" i="31"/>
  <c r="G30" i="31"/>
  <c r="G29" i="31"/>
  <c r="G28" i="31"/>
  <c r="G27" i="31"/>
  <c r="G26" i="31"/>
  <c r="G25" i="31"/>
  <c r="G17" i="31"/>
  <c r="G18" i="31"/>
  <c r="X93" i="1" l="1"/>
  <c r="O93" i="80" s="1"/>
  <c r="K13" i="36"/>
  <c r="I83" i="80"/>
  <c r="I85" i="80"/>
  <c r="I84" i="80"/>
  <c r="N25" i="31"/>
  <c r="Q84" i="1"/>
  <c r="I86" i="80"/>
  <c r="G44" i="31"/>
  <c r="G32" i="31"/>
  <c r="G55" i="31"/>
  <c r="T71" i="1" l="1"/>
  <c r="K71" i="80" s="1"/>
  <c r="U71" i="1"/>
  <c r="L71" i="80" s="1"/>
  <c r="V71" i="1"/>
  <c r="M71" i="80" s="1"/>
  <c r="W71" i="1"/>
  <c r="N71" i="80" s="1"/>
  <c r="X71" i="1"/>
  <c r="O71" i="80" s="1"/>
  <c r="Y71" i="1"/>
  <c r="P71" i="80" s="1"/>
  <c r="Z71" i="1"/>
  <c r="Q71" i="80" s="1"/>
  <c r="V72" i="1"/>
  <c r="M72" i="80" s="1"/>
  <c r="W72" i="1"/>
  <c r="N72" i="80" s="1"/>
  <c r="X72" i="1"/>
  <c r="O72" i="80" s="1"/>
  <c r="Y72" i="1"/>
  <c r="P72" i="80" s="1"/>
  <c r="Z72" i="1"/>
  <c r="Q72" i="80" s="1"/>
  <c r="S72" i="1"/>
  <c r="J72" i="80" s="1"/>
  <c r="S71" i="1"/>
  <c r="J71" i="80" s="1"/>
  <c r="F13" i="73"/>
  <c r="I12" i="73"/>
  <c r="I24" i="73" s="1"/>
  <c r="I13" i="33"/>
  <c r="I27" i="33" s="1"/>
  <c r="I14" i="33"/>
  <c r="I28" i="33" s="1"/>
  <c r="I15" i="33"/>
  <c r="I29" i="33" s="1"/>
  <c r="I16" i="33"/>
  <c r="I30" i="33" s="1"/>
  <c r="I17" i="33"/>
  <c r="I31" i="33" s="1"/>
  <c r="I18" i="33"/>
  <c r="I32" i="33" s="1"/>
  <c r="I19" i="33"/>
  <c r="I33" i="33" s="1"/>
  <c r="I20" i="33"/>
  <c r="I34" i="33" s="1"/>
  <c r="O23" i="33"/>
  <c r="P23" i="33"/>
  <c r="Q23" i="33"/>
  <c r="R23" i="33"/>
  <c r="S23" i="33"/>
  <c r="I25" i="29"/>
  <c r="Q24" i="29"/>
  <c r="P24" i="29"/>
  <c r="M24" i="29" s="1"/>
  <c r="N24" i="29" s="1"/>
  <c r="I24" i="29"/>
  <c r="G16" i="33"/>
  <c r="L16" i="33" s="1"/>
  <c r="G17" i="33"/>
  <c r="L17" i="33" s="1"/>
  <c r="G18" i="33"/>
  <c r="L18" i="33" s="1"/>
  <c r="G19" i="33"/>
  <c r="G20" i="33"/>
  <c r="M20" i="33" s="1"/>
  <c r="G13" i="33"/>
  <c r="L13" i="33" s="1"/>
  <c r="G14" i="33"/>
  <c r="M14" i="33" s="1"/>
  <c r="G15" i="33"/>
  <c r="M15" i="33" s="1"/>
  <c r="T70" i="1"/>
  <c r="K70" i="80" s="1"/>
  <c r="U70" i="1"/>
  <c r="L70" i="80" s="1"/>
  <c r="V70" i="1"/>
  <c r="M70" i="80" s="1"/>
  <c r="W70" i="1"/>
  <c r="N70" i="80" s="1"/>
  <c r="X70" i="1"/>
  <c r="O70" i="80" s="1"/>
  <c r="Y70" i="1"/>
  <c r="P70" i="80" s="1"/>
  <c r="Z70" i="1"/>
  <c r="Q70" i="80" s="1"/>
  <c r="S70" i="1"/>
  <c r="J70" i="80" s="1"/>
  <c r="I12" i="28"/>
  <c r="V68" i="1"/>
  <c r="M68" i="80" s="1"/>
  <c r="W68" i="1"/>
  <c r="N68" i="80" s="1"/>
  <c r="X68" i="1"/>
  <c r="O68" i="80" s="1"/>
  <c r="Y68" i="1"/>
  <c r="P68" i="80" s="1"/>
  <c r="Z68" i="1"/>
  <c r="Q68" i="80" s="1"/>
  <c r="T69" i="1"/>
  <c r="K69" i="80" s="1"/>
  <c r="U69" i="1"/>
  <c r="L69" i="80" s="1"/>
  <c r="V69" i="1"/>
  <c r="M69" i="80" s="1"/>
  <c r="W69" i="1"/>
  <c r="N69" i="80" s="1"/>
  <c r="X69" i="1"/>
  <c r="O69" i="80" s="1"/>
  <c r="Y69" i="1"/>
  <c r="P69" i="80" s="1"/>
  <c r="Z69" i="1"/>
  <c r="Q69" i="80" s="1"/>
  <c r="S69" i="1"/>
  <c r="J69" i="80" s="1"/>
  <c r="S68" i="1"/>
  <c r="J68" i="80" s="1"/>
  <c r="M25" i="26"/>
  <c r="P25" i="26"/>
  <c r="Q25" i="26"/>
  <c r="I24" i="26"/>
  <c r="M13" i="26"/>
  <c r="F23" i="26"/>
  <c r="F22" i="26"/>
  <c r="F15" i="26"/>
  <c r="I13" i="26"/>
  <c r="I25" i="26" s="1"/>
  <c r="I12" i="26"/>
  <c r="T67" i="1"/>
  <c r="K67" i="80" s="1"/>
  <c r="U67" i="1"/>
  <c r="L67" i="80" s="1"/>
  <c r="V67" i="1"/>
  <c r="M67" i="80" s="1"/>
  <c r="W67" i="1"/>
  <c r="N67" i="80" s="1"/>
  <c r="X67" i="1"/>
  <c r="O67" i="80" s="1"/>
  <c r="Y67" i="1"/>
  <c r="P67" i="80" s="1"/>
  <c r="Z67" i="1"/>
  <c r="Q67" i="80" s="1"/>
  <c r="S67" i="1"/>
  <c r="J67" i="80" s="1"/>
  <c r="N24" i="25"/>
  <c r="Q24" i="25"/>
  <c r="P24" i="25"/>
  <c r="M24" i="25"/>
  <c r="I24" i="25"/>
  <c r="I12" i="25"/>
  <c r="W65" i="1"/>
  <c r="N65" i="80" s="1"/>
  <c r="X65" i="1"/>
  <c r="O65" i="80" s="1"/>
  <c r="Y65" i="1"/>
  <c r="P65" i="80" s="1"/>
  <c r="Z65" i="1"/>
  <c r="Q65" i="80" s="1"/>
  <c r="T66" i="1"/>
  <c r="K66" i="80" s="1"/>
  <c r="U66" i="1"/>
  <c r="L66" i="80" s="1"/>
  <c r="V66" i="1"/>
  <c r="M66" i="80" s="1"/>
  <c r="W66" i="1"/>
  <c r="N66" i="80" s="1"/>
  <c r="X66" i="1"/>
  <c r="O66" i="80" s="1"/>
  <c r="Y66" i="1"/>
  <c r="P66" i="80" s="1"/>
  <c r="Z66" i="1"/>
  <c r="Q66" i="80" s="1"/>
  <c r="S66" i="1"/>
  <c r="J66" i="80" s="1"/>
  <c r="S65" i="1"/>
  <c r="J65" i="80" s="1"/>
  <c r="M12" i="22"/>
  <c r="T61" i="1"/>
  <c r="K61" i="80" s="1"/>
  <c r="U61" i="1"/>
  <c r="L61" i="80" s="1"/>
  <c r="V61" i="1"/>
  <c r="M61" i="80" s="1"/>
  <c r="W61" i="1"/>
  <c r="N61" i="80" s="1"/>
  <c r="X61" i="1"/>
  <c r="O61" i="80" s="1"/>
  <c r="Y61" i="1"/>
  <c r="P61" i="80" s="1"/>
  <c r="Z61" i="1"/>
  <c r="Q61" i="80" s="1"/>
  <c r="T62" i="1"/>
  <c r="K62" i="80" s="1"/>
  <c r="U62" i="1"/>
  <c r="L62" i="80" s="1"/>
  <c r="V62" i="1"/>
  <c r="M62" i="80" s="1"/>
  <c r="W62" i="1"/>
  <c r="N62" i="80" s="1"/>
  <c r="X62" i="1"/>
  <c r="O62" i="80" s="1"/>
  <c r="Y62" i="1"/>
  <c r="P62" i="80" s="1"/>
  <c r="Z62" i="1"/>
  <c r="Q62" i="80" s="1"/>
  <c r="T63" i="1"/>
  <c r="K63" i="80" s="1"/>
  <c r="U63" i="1"/>
  <c r="L63" i="80" s="1"/>
  <c r="V63" i="1"/>
  <c r="M63" i="80" s="1"/>
  <c r="W63" i="1"/>
  <c r="N63" i="80" s="1"/>
  <c r="X63" i="1"/>
  <c r="O63" i="80" s="1"/>
  <c r="Y63" i="1"/>
  <c r="P63" i="80" s="1"/>
  <c r="Z63" i="1"/>
  <c r="Q63" i="80" s="1"/>
  <c r="T64" i="1"/>
  <c r="K64" i="80" s="1"/>
  <c r="U64" i="1"/>
  <c r="L64" i="80" s="1"/>
  <c r="V64" i="1"/>
  <c r="M64" i="80" s="1"/>
  <c r="W64" i="1"/>
  <c r="N64" i="80" s="1"/>
  <c r="X64" i="1"/>
  <c r="O64" i="80" s="1"/>
  <c r="Y64" i="1"/>
  <c r="P64" i="80" s="1"/>
  <c r="Z64" i="1"/>
  <c r="Q64" i="80" s="1"/>
  <c r="S62" i="1"/>
  <c r="J62" i="80" s="1"/>
  <c r="S63" i="1"/>
  <c r="J63" i="80" s="1"/>
  <c r="S64" i="1"/>
  <c r="J64" i="80" s="1"/>
  <c r="S61" i="1"/>
  <c r="J61" i="80" s="1"/>
  <c r="N27" i="17"/>
  <c r="N25" i="17"/>
  <c r="M25" i="17"/>
  <c r="M26" i="17"/>
  <c r="N26" i="17" s="1"/>
  <c r="M27" i="17"/>
  <c r="R24" i="17"/>
  <c r="Q25" i="17"/>
  <c r="R25" i="17"/>
  <c r="Q26" i="17"/>
  <c r="R26" i="17"/>
  <c r="Q27" i="17"/>
  <c r="R27" i="17"/>
  <c r="P25" i="17"/>
  <c r="P26" i="17"/>
  <c r="P27" i="17"/>
  <c r="I25" i="17"/>
  <c r="I26" i="17"/>
  <c r="I27" i="17"/>
  <c r="I24" i="17"/>
  <c r="F26" i="22"/>
  <c r="F25" i="22"/>
  <c r="F24" i="22"/>
  <c r="I13" i="22"/>
  <c r="I25" i="22" s="1"/>
  <c r="I12" i="22"/>
  <c r="T55" i="1"/>
  <c r="K55" i="80" s="1"/>
  <c r="U55" i="1"/>
  <c r="L55" i="80" s="1"/>
  <c r="V55" i="1"/>
  <c r="M55" i="80" s="1"/>
  <c r="W55" i="1"/>
  <c r="N55" i="80" s="1"/>
  <c r="X55" i="1"/>
  <c r="O55" i="80" s="1"/>
  <c r="Y55" i="1"/>
  <c r="P55" i="80" s="1"/>
  <c r="T56" i="1"/>
  <c r="K56" i="80" s="1"/>
  <c r="U56" i="1"/>
  <c r="L56" i="80" s="1"/>
  <c r="V56" i="1"/>
  <c r="M56" i="80" s="1"/>
  <c r="W56" i="1"/>
  <c r="N56" i="80" s="1"/>
  <c r="X56" i="1"/>
  <c r="O56" i="80" s="1"/>
  <c r="Y56" i="1"/>
  <c r="P56" i="80" s="1"/>
  <c r="T57" i="1"/>
  <c r="K57" i="80" s="1"/>
  <c r="U57" i="1"/>
  <c r="L57" i="80" s="1"/>
  <c r="V57" i="1"/>
  <c r="M57" i="80" s="1"/>
  <c r="W57" i="1"/>
  <c r="N57" i="80" s="1"/>
  <c r="X57" i="1"/>
  <c r="O57" i="80" s="1"/>
  <c r="Y57" i="1"/>
  <c r="P57" i="80" s="1"/>
  <c r="T58" i="1"/>
  <c r="K58" i="80" s="1"/>
  <c r="U58" i="1"/>
  <c r="L58" i="80" s="1"/>
  <c r="V58" i="1"/>
  <c r="M58" i="80" s="1"/>
  <c r="W58" i="1"/>
  <c r="N58" i="80" s="1"/>
  <c r="X58" i="1"/>
  <c r="O58" i="80" s="1"/>
  <c r="Y58" i="1"/>
  <c r="P58" i="80" s="1"/>
  <c r="T59" i="1"/>
  <c r="K59" i="80" s="1"/>
  <c r="W59" i="1"/>
  <c r="N59" i="80" s="1"/>
  <c r="X59" i="1"/>
  <c r="O59" i="80" s="1"/>
  <c r="Y59" i="1"/>
  <c r="P59" i="80" s="1"/>
  <c r="Z59" i="1"/>
  <c r="Q59" i="80" s="1"/>
  <c r="V60" i="1"/>
  <c r="M60" i="80" s="1"/>
  <c r="W60" i="1"/>
  <c r="N60" i="80" s="1"/>
  <c r="X60" i="1"/>
  <c r="O60" i="80" s="1"/>
  <c r="Y60" i="1"/>
  <c r="P60" i="80" s="1"/>
  <c r="Z60" i="1"/>
  <c r="Q60" i="80" s="1"/>
  <c r="S55" i="1"/>
  <c r="J55" i="80" s="1"/>
  <c r="S56" i="1"/>
  <c r="J56" i="80" s="1"/>
  <c r="S57" i="1"/>
  <c r="J57" i="80" s="1"/>
  <c r="S58" i="1"/>
  <c r="J58" i="80" s="1"/>
  <c r="S59" i="1"/>
  <c r="J59" i="80" s="1"/>
  <c r="S60" i="1"/>
  <c r="J60" i="80" s="1"/>
  <c r="I18" i="16"/>
  <c r="I30" i="16" s="1"/>
  <c r="I17" i="16"/>
  <c r="I29" i="16" s="1"/>
  <c r="G35" i="16"/>
  <c r="G36" i="16"/>
  <c r="G37" i="16"/>
  <c r="G38" i="16"/>
  <c r="G39" i="16"/>
  <c r="G40" i="16"/>
  <c r="G28" i="16"/>
  <c r="G27" i="16"/>
  <c r="T54" i="1"/>
  <c r="K54" i="80" s="1"/>
  <c r="U54" i="1"/>
  <c r="L54" i="80" s="1"/>
  <c r="V54" i="1"/>
  <c r="M54" i="80" s="1"/>
  <c r="W54" i="1"/>
  <c r="N54" i="80" s="1"/>
  <c r="X54" i="1"/>
  <c r="O54" i="80" s="1"/>
  <c r="Y54" i="1"/>
  <c r="P54" i="80" s="1"/>
  <c r="Z54" i="1"/>
  <c r="Q54" i="80" s="1"/>
  <c r="S54" i="1"/>
  <c r="J54" i="80" s="1"/>
  <c r="P24" i="14"/>
  <c r="N12" i="14"/>
  <c r="M12" i="14"/>
  <c r="M24" i="14"/>
  <c r="N24" i="14" s="1"/>
  <c r="I12" i="14"/>
  <c r="I24" i="14" s="1"/>
  <c r="F18" i="14"/>
  <c r="F17" i="14"/>
  <c r="F16" i="14"/>
  <c r="F15" i="14"/>
  <c r="F14" i="14"/>
  <c r="F13" i="14"/>
  <c r="G18" i="14"/>
  <c r="T50" i="1"/>
  <c r="K50" i="80" s="1"/>
  <c r="U50" i="1"/>
  <c r="L50" i="80" s="1"/>
  <c r="X50" i="1"/>
  <c r="O50" i="80" s="1"/>
  <c r="Y50" i="1"/>
  <c r="P50" i="80" s="1"/>
  <c r="Z50" i="1"/>
  <c r="Q50" i="80" s="1"/>
  <c r="T51" i="1"/>
  <c r="K51" i="80" s="1"/>
  <c r="W51" i="1"/>
  <c r="N51" i="80" s="1"/>
  <c r="X51" i="1"/>
  <c r="O51" i="80" s="1"/>
  <c r="Y51" i="1"/>
  <c r="P51" i="80" s="1"/>
  <c r="Z51" i="1"/>
  <c r="Q51" i="80" s="1"/>
  <c r="V52" i="1"/>
  <c r="M52" i="80" s="1"/>
  <c r="W52" i="1"/>
  <c r="N52" i="80" s="1"/>
  <c r="X52" i="1"/>
  <c r="O52" i="80" s="1"/>
  <c r="Y52" i="1"/>
  <c r="P52" i="80" s="1"/>
  <c r="Z52" i="1"/>
  <c r="Q52" i="80" s="1"/>
  <c r="T53" i="1"/>
  <c r="K53" i="80" s="1"/>
  <c r="U53" i="1"/>
  <c r="L53" i="80" s="1"/>
  <c r="V53" i="1"/>
  <c r="M53" i="80" s="1"/>
  <c r="Y53" i="1"/>
  <c r="P53" i="80" s="1"/>
  <c r="Z53" i="1"/>
  <c r="Q53" i="80" s="1"/>
  <c r="S51" i="1"/>
  <c r="J51" i="80" s="1"/>
  <c r="S52" i="1"/>
  <c r="J52" i="80" s="1"/>
  <c r="S53" i="1"/>
  <c r="J53" i="80" s="1"/>
  <c r="S50" i="1"/>
  <c r="J50" i="80" s="1"/>
  <c r="I15" i="15"/>
  <c r="I27" i="15" s="1"/>
  <c r="I14" i="15"/>
  <c r="I26" i="15" s="1"/>
  <c r="F42" i="15"/>
  <c r="G42" i="15" s="1"/>
  <c r="F41" i="15"/>
  <c r="G41" i="15" s="1"/>
  <c r="F40" i="15"/>
  <c r="G40" i="15" s="1"/>
  <c r="F33" i="15"/>
  <c r="G33" i="15" s="1"/>
  <c r="F32" i="15"/>
  <c r="G32" i="15" s="1"/>
  <c r="F31" i="15"/>
  <c r="G31" i="15" s="1"/>
  <c r="I13" i="15"/>
  <c r="I25" i="15" s="1"/>
  <c r="I12" i="15"/>
  <c r="I24" i="15" s="1"/>
  <c r="F24" i="15"/>
  <c r="G24" i="15" s="1"/>
  <c r="F23" i="15"/>
  <c r="G23" i="15" s="1"/>
  <c r="F22" i="15"/>
  <c r="G22" i="15" s="1"/>
  <c r="G17" i="15"/>
  <c r="G16" i="15"/>
  <c r="F15" i="15"/>
  <c r="G15" i="15" s="1"/>
  <c r="F14" i="15"/>
  <c r="G14" i="15" s="1"/>
  <c r="F13" i="15"/>
  <c r="G13" i="15" s="1"/>
  <c r="T49" i="1"/>
  <c r="K49" i="80" s="1"/>
  <c r="U49" i="1"/>
  <c r="L49" i="80" s="1"/>
  <c r="V49" i="1"/>
  <c r="M49" i="80" s="1"/>
  <c r="W49" i="1"/>
  <c r="N49" i="80" s="1"/>
  <c r="X49" i="1"/>
  <c r="O49" i="80" s="1"/>
  <c r="Y49" i="1"/>
  <c r="P49" i="80" s="1"/>
  <c r="Z49" i="1"/>
  <c r="Q49" i="80" s="1"/>
  <c r="S49" i="1"/>
  <c r="J49" i="80" s="1"/>
  <c r="M12" i="11"/>
  <c r="I12" i="11"/>
  <c r="I24" i="11"/>
  <c r="G14" i="11"/>
  <c r="G13" i="11"/>
  <c r="F14" i="11"/>
  <c r="F13" i="11"/>
  <c r="I62" i="80" l="1"/>
  <c r="I69" i="80"/>
  <c r="I49" i="80"/>
  <c r="I61" i="80"/>
  <c r="I67" i="80"/>
  <c r="I64" i="80"/>
  <c r="I66" i="80"/>
  <c r="I70" i="80"/>
  <c r="I71" i="80"/>
  <c r="I54" i="80"/>
  <c r="I63" i="80"/>
  <c r="S76" i="1"/>
  <c r="J76" i="80" s="1"/>
  <c r="I76" i="80" s="1"/>
  <c r="P30" i="33"/>
  <c r="M30" i="33" s="1"/>
  <c r="K16" i="33"/>
  <c r="P28" i="33"/>
  <c r="N14" i="33"/>
  <c r="U74" i="1" s="1"/>
  <c r="L74" i="80" s="1"/>
  <c r="T74" i="1"/>
  <c r="K74" i="80" s="1"/>
  <c r="S78" i="1"/>
  <c r="J78" i="80" s="1"/>
  <c r="M18" i="33"/>
  <c r="T78" i="1" s="1"/>
  <c r="K78" i="80" s="1"/>
  <c r="P32" i="33"/>
  <c r="N15" i="33"/>
  <c r="U75" i="1" s="1"/>
  <c r="L75" i="80" s="1"/>
  <c r="T75" i="1"/>
  <c r="K75" i="80" s="1"/>
  <c r="P29" i="33"/>
  <c r="Q29" i="33" s="1"/>
  <c r="M29" i="33" s="1"/>
  <c r="S73" i="1"/>
  <c r="J73" i="80" s="1"/>
  <c r="I73" i="80" s="1"/>
  <c r="P27" i="33"/>
  <c r="M27" i="33" s="1"/>
  <c r="S77" i="1"/>
  <c r="J77" i="80" s="1"/>
  <c r="I77" i="80" s="1"/>
  <c r="P31" i="33"/>
  <c r="M31" i="33" s="1"/>
  <c r="M19" i="33"/>
  <c r="K17" i="33"/>
  <c r="K15" i="33"/>
  <c r="K13" i="33"/>
  <c r="N25" i="26"/>
  <c r="Q69" i="1"/>
  <c r="N12" i="22"/>
  <c r="T65" i="1"/>
  <c r="K65" i="80" s="1"/>
  <c r="L23" i="33"/>
  <c r="G23" i="33"/>
  <c r="M24" i="17"/>
  <c r="N24" i="17" s="1"/>
  <c r="G18" i="15"/>
  <c r="K13" i="10"/>
  <c r="K14" i="10"/>
  <c r="K15" i="10"/>
  <c r="S45" i="1"/>
  <c r="J45" i="80" s="1"/>
  <c r="I45" i="80" s="1"/>
  <c r="G24" i="10"/>
  <c r="G23" i="10"/>
  <c r="G22" i="10"/>
  <c r="G15" i="10"/>
  <c r="G14" i="10"/>
  <c r="G16" i="10"/>
  <c r="G13" i="10"/>
  <c r="I78" i="80" l="1"/>
  <c r="I75" i="80"/>
  <c r="K14" i="33"/>
  <c r="I74" i="80"/>
  <c r="N31" i="33"/>
  <c r="Q77" i="1"/>
  <c r="N29" i="33"/>
  <c r="Q75" i="1"/>
  <c r="Q28" i="33"/>
  <c r="M28" i="33" s="1"/>
  <c r="N27" i="33"/>
  <c r="Q73" i="1"/>
  <c r="Q76" i="1"/>
  <c r="N30" i="33"/>
  <c r="K18" i="33"/>
  <c r="Q32" i="33"/>
  <c r="M32" i="33"/>
  <c r="T80" i="1"/>
  <c r="K80" i="80" s="1"/>
  <c r="P34" i="33"/>
  <c r="N19" i="33"/>
  <c r="T79" i="1"/>
  <c r="K79" i="80" s="1"/>
  <c r="P33" i="33"/>
  <c r="M23" i="33"/>
  <c r="O12" i="22"/>
  <c r="U65" i="1"/>
  <c r="L65" i="80" s="1"/>
  <c r="O12" i="15"/>
  <c r="P24" i="15"/>
  <c r="M24" i="15" s="1"/>
  <c r="N24" i="15" s="1"/>
  <c r="R78" i="1"/>
  <c r="N32" i="33" l="1"/>
  <c r="Q78" i="1"/>
  <c r="N28" i="33"/>
  <c r="Q74" i="1"/>
  <c r="U80" i="1"/>
  <c r="L80" i="80" s="1"/>
  <c r="I80" i="80" s="1"/>
  <c r="K20" i="33"/>
  <c r="M34" i="33"/>
  <c r="Q33" i="33"/>
  <c r="M33" i="33" s="1"/>
  <c r="U79" i="1"/>
  <c r="N23" i="33"/>
  <c r="K19" i="33"/>
  <c r="V65" i="1"/>
  <c r="M65" i="80" s="1"/>
  <c r="I65" i="80" s="1"/>
  <c r="P12" i="15"/>
  <c r="V50" i="1"/>
  <c r="M50" i="80" s="1"/>
  <c r="F51" i="2"/>
  <c r="F50" i="2"/>
  <c r="F49" i="2"/>
  <c r="F42" i="2"/>
  <c r="F41" i="2"/>
  <c r="F40" i="2"/>
  <c r="F33" i="2"/>
  <c r="F32" i="2"/>
  <c r="F31" i="2"/>
  <c r="F24" i="2"/>
  <c r="F23" i="2"/>
  <c r="F22" i="2"/>
  <c r="F15" i="2"/>
  <c r="F14" i="2"/>
  <c r="F13" i="2"/>
  <c r="K23" i="33" l="1"/>
  <c r="R80" i="1"/>
  <c r="R79" i="1"/>
  <c r="L79" i="80"/>
  <c r="I79" i="80" s="1"/>
  <c r="N34" i="33"/>
  <c r="Q80" i="1"/>
  <c r="N33" i="33"/>
  <c r="Q79" i="1"/>
  <c r="W50" i="1"/>
  <c r="F15" i="74"/>
  <c r="G15" i="74" s="1"/>
  <c r="F14" i="74"/>
  <c r="G14" i="74" s="1"/>
  <c r="F13" i="74"/>
  <c r="G13" i="74" s="1"/>
  <c r="F15" i="51"/>
  <c r="G15" i="51" s="1"/>
  <c r="F14" i="51"/>
  <c r="G14" i="51" s="1"/>
  <c r="F13" i="51"/>
  <c r="G13" i="51" s="1"/>
  <c r="F15" i="50"/>
  <c r="F14" i="50"/>
  <c r="F13" i="50"/>
  <c r="R24" i="11"/>
  <c r="M24" i="11"/>
  <c r="N24" i="11" s="1"/>
  <c r="I14" i="7"/>
  <c r="I13" i="7"/>
  <c r="T13" i="1"/>
  <c r="K13" i="80" s="1"/>
  <c r="U13" i="1"/>
  <c r="L13" i="80" s="1"/>
  <c r="V13" i="1"/>
  <c r="M13" i="80" s="1"/>
  <c r="W13" i="1"/>
  <c r="N13" i="80" s="1"/>
  <c r="X13" i="1"/>
  <c r="O13" i="80" s="1"/>
  <c r="Y13" i="1"/>
  <c r="P13" i="80" s="1"/>
  <c r="Z13" i="1"/>
  <c r="Q13" i="80" s="1"/>
  <c r="T14" i="1"/>
  <c r="K14" i="80" s="1"/>
  <c r="U14" i="1"/>
  <c r="L14" i="80" s="1"/>
  <c r="V14" i="1"/>
  <c r="M14" i="80" s="1"/>
  <c r="W14" i="1"/>
  <c r="N14" i="80" s="1"/>
  <c r="X14" i="1"/>
  <c r="O14" i="80" s="1"/>
  <c r="Y14" i="1"/>
  <c r="P14" i="80" s="1"/>
  <c r="Z14" i="1"/>
  <c r="Q14" i="80" s="1"/>
  <c r="T15" i="1"/>
  <c r="K15" i="80" s="1"/>
  <c r="U15" i="1"/>
  <c r="L15" i="80" s="1"/>
  <c r="V15" i="1"/>
  <c r="M15" i="80" s="1"/>
  <c r="W15" i="1"/>
  <c r="N15" i="80" s="1"/>
  <c r="X15" i="1"/>
  <c r="O15" i="80" s="1"/>
  <c r="Y15" i="1"/>
  <c r="P15" i="80" s="1"/>
  <c r="Z15" i="1"/>
  <c r="Q15" i="80" s="1"/>
  <c r="T16" i="1"/>
  <c r="K16" i="80" s="1"/>
  <c r="U16" i="1"/>
  <c r="L16" i="80" s="1"/>
  <c r="V16" i="1"/>
  <c r="M16" i="80" s="1"/>
  <c r="W16" i="1"/>
  <c r="N16" i="80" s="1"/>
  <c r="X16" i="1"/>
  <c r="O16" i="80" s="1"/>
  <c r="Y16" i="1"/>
  <c r="P16" i="80" s="1"/>
  <c r="Z16" i="1"/>
  <c r="Q16" i="80" s="1"/>
  <c r="T17" i="1"/>
  <c r="K17" i="80" s="1"/>
  <c r="U17" i="1"/>
  <c r="L17" i="80" s="1"/>
  <c r="V17" i="1"/>
  <c r="M17" i="80" s="1"/>
  <c r="W17" i="1"/>
  <c r="N17" i="80" s="1"/>
  <c r="X17" i="1"/>
  <c r="O17" i="80" s="1"/>
  <c r="Y17" i="1"/>
  <c r="P17" i="80" s="1"/>
  <c r="Z17" i="1"/>
  <c r="Q17" i="80" s="1"/>
  <c r="S14" i="1"/>
  <c r="J14" i="80" s="1"/>
  <c r="S15" i="1"/>
  <c r="J15" i="80" s="1"/>
  <c r="S16" i="1"/>
  <c r="J16" i="80" s="1"/>
  <c r="S17" i="1"/>
  <c r="J17" i="80" s="1"/>
  <c r="S13" i="1"/>
  <c r="J13" i="80" s="1"/>
  <c r="K31" i="5"/>
  <c r="K30" i="5"/>
  <c r="K29" i="5"/>
  <c r="R26" i="5"/>
  <c r="O25" i="5"/>
  <c r="V30" i="1" s="1"/>
  <c r="M30" i="80" s="1"/>
  <c r="I30" i="80" s="1"/>
  <c r="O24" i="5"/>
  <c r="M23" i="5"/>
  <c r="N22" i="5"/>
  <c r="U27" i="1" s="1"/>
  <c r="L27" i="80" s="1"/>
  <c r="I27" i="80" s="1"/>
  <c r="M21" i="5"/>
  <c r="T26" i="1" s="1"/>
  <c r="K26" i="80" s="1"/>
  <c r="I26" i="80" s="1"/>
  <c r="N20" i="5"/>
  <c r="U25" i="1" s="1"/>
  <c r="L25" i="80" s="1"/>
  <c r="I25" i="80" s="1"/>
  <c r="N19" i="5"/>
  <c r="U24" i="1" s="1"/>
  <c r="L24" i="80" s="1"/>
  <c r="I24" i="80" s="1"/>
  <c r="M18" i="5"/>
  <c r="N14" i="5"/>
  <c r="U19" i="1" s="1"/>
  <c r="L19" i="80" s="1"/>
  <c r="I19" i="80" s="1"/>
  <c r="N13" i="5"/>
  <c r="L15" i="5"/>
  <c r="G27" i="5"/>
  <c r="G17" i="5"/>
  <c r="F16" i="5"/>
  <c r="F28" i="5" s="1"/>
  <c r="Q28" i="5" s="1"/>
  <c r="X33" i="1" s="1"/>
  <c r="O33" i="80" s="1"/>
  <c r="I33" i="80" s="1"/>
  <c r="G14" i="5"/>
  <c r="G15" i="5"/>
  <c r="G18" i="5"/>
  <c r="G19" i="5"/>
  <c r="G20" i="5"/>
  <c r="G21" i="5"/>
  <c r="G22" i="5"/>
  <c r="G23" i="5"/>
  <c r="G24" i="5"/>
  <c r="G25" i="5"/>
  <c r="G26" i="5"/>
  <c r="M28" i="3"/>
  <c r="N28" i="3" s="1"/>
  <c r="M27" i="3"/>
  <c r="N27" i="3" s="1"/>
  <c r="I27" i="3"/>
  <c r="M26" i="3"/>
  <c r="N26" i="3" s="1"/>
  <c r="M25" i="3"/>
  <c r="N25" i="3" s="1"/>
  <c r="I25" i="3"/>
  <c r="M24" i="3"/>
  <c r="N24" i="3" s="1"/>
  <c r="S20" i="3"/>
  <c r="R20" i="3"/>
  <c r="Q20" i="3"/>
  <c r="P20" i="3"/>
  <c r="O20" i="3"/>
  <c r="N20" i="3"/>
  <c r="M20" i="3"/>
  <c r="L20" i="3"/>
  <c r="K19" i="3"/>
  <c r="K18" i="3"/>
  <c r="K17" i="3"/>
  <c r="K16" i="3"/>
  <c r="J16" i="3"/>
  <c r="I16" i="3"/>
  <c r="I28" i="3" s="1"/>
  <c r="K15" i="3"/>
  <c r="J15" i="3"/>
  <c r="I15" i="3"/>
  <c r="K14" i="3"/>
  <c r="J14" i="3"/>
  <c r="I14" i="3"/>
  <c r="I26" i="3" s="1"/>
  <c r="K13" i="3"/>
  <c r="J13" i="3"/>
  <c r="I13" i="3"/>
  <c r="K12" i="3"/>
  <c r="J12" i="3"/>
  <c r="I12" i="3"/>
  <c r="I24" i="3" s="1"/>
  <c r="M25" i="2"/>
  <c r="M26" i="2"/>
  <c r="M27" i="2"/>
  <c r="M28" i="2"/>
  <c r="M24" i="2"/>
  <c r="Q8" i="1" s="1"/>
  <c r="R45" i="1"/>
  <c r="R46" i="1"/>
  <c r="R49" i="1"/>
  <c r="R54" i="1"/>
  <c r="R61" i="1"/>
  <c r="R62" i="1"/>
  <c r="R63" i="1"/>
  <c r="R64" i="1"/>
  <c r="R65" i="1"/>
  <c r="R66" i="1"/>
  <c r="R67" i="1"/>
  <c r="R69" i="1"/>
  <c r="R70" i="1"/>
  <c r="R71" i="1"/>
  <c r="R73" i="1"/>
  <c r="R74" i="1"/>
  <c r="R75" i="1"/>
  <c r="R76" i="1"/>
  <c r="R77" i="1"/>
  <c r="R83" i="1"/>
  <c r="R84" i="1"/>
  <c r="R85" i="1"/>
  <c r="R86" i="1"/>
  <c r="R96" i="1"/>
  <c r="R97" i="1"/>
  <c r="R98" i="1"/>
  <c r="R99" i="1"/>
  <c r="R100" i="1"/>
  <c r="R101" i="1"/>
  <c r="R102" i="1"/>
  <c r="R103" i="1"/>
  <c r="R104" i="1"/>
  <c r="R105" i="1"/>
  <c r="C23" i="62" s="1"/>
  <c r="I23" i="62" s="1"/>
  <c r="R108" i="1"/>
  <c r="R109" i="1"/>
  <c r="R110" i="1"/>
  <c r="R112" i="1"/>
  <c r="R115" i="1"/>
  <c r="R119" i="1"/>
  <c r="G52" i="62" s="1"/>
  <c r="I52" i="62" s="1"/>
  <c r="R138" i="1"/>
  <c r="R140" i="1"/>
  <c r="R141" i="1"/>
  <c r="T8" i="1"/>
  <c r="K8" i="80" s="1"/>
  <c r="U8" i="1"/>
  <c r="L8" i="80" s="1"/>
  <c r="V8" i="1"/>
  <c r="M8" i="80" s="1"/>
  <c r="W8" i="1"/>
  <c r="X8" i="1"/>
  <c r="O8" i="80" s="1"/>
  <c r="Y8" i="1"/>
  <c r="P8" i="80" s="1"/>
  <c r="Z8" i="1"/>
  <c r="Q8" i="80" s="1"/>
  <c r="T9" i="1"/>
  <c r="K9" i="80" s="1"/>
  <c r="U9" i="1"/>
  <c r="L9" i="80" s="1"/>
  <c r="V9" i="1"/>
  <c r="M9" i="80" s="1"/>
  <c r="W9" i="1"/>
  <c r="N9" i="80" s="1"/>
  <c r="X9" i="1"/>
  <c r="O9" i="80" s="1"/>
  <c r="Y9" i="1"/>
  <c r="P9" i="80" s="1"/>
  <c r="Z9" i="1"/>
  <c r="Q9" i="80" s="1"/>
  <c r="T10" i="1"/>
  <c r="K10" i="80" s="1"/>
  <c r="U10" i="1"/>
  <c r="L10" i="80" s="1"/>
  <c r="V10" i="1"/>
  <c r="M10" i="80" s="1"/>
  <c r="W10" i="1"/>
  <c r="N10" i="80" s="1"/>
  <c r="X10" i="1"/>
  <c r="O10" i="80" s="1"/>
  <c r="Y10" i="1"/>
  <c r="P10" i="80" s="1"/>
  <c r="Z10" i="1"/>
  <c r="Q10" i="80" s="1"/>
  <c r="T11" i="1"/>
  <c r="K11" i="80" s="1"/>
  <c r="U11" i="1"/>
  <c r="L11" i="80" s="1"/>
  <c r="V11" i="1"/>
  <c r="M11" i="80" s="1"/>
  <c r="W11" i="1"/>
  <c r="N11" i="80" s="1"/>
  <c r="X11" i="1"/>
  <c r="O11" i="80" s="1"/>
  <c r="Y11" i="1"/>
  <c r="P11" i="80" s="1"/>
  <c r="Z11" i="1"/>
  <c r="Q11" i="80" s="1"/>
  <c r="T12" i="1"/>
  <c r="K12" i="80" s="1"/>
  <c r="U12" i="1"/>
  <c r="L12" i="80" s="1"/>
  <c r="V12" i="1"/>
  <c r="M12" i="80" s="1"/>
  <c r="W12" i="1"/>
  <c r="N12" i="80" s="1"/>
  <c r="X12" i="1"/>
  <c r="O12" i="80" s="1"/>
  <c r="Y12" i="1"/>
  <c r="P12" i="80" s="1"/>
  <c r="Z12" i="1"/>
  <c r="Q12" i="80" s="1"/>
  <c r="S9" i="1"/>
  <c r="J9" i="80" s="1"/>
  <c r="S10" i="1"/>
  <c r="J10" i="80" s="1"/>
  <c r="S11" i="1"/>
  <c r="J11" i="80" s="1"/>
  <c r="S12" i="1"/>
  <c r="J12" i="80" s="1"/>
  <c r="S8" i="1"/>
  <c r="J8" i="80" s="1"/>
  <c r="I12" i="80" l="1"/>
  <c r="I15" i="80"/>
  <c r="I17" i="80"/>
  <c r="I13" i="80"/>
  <c r="I14" i="80"/>
  <c r="N8" i="80"/>
  <c r="I8" i="80" s="1"/>
  <c r="I16" i="80"/>
  <c r="R50" i="1"/>
  <c r="N50" i="80"/>
  <c r="I50" i="80" s="1"/>
  <c r="K18" i="5"/>
  <c r="T23" i="1"/>
  <c r="K23" i="80" s="1"/>
  <c r="I23" i="80" s="1"/>
  <c r="Y31" i="1"/>
  <c r="P31" i="80" s="1"/>
  <c r="R33" i="5"/>
  <c r="L33" i="5"/>
  <c r="S20" i="1"/>
  <c r="R20" i="1" s="1"/>
  <c r="N33" i="5"/>
  <c r="U18" i="1"/>
  <c r="O33" i="5"/>
  <c r="V29" i="1"/>
  <c r="R29" i="1" s="1"/>
  <c r="K23" i="5"/>
  <c r="M33" i="5"/>
  <c r="T28" i="1"/>
  <c r="I11" i="80"/>
  <c r="C47" i="62"/>
  <c r="I9" i="80"/>
  <c r="I10" i="80"/>
  <c r="N24" i="2"/>
  <c r="G18" i="74"/>
  <c r="T118" i="1"/>
  <c r="K118" i="80" s="1"/>
  <c r="N28" i="2"/>
  <c r="Q12" i="1"/>
  <c r="N27" i="2"/>
  <c r="Q11" i="1"/>
  <c r="N26" i="2"/>
  <c r="Q10" i="1"/>
  <c r="N25" i="2"/>
  <c r="Q9" i="1"/>
  <c r="E9" i="62"/>
  <c r="E11" i="62" s="1"/>
  <c r="G16" i="5"/>
  <c r="G28" i="5"/>
  <c r="R28" i="1"/>
  <c r="K21" i="5"/>
  <c r="G31" i="5"/>
  <c r="R31" i="1"/>
  <c r="R35" i="1"/>
  <c r="R34" i="1"/>
  <c r="R33" i="1"/>
  <c r="K25" i="5"/>
  <c r="R16" i="1"/>
  <c r="R24" i="1"/>
  <c r="R19" i="1"/>
  <c r="R15" i="1"/>
  <c r="R17" i="1"/>
  <c r="R14" i="1"/>
  <c r="R13" i="1"/>
  <c r="R25" i="1"/>
  <c r="K32" i="5"/>
  <c r="K28" i="5"/>
  <c r="R36" i="1"/>
  <c r="R30" i="1"/>
  <c r="K24" i="5"/>
  <c r="K20" i="5"/>
  <c r="Q16" i="5"/>
  <c r="S27" i="5"/>
  <c r="K19" i="5"/>
  <c r="R27" i="1"/>
  <c r="R26" i="1"/>
  <c r="Q17" i="5"/>
  <c r="X22" i="1" s="1"/>
  <c r="O22" i="80" s="1"/>
  <c r="I22" i="80" s="1"/>
  <c r="R37" i="1"/>
  <c r="K26" i="5"/>
  <c r="K22" i="5"/>
  <c r="K20" i="3"/>
  <c r="R12" i="1"/>
  <c r="R10" i="1"/>
  <c r="R9" i="1"/>
  <c r="R11" i="1"/>
  <c r="R23" i="1" l="1"/>
  <c r="I31" i="80"/>
  <c r="M29" i="80"/>
  <c r="I29" i="80" s="1"/>
  <c r="J20" i="80"/>
  <c r="I20" i="80" s="1"/>
  <c r="L18" i="80"/>
  <c r="I18" i="80" s="1"/>
  <c r="R18" i="1"/>
  <c r="Z32" i="1"/>
  <c r="Q32" i="80" s="1"/>
  <c r="S33" i="5"/>
  <c r="X21" i="1"/>
  <c r="O21" i="80" s="1"/>
  <c r="I21" i="80" s="1"/>
  <c r="Q33" i="5"/>
  <c r="K28" i="80"/>
  <c r="I28" i="80" s="1"/>
  <c r="U118" i="1"/>
  <c r="I93" i="80"/>
  <c r="R93" i="1"/>
  <c r="G32" i="5"/>
  <c r="R22" i="1"/>
  <c r="K17" i="5"/>
  <c r="R32" i="1"/>
  <c r="K27" i="5"/>
  <c r="K16" i="5"/>
  <c r="G17" i="79"/>
  <c r="G16" i="79"/>
  <c r="G15" i="79"/>
  <c r="L14" i="79" s="1"/>
  <c r="M14" i="79" s="1"/>
  <c r="G14" i="79"/>
  <c r="L13" i="79"/>
  <c r="M13" i="79" s="1"/>
  <c r="G13" i="79"/>
  <c r="L12" i="79" s="1"/>
  <c r="J12" i="79"/>
  <c r="S18" i="77"/>
  <c r="R18" i="77"/>
  <c r="N18" i="77"/>
  <c r="M18" i="77"/>
  <c r="L18" i="77"/>
  <c r="J12" i="77"/>
  <c r="I12" i="77"/>
  <c r="S18" i="76"/>
  <c r="R18" i="76"/>
  <c r="Q18" i="76"/>
  <c r="P18" i="76"/>
  <c r="M18" i="76"/>
  <c r="L18" i="76"/>
  <c r="G18" i="76"/>
  <c r="N12" i="76" s="1"/>
  <c r="P22" i="76" s="1"/>
  <c r="J12" i="76"/>
  <c r="S20" i="75"/>
  <c r="R20" i="75"/>
  <c r="Q20" i="75"/>
  <c r="P20" i="75"/>
  <c r="L20" i="75"/>
  <c r="J12" i="75"/>
  <c r="S20" i="74"/>
  <c r="R20" i="74"/>
  <c r="Q20" i="74"/>
  <c r="P20" i="74"/>
  <c r="L20" i="74"/>
  <c r="K19" i="74"/>
  <c r="K18" i="74"/>
  <c r="J12" i="74"/>
  <c r="S20" i="73"/>
  <c r="R20" i="73"/>
  <c r="Q20" i="73"/>
  <c r="O20" i="73"/>
  <c r="K19" i="73"/>
  <c r="K18" i="73"/>
  <c r="K17" i="73"/>
  <c r="G17" i="73"/>
  <c r="K16" i="73"/>
  <c r="G16" i="73"/>
  <c r="K15" i="73"/>
  <c r="G15" i="73"/>
  <c r="K14" i="73"/>
  <c r="G14" i="73"/>
  <c r="K13" i="73"/>
  <c r="G13" i="73"/>
  <c r="P20" i="73" s="1"/>
  <c r="R21" i="1" l="1"/>
  <c r="I32" i="80"/>
  <c r="C45" i="62"/>
  <c r="R118" i="1"/>
  <c r="D26" i="62" s="1"/>
  <c r="I26" i="62" s="1"/>
  <c r="L118" i="80"/>
  <c r="I118" i="80" s="1"/>
  <c r="M12" i="79"/>
  <c r="N12" i="79" s="1"/>
  <c r="S128" i="1"/>
  <c r="J128" i="80" s="1"/>
  <c r="G18" i="79"/>
  <c r="G18" i="77"/>
  <c r="U124" i="1"/>
  <c r="L124" i="80" s="1"/>
  <c r="L18" i="79"/>
  <c r="N18" i="76"/>
  <c r="K12" i="76"/>
  <c r="K18" i="76" s="1"/>
  <c r="N20" i="73"/>
  <c r="L20" i="73"/>
  <c r="G18" i="73"/>
  <c r="M12" i="73" s="1"/>
  <c r="M18" i="79"/>
  <c r="N13" i="79"/>
  <c r="O13" i="79" s="1"/>
  <c r="P13" i="79" s="1"/>
  <c r="Q13" i="79" s="1"/>
  <c r="R13" i="79" s="1"/>
  <c r="S13" i="79" s="1"/>
  <c r="N14" i="79"/>
  <c r="O14" i="79" s="1"/>
  <c r="P14" i="79" s="1"/>
  <c r="Q14" i="79" s="1"/>
  <c r="R14" i="79" s="1"/>
  <c r="S14" i="79" s="1"/>
  <c r="M20" i="75"/>
  <c r="N20" i="75"/>
  <c r="M20" i="74"/>
  <c r="K12" i="74"/>
  <c r="N20" i="74"/>
  <c r="U128" i="1" l="1"/>
  <c r="L128" i="80" s="1"/>
  <c r="T128" i="1"/>
  <c r="K128" i="80" s="1"/>
  <c r="V125" i="1"/>
  <c r="M125" i="80" s="1"/>
  <c r="O18" i="77"/>
  <c r="O18" i="76"/>
  <c r="V124" i="1"/>
  <c r="M20" i="73"/>
  <c r="T81" i="1"/>
  <c r="K12" i="73"/>
  <c r="K20" i="73" s="1"/>
  <c r="N18" i="79"/>
  <c r="O12" i="79"/>
  <c r="K20" i="75"/>
  <c r="O20" i="75"/>
  <c r="K20" i="74"/>
  <c r="O20" i="74"/>
  <c r="R81" i="1" l="1"/>
  <c r="K81" i="80"/>
  <c r="I81" i="80" s="1"/>
  <c r="R124" i="1"/>
  <c r="M124" i="80"/>
  <c r="I124" i="80" s="1"/>
  <c r="V128" i="1"/>
  <c r="M128" i="80" s="1"/>
  <c r="W125" i="1"/>
  <c r="N125" i="80" s="1"/>
  <c r="P18" i="77"/>
  <c r="P12" i="79"/>
  <c r="O18" i="79"/>
  <c r="W128" i="1" l="1"/>
  <c r="N128" i="80" s="1"/>
  <c r="X125" i="1"/>
  <c r="Q18" i="77"/>
  <c r="K12" i="77"/>
  <c r="K18" i="77" s="1"/>
  <c r="P18" i="79"/>
  <c r="R125" i="1" l="1"/>
  <c r="O125" i="80"/>
  <c r="I125" i="80" s="1"/>
  <c r="X128" i="1"/>
  <c r="O128" i="80" s="1"/>
  <c r="Q18" i="79"/>
  <c r="Y128" i="1" l="1"/>
  <c r="P128" i="80" s="1"/>
  <c r="R18" i="79"/>
  <c r="K19" i="48"/>
  <c r="K18" i="48"/>
  <c r="G17" i="48"/>
  <c r="K16" i="48"/>
  <c r="G16" i="48"/>
  <c r="K15" i="48"/>
  <c r="G15" i="48"/>
  <c r="K14" i="48"/>
  <c r="G14" i="48"/>
  <c r="K13" i="48"/>
  <c r="G13" i="48"/>
  <c r="J12" i="48"/>
  <c r="K19" i="47"/>
  <c r="K18" i="47"/>
  <c r="K16" i="47"/>
  <c r="K15" i="47"/>
  <c r="K14" i="47"/>
  <c r="G14" i="47"/>
  <c r="K13" i="47"/>
  <c r="G13" i="47"/>
  <c r="J12" i="47"/>
  <c r="S20" i="46"/>
  <c r="R20" i="46"/>
  <c r="Q20" i="46"/>
  <c r="P20" i="46"/>
  <c r="O20" i="46"/>
  <c r="K19" i="46"/>
  <c r="K18" i="46"/>
  <c r="G17" i="46"/>
  <c r="G16" i="46"/>
  <c r="G15" i="46"/>
  <c r="G14" i="46"/>
  <c r="J13" i="46"/>
  <c r="J12" i="46"/>
  <c r="L16" i="34"/>
  <c r="M16" i="34" s="1"/>
  <c r="L15" i="34"/>
  <c r="L14" i="34"/>
  <c r="M14" i="34" s="1"/>
  <c r="L13" i="34"/>
  <c r="K19" i="34"/>
  <c r="K18" i="34"/>
  <c r="K17" i="34"/>
  <c r="G17" i="34"/>
  <c r="G16" i="34"/>
  <c r="G15" i="34"/>
  <c r="G14" i="34"/>
  <c r="G13" i="34"/>
  <c r="L16" i="28"/>
  <c r="M16" i="28" s="1"/>
  <c r="N16" i="28" s="1"/>
  <c r="O16" i="28" s="1"/>
  <c r="P16" i="28" s="1"/>
  <c r="Q16" i="28" s="1"/>
  <c r="L15" i="28"/>
  <c r="M15" i="28" s="1"/>
  <c r="N15" i="28" s="1"/>
  <c r="O15" i="28" s="1"/>
  <c r="P15" i="28" s="1"/>
  <c r="Q15" i="28" s="1"/>
  <c r="L14" i="28"/>
  <c r="M14" i="28" s="1"/>
  <c r="N14" i="28" s="1"/>
  <c r="O14" i="28" s="1"/>
  <c r="P14" i="28" s="1"/>
  <c r="Q14" i="28" s="1"/>
  <c r="L13" i="28"/>
  <c r="M13" i="28" s="1"/>
  <c r="N13" i="28" s="1"/>
  <c r="O13" i="28" s="1"/>
  <c r="P13" i="28" s="1"/>
  <c r="Q13" i="28" s="1"/>
  <c r="Z128" i="1" l="1"/>
  <c r="G18" i="48"/>
  <c r="T113" i="1"/>
  <c r="K113" i="80" s="1"/>
  <c r="G18" i="47"/>
  <c r="G18" i="46"/>
  <c r="L12" i="46" s="1"/>
  <c r="P24" i="46" s="1"/>
  <c r="M24" i="46" s="1"/>
  <c r="N24" i="46" s="1"/>
  <c r="G18" i="34"/>
  <c r="N16" i="34"/>
  <c r="O16" i="34" s="1"/>
  <c r="P16" i="34" s="1"/>
  <c r="Q16" i="34" s="1"/>
  <c r="R16" i="34" s="1"/>
  <c r="N14" i="34"/>
  <c r="O14" i="34" s="1"/>
  <c r="P14" i="34" s="1"/>
  <c r="Q14" i="34" s="1"/>
  <c r="R14" i="34" s="1"/>
  <c r="S14" i="34" s="1"/>
  <c r="K14" i="34"/>
  <c r="M13" i="34"/>
  <c r="N13" i="34" s="1"/>
  <c r="M15" i="34"/>
  <c r="S18" i="79"/>
  <c r="K12" i="79"/>
  <c r="K18" i="79" s="1"/>
  <c r="N20" i="46"/>
  <c r="K13" i="46"/>
  <c r="M20" i="46"/>
  <c r="G15" i="22"/>
  <c r="G16" i="22"/>
  <c r="G17" i="22"/>
  <c r="G18" i="22"/>
  <c r="S16" i="16"/>
  <c r="S13" i="16"/>
  <c r="J15" i="8"/>
  <c r="J14" i="8"/>
  <c r="G20" i="8"/>
  <c r="J13" i="8" s="1"/>
  <c r="K19" i="8"/>
  <c r="K18" i="8"/>
  <c r="G17" i="8"/>
  <c r="J16" i="8"/>
  <c r="G16" i="8"/>
  <c r="G15" i="8"/>
  <c r="I14" i="8"/>
  <c r="G14" i="8"/>
  <c r="I13" i="8"/>
  <c r="G13" i="8"/>
  <c r="I12" i="8"/>
  <c r="G11" i="8"/>
  <c r="B8" i="8"/>
  <c r="B6" i="8"/>
  <c r="K12" i="46" l="1"/>
  <c r="L20" i="46"/>
  <c r="R128" i="1"/>
  <c r="Q128" i="80"/>
  <c r="I128" i="80" s="1"/>
  <c r="S111" i="1"/>
  <c r="J111" i="80" s="1"/>
  <c r="Z56" i="1"/>
  <c r="Z57" i="1"/>
  <c r="Z58" i="1"/>
  <c r="Z55" i="1"/>
  <c r="L20" i="47"/>
  <c r="L20" i="34"/>
  <c r="M20" i="34"/>
  <c r="N15" i="34"/>
  <c r="O15" i="34" s="1"/>
  <c r="P15" i="34" s="1"/>
  <c r="O13" i="34"/>
  <c r="N20" i="34"/>
  <c r="S16" i="34"/>
  <c r="K16" i="34" s="1"/>
  <c r="K20" i="46"/>
  <c r="J12" i="8"/>
  <c r="G18" i="8"/>
  <c r="R58" i="1" l="1"/>
  <c r="Q58" i="80"/>
  <c r="I58" i="80" s="1"/>
  <c r="R55" i="1"/>
  <c r="Q55" i="80"/>
  <c r="R57" i="1"/>
  <c r="Q57" i="80"/>
  <c r="I57" i="80" s="1"/>
  <c r="R56" i="1"/>
  <c r="Q56" i="80"/>
  <c r="I56" i="80" s="1"/>
  <c r="T111" i="1"/>
  <c r="K111" i="80" s="1"/>
  <c r="M20" i="47"/>
  <c r="O12" i="34"/>
  <c r="U82" i="1"/>
  <c r="L82" i="80" s="1"/>
  <c r="P13" i="34"/>
  <c r="Q13" i="34" s="1"/>
  <c r="Q15" i="34"/>
  <c r="K15" i="8"/>
  <c r="I55" i="80" l="1"/>
  <c r="N20" i="8"/>
  <c r="L20" i="8"/>
  <c r="Q20" i="8"/>
  <c r="P20" i="8"/>
  <c r="M20" i="8"/>
  <c r="O20" i="8"/>
  <c r="U111" i="1"/>
  <c r="L111" i="80" s="1"/>
  <c r="K16" i="8"/>
  <c r="N20" i="47"/>
  <c r="P12" i="34"/>
  <c r="V82" i="1"/>
  <c r="M82" i="80" s="1"/>
  <c r="O20" i="34"/>
  <c r="R15" i="34"/>
  <c r="S15" i="34" s="1"/>
  <c r="K15" i="34"/>
  <c r="Q20" i="34"/>
  <c r="R13" i="34"/>
  <c r="K13" i="8"/>
  <c r="K12" i="8"/>
  <c r="K14" i="8"/>
  <c r="S20" i="51"/>
  <c r="R20" i="51"/>
  <c r="P20" i="51"/>
  <c r="O20" i="51"/>
  <c r="M20" i="51"/>
  <c r="L20" i="51"/>
  <c r="G17" i="51"/>
  <c r="G16" i="51"/>
  <c r="J12" i="51"/>
  <c r="S20" i="50"/>
  <c r="R20" i="50"/>
  <c r="Q20" i="50"/>
  <c r="P20" i="50"/>
  <c r="O20" i="50"/>
  <c r="L20" i="50"/>
  <c r="K19" i="50"/>
  <c r="K18" i="50"/>
  <c r="G17" i="50"/>
  <c r="G16" i="50"/>
  <c r="G15" i="50"/>
  <c r="G14" i="50"/>
  <c r="G13" i="50"/>
  <c r="J12" i="50"/>
  <c r="S20" i="49"/>
  <c r="R20" i="49"/>
  <c r="Q20" i="49"/>
  <c r="P20" i="49"/>
  <c r="O20" i="49"/>
  <c r="N20" i="49"/>
  <c r="M20" i="49"/>
  <c r="L20" i="49"/>
  <c r="K19" i="49"/>
  <c r="K18" i="49"/>
  <c r="G17" i="49"/>
  <c r="G16" i="49"/>
  <c r="G15" i="49"/>
  <c r="G14" i="49"/>
  <c r="G13" i="49"/>
  <c r="K20" i="49"/>
  <c r="L20" i="45"/>
  <c r="S20" i="45"/>
  <c r="R20" i="45"/>
  <c r="Q20" i="45"/>
  <c r="P20" i="45"/>
  <c r="O20" i="45"/>
  <c r="N20" i="45"/>
  <c r="M20" i="45"/>
  <c r="K19" i="45"/>
  <c r="K18" i="45"/>
  <c r="K12" i="45"/>
  <c r="J12" i="45"/>
  <c r="S20" i="44"/>
  <c r="R20" i="44"/>
  <c r="Q20" i="44"/>
  <c r="P20" i="44"/>
  <c r="O20" i="44"/>
  <c r="N20" i="44"/>
  <c r="M20" i="44"/>
  <c r="L20" i="44"/>
  <c r="K19" i="44"/>
  <c r="K18" i="44"/>
  <c r="K12" i="44"/>
  <c r="J12" i="44"/>
  <c r="S20" i="42"/>
  <c r="R20" i="42"/>
  <c r="Q20" i="42"/>
  <c r="P20" i="42"/>
  <c r="O20" i="42"/>
  <c r="N20" i="42"/>
  <c r="L20" i="42"/>
  <c r="K19" i="42"/>
  <c r="K18" i="42"/>
  <c r="G16" i="42"/>
  <c r="G15" i="42"/>
  <c r="G14" i="42"/>
  <c r="G13" i="42"/>
  <c r="J12" i="42"/>
  <c r="R20" i="40"/>
  <c r="Q20" i="40"/>
  <c r="P20" i="40"/>
  <c r="O20" i="40"/>
  <c r="N20" i="40"/>
  <c r="M20" i="40"/>
  <c r="L20" i="40"/>
  <c r="K19" i="40"/>
  <c r="K18" i="40"/>
  <c r="K17" i="40"/>
  <c r="G17" i="40"/>
  <c r="S16" i="40"/>
  <c r="G16" i="40"/>
  <c r="S15" i="40"/>
  <c r="G15" i="40"/>
  <c r="S14" i="40"/>
  <c r="G14" i="40"/>
  <c r="S13" i="40"/>
  <c r="G13" i="40"/>
  <c r="S12" i="40"/>
  <c r="K12" i="40"/>
  <c r="J12" i="40"/>
  <c r="K19" i="38"/>
  <c r="K18" i="38"/>
  <c r="K17" i="38"/>
  <c r="G17" i="38"/>
  <c r="J16" i="38"/>
  <c r="G16" i="38"/>
  <c r="J15" i="38"/>
  <c r="G15" i="38"/>
  <c r="J14" i="38"/>
  <c r="G14" i="38"/>
  <c r="J13" i="38"/>
  <c r="G13" i="38"/>
  <c r="G26" i="37"/>
  <c r="G25" i="37"/>
  <c r="G24" i="37"/>
  <c r="G23" i="37"/>
  <c r="G22" i="37"/>
  <c r="K19" i="37"/>
  <c r="K18" i="37"/>
  <c r="K17" i="37"/>
  <c r="G17" i="37"/>
  <c r="G16" i="37"/>
  <c r="G15" i="37"/>
  <c r="G14" i="37"/>
  <c r="G13" i="37"/>
  <c r="K19" i="36"/>
  <c r="K18" i="36"/>
  <c r="K17" i="36"/>
  <c r="G17" i="36"/>
  <c r="G16" i="36"/>
  <c r="G15" i="36"/>
  <c r="G13" i="36"/>
  <c r="L12" i="36" s="1"/>
  <c r="S20" i="35"/>
  <c r="R20" i="35"/>
  <c r="Q20" i="35"/>
  <c r="P20" i="35"/>
  <c r="O20" i="35"/>
  <c r="N20" i="35"/>
  <c r="M20" i="35"/>
  <c r="K19" i="35"/>
  <c r="K18" i="35"/>
  <c r="G17" i="35"/>
  <c r="L17" i="35" s="1"/>
  <c r="K17" i="35" s="1"/>
  <c r="G16" i="35"/>
  <c r="L16" i="35" s="1"/>
  <c r="G15" i="35"/>
  <c r="L15" i="35" s="1"/>
  <c r="G14" i="35"/>
  <c r="L14" i="35" s="1"/>
  <c r="J13" i="35"/>
  <c r="G13" i="35"/>
  <c r="L13" i="35" s="1"/>
  <c r="K13" i="35" s="1"/>
  <c r="G18" i="51" l="1"/>
  <c r="G18" i="50"/>
  <c r="M12" i="50" s="1"/>
  <c r="G18" i="49"/>
  <c r="V111" i="1"/>
  <c r="M111" i="80" s="1"/>
  <c r="F18" i="42"/>
  <c r="G18" i="42" s="1"/>
  <c r="G19" i="42" s="1"/>
  <c r="S20" i="40"/>
  <c r="Z106" i="1"/>
  <c r="G18" i="40"/>
  <c r="S92" i="1"/>
  <c r="S89" i="1"/>
  <c r="K15" i="35"/>
  <c r="L20" i="35"/>
  <c r="S90" i="1"/>
  <c r="S91" i="1"/>
  <c r="S88" i="1"/>
  <c r="S87" i="1"/>
  <c r="K14" i="35"/>
  <c r="K16" i="35"/>
  <c r="V130" i="1"/>
  <c r="M130" i="80" s="1"/>
  <c r="X130" i="1"/>
  <c r="O130" i="80" s="1"/>
  <c r="W130" i="1"/>
  <c r="N130" i="80" s="1"/>
  <c r="U130" i="1"/>
  <c r="L130" i="80" s="1"/>
  <c r="T130" i="1"/>
  <c r="K130" i="80" s="1"/>
  <c r="N20" i="51"/>
  <c r="U117" i="1"/>
  <c r="L117" i="80" s="1"/>
  <c r="O20" i="47"/>
  <c r="G18" i="38"/>
  <c r="K12" i="34"/>
  <c r="W82" i="1"/>
  <c r="P20" i="34"/>
  <c r="G18" i="35"/>
  <c r="K20" i="35"/>
  <c r="G18" i="36"/>
  <c r="S13" i="34"/>
  <c r="S20" i="34" s="1"/>
  <c r="R20" i="34"/>
  <c r="K20" i="34"/>
  <c r="K12" i="51"/>
  <c r="K20" i="51" s="1"/>
  <c r="K20" i="45"/>
  <c r="K20" i="40"/>
  <c r="K20" i="44"/>
  <c r="L20" i="38"/>
  <c r="G18" i="37"/>
  <c r="L13" i="37" s="1"/>
  <c r="G27" i="37"/>
  <c r="G53" i="29"/>
  <c r="G52" i="29"/>
  <c r="G51" i="29"/>
  <c r="G50" i="29"/>
  <c r="G49" i="29"/>
  <c r="G54" i="29" s="1"/>
  <c r="G44" i="29"/>
  <c r="G43" i="29"/>
  <c r="G42" i="29"/>
  <c r="G41" i="29"/>
  <c r="G40" i="29"/>
  <c r="G45" i="29" s="1"/>
  <c r="G35" i="29"/>
  <c r="G34" i="29"/>
  <c r="G33" i="29"/>
  <c r="G32" i="29"/>
  <c r="G31" i="29"/>
  <c r="G36" i="29" s="1"/>
  <c r="G25" i="29"/>
  <c r="G24" i="29"/>
  <c r="G23" i="29"/>
  <c r="G22" i="29"/>
  <c r="K19" i="29"/>
  <c r="K18" i="29"/>
  <c r="K17" i="29"/>
  <c r="G17" i="29"/>
  <c r="K16" i="29"/>
  <c r="G16" i="29"/>
  <c r="K15" i="29"/>
  <c r="G15" i="29"/>
  <c r="K14" i="29"/>
  <c r="G14" i="29"/>
  <c r="R13" i="29" s="1"/>
  <c r="S13" i="29" s="1"/>
  <c r="G13" i="29"/>
  <c r="K19" i="28"/>
  <c r="K18" i="28"/>
  <c r="K17" i="28"/>
  <c r="G17" i="28"/>
  <c r="K16" i="28"/>
  <c r="G16" i="28"/>
  <c r="K15" i="28"/>
  <c r="G15" i="28"/>
  <c r="K14" i="28"/>
  <c r="G13" i="28"/>
  <c r="G53" i="25"/>
  <c r="G52" i="25"/>
  <c r="G51" i="25"/>
  <c r="G50" i="25"/>
  <c r="G49" i="25"/>
  <c r="G54" i="25" s="1"/>
  <c r="G44" i="25"/>
  <c r="G43" i="25"/>
  <c r="G42" i="25"/>
  <c r="G41" i="25"/>
  <c r="G40" i="25"/>
  <c r="G45" i="25" s="1"/>
  <c r="G35" i="25"/>
  <c r="G34" i="25"/>
  <c r="G33" i="25"/>
  <c r="G32" i="25"/>
  <c r="G31" i="25"/>
  <c r="G36" i="25" s="1"/>
  <c r="G25" i="25"/>
  <c r="G24" i="25"/>
  <c r="G23" i="25"/>
  <c r="G22" i="25"/>
  <c r="G27" i="25" s="1"/>
  <c r="S20" i="25"/>
  <c r="R20" i="25"/>
  <c r="Q20" i="25"/>
  <c r="P20" i="25"/>
  <c r="L20" i="25"/>
  <c r="K19" i="25"/>
  <c r="K18" i="25"/>
  <c r="G17" i="25"/>
  <c r="G16" i="25"/>
  <c r="G15" i="25"/>
  <c r="G14" i="25"/>
  <c r="G13" i="25"/>
  <c r="G27" i="22"/>
  <c r="G26" i="22"/>
  <c r="G25" i="22"/>
  <c r="G24" i="22"/>
  <c r="S20" i="22"/>
  <c r="R20" i="22"/>
  <c r="Q20" i="22"/>
  <c r="P20" i="22"/>
  <c r="K19" i="22"/>
  <c r="G19" i="22"/>
  <c r="G14" i="22"/>
  <c r="G13" i="22"/>
  <c r="S18" i="18"/>
  <c r="R18" i="18"/>
  <c r="Q18" i="18"/>
  <c r="P18" i="18"/>
  <c r="L18" i="18"/>
  <c r="G17" i="18"/>
  <c r="G16" i="18"/>
  <c r="G15" i="18"/>
  <c r="G14" i="18"/>
  <c r="G13" i="18"/>
  <c r="O20" i="17"/>
  <c r="S20" i="17"/>
  <c r="R20" i="17"/>
  <c r="Q20" i="17"/>
  <c r="P20" i="17"/>
  <c r="L20" i="17"/>
  <c r="K19" i="17"/>
  <c r="K18" i="17"/>
  <c r="K17" i="17"/>
  <c r="G17" i="17"/>
  <c r="K14" i="16"/>
  <c r="G34" i="16"/>
  <c r="G41" i="16" s="1"/>
  <c r="L20" i="16"/>
  <c r="K19" i="16"/>
  <c r="G29" i="16"/>
  <c r="G26" i="16"/>
  <c r="K15" i="16"/>
  <c r="G25" i="16"/>
  <c r="G24" i="16"/>
  <c r="G23" i="16"/>
  <c r="G44" i="15"/>
  <c r="G45" i="15" s="1"/>
  <c r="G43" i="15"/>
  <c r="G35" i="15"/>
  <c r="G34" i="15"/>
  <c r="G36" i="15" s="1"/>
  <c r="G25" i="15"/>
  <c r="G27" i="15" s="1"/>
  <c r="L20" i="15"/>
  <c r="K19" i="15"/>
  <c r="K18" i="15"/>
  <c r="K17" i="15"/>
  <c r="K12" i="15"/>
  <c r="K18" i="7"/>
  <c r="G18" i="7"/>
  <c r="G17" i="7"/>
  <c r="G16" i="7"/>
  <c r="O16" i="7" s="1"/>
  <c r="G14" i="7"/>
  <c r="G13" i="7"/>
  <c r="M13" i="7" s="1"/>
  <c r="E26" i="71"/>
  <c r="G17" i="71"/>
  <c r="G16" i="71"/>
  <c r="G15" i="71"/>
  <c r="L14" i="71" s="1"/>
  <c r="G14" i="71"/>
  <c r="G13" i="71"/>
  <c r="G17" i="70"/>
  <c r="G16" i="70"/>
  <c r="G15" i="70"/>
  <c r="G14" i="70"/>
  <c r="G13" i="70"/>
  <c r="L12" i="70" s="1"/>
  <c r="M12" i="70" s="1"/>
  <c r="E30" i="68"/>
  <c r="K19" i="67"/>
  <c r="K18" i="67"/>
  <c r="G17" i="67"/>
  <c r="G16" i="67"/>
  <c r="G15" i="67"/>
  <c r="L14" i="67" s="1"/>
  <c r="M14" i="67" s="1"/>
  <c r="N14" i="67" s="1"/>
  <c r="O14" i="67" s="1"/>
  <c r="P14" i="67" s="1"/>
  <c r="Q14" i="67" s="1"/>
  <c r="R14" i="67" s="1"/>
  <c r="S14" i="67" s="1"/>
  <c r="G14" i="67"/>
  <c r="L13" i="67" s="1"/>
  <c r="G13" i="67"/>
  <c r="L12" i="67" s="1"/>
  <c r="M12" i="67" s="1"/>
  <c r="N12" i="67" s="1"/>
  <c r="O12" i="67" s="1"/>
  <c r="P12" i="67" s="1"/>
  <c r="I12" i="67"/>
  <c r="E26" i="66"/>
  <c r="G17" i="66"/>
  <c r="G16" i="66"/>
  <c r="G15" i="66"/>
  <c r="L14" i="66" s="1"/>
  <c r="M14" i="66" s="1"/>
  <c r="G14" i="66"/>
  <c r="G13" i="66"/>
  <c r="Q12" i="66" s="1"/>
  <c r="G13" i="63"/>
  <c r="G19" i="63" s="1"/>
  <c r="I12" i="63"/>
  <c r="G13" i="59"/>
  <c r="G17" i="59"/>
  <c r="G16" i="59"/>
  <c r="G15" i="59"/>
  <c r="G14" i="59"/>
  <c r="I12" i="59"/>
  <c r="G17" i="57"/>
  <c r="G16" i="57"/>
  <c r="G15" i="57"/>
  <c r="G14" i="57"/>
  <c r="G13" i="57"/>
  <c r="I12" i="57"/>
  <c r="G17" i="55"/>
  <c r="G16" i="55"/>
  <c r="G15" i="55"/>
  <c r="G14" i="55"/>
  <c r="G13" i="55"/>
  <c r="J12" i="55"/>
  <c r="G17" i="56"/>
  <c r="G16" i="56"/>
  <c r="G15" i="56"/>
  <c r="G14" i="56"/>
  <c r="G13" i="56"/>
  <c r="L12" i="56" s="1"/>
  <c r="J12" i="56"/>
  <c r="I12" i="54"/>
  <c r="F14" i="54"/>
  <c r="G17" i="54"/>
  <c r="G16" i="54"/>
  <c r="G15" i="54"/>
  <c r="G14" i="54"/>
  <c r="G13" i="54"/>
  <c r="J12" i="54"/>
  <c r="R91" i="1" l="1"/>
  <c r="J91" i="80"/>
  <c r="I91" i="80" s="1"/>
  <c r="R92" i="1"/>
  <c r="D22" i="62" s="1"/>
  <c r="I22" i="62" s="1"/>
  <c r="J92" i="80"/>
  <c r="I92" i="80" s="1"/>
  <c r="R82" i="1"/>
  <c r="N82" i="80"/>
  <c r="I82" i="80" s="1"/>
  <c r="R106" i="1"/>
  <c r="E50" i="62" s="1"/>
  <c r="Q106" i="80"/>
  <c r="I106" i="80" s="1"/>
  <c r="R87" i="1"/>
  <c r="J87" i="80"/>
  <c r="I87" i="80" s="1"/>
  <c r="R88" i="1"/>
  <c r="J88" i="80"/>
  <c r="I88" i="80" s="1"/>
  <c r="R90" i="1"/>
  <c r="J90" i="80"/>
  <c r="I90" i="80" s="1"/>
  <c r="R89" i="1"/>
  <c r="J89" i="80"/>
  <c r="I89" i="80" s="1"/>
  <c r="E24" i="62"/>
  <c r="S142" i="1"/>
  <c r="J142" i="80" s="1"/>
  <c r="M14" i="71"/>
  <c r="G18" i="66"/>
  <c r="L12" i="66"/>
  <c r="L13" i="66"/>
  <c r="L18" i="66" s="1"/>
  <c r="G18" i="18"/>
  <c r="M12" i="18" s="1"/>
  <c r="K12" i="18" s="1"/>
  <c r="S136" i="1"/>
  <c r="J136" i="80" s="1"/>
  <c r="Z136" i="1"/>
  <c r="Q136" i="80" s="1"/>
  <c r="W136" i="1"/>
  <c r="N136" i="80" s="1"/>
  <c r="Y136" i="1"/>
  <c r="P136" i="80" s="1"/>
  <c r="X136" i="1"/>
  <c r="O136" i="80" s="1"/>
  <c r="S12" i="63"/>
  <c r="L19" i="63"/>
  <c r="S132" i="1"/>
  <c r="J132" i="80" s="1"/>
  <c r="G18" i="57"/>
  <c r="L12" i="57" s="1"/>
  <c r="X117" i="1"/>
  <c r="Q20" i="51"/>
  <c r="T116" i="1"/>
  <c r="K116" i="80" s="1"/>
  <c r="N12" i="50"/>
  <c r="M20" i="50"/>
  <c r="K12" i="50"/>
  <c r="K20" i="50" s="1"/>
  <c r="W111" i="1"/>
  <c r="N111" i="80" s="1"/>
  <c r="T107" i="1"/>
  <c r="M20" i="42"/>
  <c r="K12" i="42"/>
  <c r="K20" i="42" s="1"/>
  <c r="S94" i="1"/>
  <c r="G27" i="29"/>
  <c r="N13" i="15"/>
  <c r="P25" i="15"/>
  <c r="M25" i="15" s="1"/>
  <c r="N25" i="15" s="1"/>
  <c r="P27" i="15"/>
  <c r="M27" i="15" s="1"/>
  <c r="N27" i="15" s="1"/>
  <c r="P26" i="15"/>
  <c r="M26" i="15" s="1"/>
  <c r="N26" i="15" s="1"/>
  <c r="V43" i="1"/>
  <c r="M43" i="80" s="1"/>
  <c r="P16" i="7"/>
  <c r="N17" i="7"/>
  <c r="O17" i="7"/>
  <c r="T40" i="1"/>
  <c r="G18" i="71"/>
  <c r="L18" i="71"/>
  <c r="P20" i="47"/>
  <c r="K12" i="47"/>
  <c r="K20" i="47" s="1"/>
  <c r="S95" i="1"/>
  <c r="J95" i="80" s="1"/>
  <c r="L20" i="36"/>
  <c r="S20" i="36"/>
  <c r="M20" i="36"/>
  <c r="G18" i="25"/>
  <c r="M12" i="25" s="1"/>
  <c r="N12" i="25" s="1"/>
  <c r="T60" i="1"/>
  <c r="K60" i="80" s="1"/>
  <c r="K16" i="16"/>
  <c r="G30" i="16"/>
  <c r="G29" i="22"/>
  <c r="N14" i="22"/>
  <c r="M17" i="22"/>
  <c r="K17" i="22" s="1"/>
  <c r="O18" i="22"/>
  <c r="K18" i="22" s="1"/>
  <c r="L20" i="29"/>
  <c r="S20" i="29"/>
  <c r="G18" i="28"/>
  <c r="L12" i="28" s="1"/>
  <c r="G20" i="22"/>
  <c r="K14" i="17"/>
  <c r="M12" i="54"/>
  <c r="N12" i="54" s="1"/>
  <c r="O12" i="54" s="1"/>
  <c r="K13" i="38"/>
  <c r="K16" i="38"/>
  <c r="M20" i="38"/>
  <c r="K15" i="38"/>
  <c r="K14" i="38"/>
  <c r="L20" i="37"/>
  <c r="K16" i="37"/>
  <c r="K15" i="37"/>
  <c r="K12" i="25"/>
  <c r="K20" i="25" s="1"/>
  <c r="O20" i="25"/>
  <c r="N20" i="25"/>
  <c r="N20" i="22"/>
  <c r="K14" i="22"/>
  <c r="O18" i="18"/>
  <c r="N18" i="18"/>
  <c r="K13" i="17"/>
  <c r="K15" i="17"/>
  <c r="N20" i="17"/>
  <c r="K12" i="17"/>
  <c r="M20" i="15"/>
  <c r="G19" i="7"/>
  <c r="Q19" i="7"/>
  <c r="S19" i="7"/>
  <c r="R19" i="7"/>
  <c r="G18" i="70"/>
  <c r="N12" i="70"/>
  <c r="L20" i="67"/>
  <c r="M13" i="67"/>
  <c r="K14" i="67"/>
  <c r="G18" i="67"/>
  <c r="R12" i="66"/>
  <c r="N14" i="66"/>
  <c r="O14" i="66" s="1"/>
  <c r="P14" i="66" s="1"/>
  <c r="Q14" i="66" s="1"/>
  <c r="R14" i="66" s="1"/>
  <c r="S14" i="66" s="1"/>
  <c r="M19" i="63"/>
  <c r="S14" i="63"/>
  <c r="G18" i="59"/>
  <c r="L12" i="59"/>
  <c r="S13" i="55"/>
  <c r="S14" i="55"/>
  <c r="G18" i="55"/>
  <c r="L12" i="55"/>
  <c r="L18" i="56"/>
  <c r="M12" i="56"/>
  <c r="G18" i="56"/>
  <c r="L18" i="54"/>
  <c r="G18" i="54"/>
  <c r="G25" i="26"/>
  <c r="G24" i="26"/>
  <c r="G23" i="26"/>
  <c r="G22" i="26"/>
  <c r="G27" i="26" s="1"/>
  <c r="L20" i="26"/>
  <c r="K19" i="26"/>
  <c r="K18" i="26"/>
  <c r="K17" i="26"/>
  <c r="G17" i="26"/>
  <c r="K16" i="26"/>
  <c r="G16" i="26"/>
  <c r="Q15" i="26" s="1"/>
  <c r="R15" i="26" s="1"/>
  <c r="S15" i="26" s="1"/>
  <c r="G15" i="26"/>
  <c r="K14" i="26"/>
  <c r="G14" i="26"/>
  <c r="G13" i="26"/>
  <c r="L20" i="14"/>
  <c r="K19" i="14"/>
  <c r="K18" i="14"/>
  <c r="K17" i="14"/>
  <c r="G17" i="14"/>
  <c r="K16" i="14"/>
  <c r="G16" i="14"/>
  <c r="K15" i="14"/>
  <c r="G15" i="14"/>
  <c r="K14" i="14"/>
  <c r="G14" i="14"/>
  <c r="G13" i="14"/>
  <c r="K17" i="12"/>
  <c r="G17" i="12"/>
  <c r="K16" i="12"/>
  <c r="G16" i="12"/>
  <c r="K15" i="12"/>
  <c r="G15" i="12"/>
  <c r="K14" i="12"/>
  <c r="G14" i="12"/>
  <c r="N13" i="12" s="1"/>
  <c r="O13" i="12" s="1"/>
  <c r="P13" i="12" s="1"/>
  <c r="Q13" i="12" s="1"/>
  <c r="R13" i="12" s="1"/>
  <c r="S13" i="12" s="1"/>
  <c r="G13" i="12"/>
  <c r="M12" i="12" s="1"/>
  <c r="K19" i="11"/>
  <c r="K18" i="11"/>
  <c r="G17" i="11"/>
  <c r="G16" i="11"/>
  <c r="G15" i="11"/>
  <c r="E13" i="9"/>
  <c r="G13" i="9" s="1"/>
  <c r="G15" i="9" s="1"/>
  <c r="K17" i="9"/>
  <c r="G17" i="9"/>
  <c r="K16" i="9"/>
  <c r="G16" i="9"/>
  <c r="K14" i="9"/>
  <c r="G14" i="9"/>
  <c r="R107" i="1" l="1"/>
  <c r="K107" i="80"/>
  <c r="I107" i="80" s="1"/>
  <c r="R117" i="1"/>
  <c r="O117" i="80"/>
  <c r="I117" i="80" s="1"/>
  <c r="R94" i="1"/>
  <c r="J94" i="80"/>
  <c r="I94" i="80" s="1"/>
  <c r="R40" i="1"/>
  <c r="C46" i="62" s="1"/>
  <c r="K40" i="80"/>
  <c r="I40" i="80" s="1"/>
  <c r="D9" i="62"/>
  <c r="I24" i="62"/>
  <c r="E30" i="62"/>
  <c r="F25" i="62"/>
  <c r="F51" i="62"/>
  <c r="H46" i="62"/>
  <c r="H29" i="62"/>
  <c r="E55" i="62"/>
  <c r="I50" i="62"/>
  <c r="N14" i="71"/>
  <c r="T142" i="1"/>
  <c r="K142" i="80" s="1"/>
  <c r="M18" i="71"/>
  <c r="S139" i="1"/>
  <c r="J139" i="80" s="1"/>
  <c r="K14" i="66"/>
  <c r="M13" i="66"/>
  <c r="M18" i="66" s="1"/>
  <c r="S137" i="1"/>
  <c r="J137" i="80" s="1"/>
  <c r="V136" i="1"/>
  <c r="M136" i="80" s="1"/>
  <c r="U136" i="1"/>
  <c r="L136" i="80" s="1"/>
  <c r="T135" i="1"/>
  <c r="K135" i="80" s="1"/>
  <c r="S135" i="1"/>
  <c r="J135" i="80" s="1"/>
  <c r="T133" i="1"/>
  <c r="T132" i="1"/>
  <c r="K132" i="80" s="1"/>
  <c r="N18" i="54"/>
  <c r="U129" i="1" s="1"/>
  <c r="L129" i="80" s="1"/>
  <c r="S129" i="1"/>
  <c r="J129" i="80" s="1"/>
  <c r="M18" i="54"/>
  <c r="S127" i="1"/>
  <c r="L18" i="57"/>
  <c r="S126" i="1"/>
  <c r="J126" i="80" s="1"/>
  <c r="U116" i="1"/>
  <c r="L116" i="80" s="1"/>
  <c r="I116" i="80" s="1"/>
  <c r="N20" i="50"/>
  <c r="X111" i="1"/>
  <c r="O111" i="80" s="1"/>
  <c r="T72" i="1"/>
  <c r="K72" i="80" s="1"/>
  <c r="M24" i="16"/>
  <c r="M25" i="16"/>
  <c r="M20" i="16"/>
  <c r="T52" i="1"/>
  <c r="K52" i="80" s="1"/>
  <c r="W53" i="1"/>
  <c r="N53" i="80" s="1"/>
  <c r="O13" i="15"/>
  <c r="U51" i="1"/>
  <c r="L51" i="80" s="1"/>
  <c r="W43" i="1"/>
  <c r="V44" i="1"/>
  <c r="M44" i="80" s="1"/>
  <c r="U44" i="1"/>
  <c r="L44" i="80" s="1"/>
  <c r="K17" i="7"/>
  <c r="K13" i="71"/>
  <c r="Q20" i="47"/>
  <c r="K15" i="7"/>
  <c r="T95" i="1"/>
  <c r="K95" i="80" s="1"/>
  <c r="O20" i="36"/>
  <c r="Q20" i="36"/>
  <c r="P20" i="36"/>
  <c r="N20" i="36"/>
  <c r="K12" i="36"/>
  <c r="K20" i="36" s="1"/>
  <c r="M12" i="28"/>
  <c r="L20" i="28"/>
  <c r="M20" i="25"/>
  <c r="K13" i="22"/>
  <c r="O20" i="22"/>
  <c r="U60" i="1"/>
  <c r="K18" i="16"/>
  <c r="K12" i="16"/>
  <c r="G19" i="14"/>
  <c r="K13" i="7"/>
  <c r="K15" i="26"/>
  <c r="M20" i="22"/>
  <c r="L20" i="22"/>
  <c r="K12" i="48"/>
  <c r="S12" i="48"/>
  <c r="R20" i="36"/>
  <c r="N20" i="29"/>
  <c r="M20" i="29"/>
  <c r="O18" i="54"/>
  <c r="P12" i="54"/>
  <c r="N20" i="38"/>
  <c r="M20" i="37"/>
  <c r="N20" i="37"/>
  <c r="K13" i="37"/>
  <c r="P20" i="29"/>
  <c r="O20" i="29"/>
  <c r="Q20" i="29"/>
  <c r="R20" i="29"/>
  <c r="K13" i="29"/>
  <c r="M18" i="18"/>
  <c r="K18" i="18"/>
  <c r="K20" i="17"/>
  <c r="P20" i="16"/>
  <c r="P20" i="15"/>
  <c r="L19" i="7"/>
  <c r="M19" i="7"/>
  <c r="K14" i="7"/>
  <c r="K16" i="7"/>
  <c r="N19" i="7"/>
  <c r="O19" i="7"/>
  <c r="P19" i="7"/>
  <c r="O12" i="70"/>
  <c r="M20" i="67"/>
  <c r="N13" i="67"/>
  <c r="S12" i="67"/>
  <c r="K12" i="67" s="1"/>
  <c r="S12" i="66"/>
  <c r="P19" i="63"/>
  <c r="N19" i="63"/>
  <c r="L18" i="59"/>
  <c r="M12" i="59"/>
  <c r="M12" i="57"/>
  <c r="N12" i="57"/>
  <c r="L18" i="55"/>
  <c r="M18" i="56"/>
  <c r="N12" i="56"/>
  <c r="G18" i="26"/>
  <c r="O20" i="26"/>
  <c r="N20" i="14"/>
  <c r="K13" i="12"/>
  <c r="L18" i="12"/>
  <c r="G18" i="11"/>
  <c r="G18" i="9"/>
  <c r="L12" i="9" s="1"/>
  <c r="K14" i="5"/>
  <c r="G25" i="6"/>
  <c r="K19" i="6"/>
  <c r="K18" i="6"/>
  <c r="K17" i="6"/>
  <c r="G25" i="10"/>
  <c r="G17" i="10"/>
  <c r="R43" i="1" l="1"/>
  <c r="N43" i="80"/>
  <c r="I43" i="80" s="1"/>
  <c r="C9" i="62"/>
  <c r="D11" i="62"/>
  <c r="R133" i="1"/>
  <c r="K133" i="80"/>
  <c r="I133" i="80" s="1"/>
  <c r="R127" i="1"/>
  <c r="J127" i="80"/>
  <c r="I127" i="80" s="1"/>
  <c r="R116" i="1"/>
  <c r="D29" i="62" s="1"/>
  <c r="I29" i="62" s="1"/>
  <c r="T68" i="1"/>
  <c r="I51" i="62"/>
  <c r="F55" i="62"/>
  <c r="F30" i="62"/>
  <c r="I25" i="62"/>
  <c r="R60" i="1"/>
  <c r="L60" i="80"/>
  <c r="I60" i="80" s="1"/>
  <c r="O14" i="71"/>
  <c r="U142" i="1"/>
  <c r="L142" i="80" s="1"/>
  <c r="N18" i="71"/>
  <c r="T139" i="1"/>
  <c r="K139" i="80" s="1"/>
  <c r="N13" i="66"/>
  <c r="N18" i="66" s="1"/>
  <c r="T137" i="1"/>
  <c r="K137" i="80" s="1"/>
  <c r="T136" i="1"/>
  <c r="U135" i="1"/>
  <c r="L135" i="80" s="1"/>
  <c r="W135" i="1"/>
  <c r="N135" i="80" s="1"/>
  <c r="U132" i="1"/>
  <c r="L132" i="80" s="1"/>
  <c r="V129" i="1"/>
  <c r="M129" i="80" s="1"/>
  <c r="T129" i="1"/>
  <c r="K129" i="80" s="1"/>
  <c r="M18" i="57"/>
  <c r="T126" i="1"/>
  <c r="K126" i="80" s="1"/>
  <c r="U126" i="1"/>
  <c r="L126" i="80" s="1"/>
  <c r="Z113" i="1"/>
  <c r="Y111" i="1"/>
  <c r="P111" i="80" s="1"/>
  <c r="U72" i="1"/>
  <c r="L72" i="80" s="1"/>
  <c r="I72" i="80" s="1"/>
  <c r="M25" i="29"/>
  <c r="M27" i="16"/>
  <c r="N25" i="16"/>
  <c r="Q56" i="1"/>
  <c r="N24" i="16"/>
  <c r="Q55" i="1"/>
  <c r="N20" i="16"/>
  <c r="M26" i="16"/>
  <c r="X53" i="1"/>
  <c r="Q20" i="15"/>
  <c r="U52" i="1"/>
  <c r="K14" i="15"/>
  <c r="N20" i="15"/>
  <c r="V51" i="1"/>
  <c r="O20" i="15"/>
  <c r="K15" i="15"/>
  <c r="R44" i="1"/>
  <c r="I44" i="80"/>
  <c r="S134" i="1"/>
  <c r="J134" i="80" s="1"/>
  <c r="R20" i="47"/>
  <c r="U95" i="1"/>
  <c r="L95" i="80" s="1"/>
  <c r="N12" i="28"/>
  <c r="O12" i="28" s="1"/>
  <c r="P12" i="28" s="1"/>
  <c r="Q12" i="28" s="1"/>
  <c r="M20" i="28"/>
  <c r="M20" i="26"/>
  <c r="U59" i="1"/>
  <c r="L59" i="80" s="1"/>
  <c r="L20" i="11"/>
  <c r="S20" i="10"/>
  <c r="S20" i="6"/>
  <c r="Q20" i="6"/>
  <c r="K12" i="22"/>
  <c r="K20" i="22" s="1"/>
  <c r="P18" i="54"/>
  <c r="O20" i="38"/>
  <c r="O20" i="37"/>
  <c r="K12" i="29"/>
  <c r="K20" i="29" s="1"/>
  <c r="Q20" i="16"/>
  <c r="R20" i="15"/>
  <c r="S20" i="15"/>
  <c r="K19" i="7"/>
  <c r="P12" i="70"/>
  <c r="O13" i="67"/>
  <c r="N20" i="67"/>
  <c r="K12" i="66"/>
  <c r="O19" i="63"/>
  <c r="M23" i="63" s="1"/>
  <c r="N23" i="63" s="1"/>
  <c r="K12" i="63"/>
  <c r="Q19" i="63"/>
  <c r="M18" i="59"/>
  <c r="N12" i="59"/>
  <c r="O12" i="57"/>
  <c r="N18" i="57"/>
  <c r="M18" i="55"/>
  <c r="N18" i="56"/>
  <c r="O12" i="56"/>
  <c r="P20" i="26"/>
  <c r="M20" i="14"/>
  <c r="K12" i="14"/>
  <c r="O20" i="14"/>
  <c r="M18" i="12"/>
  <c r="L18" i="9"/>
  <c r="M12" i="9"/>
  <c r="N12" i="9" s="1"/>
  <c r="O12" i="9" s="1"/>
  <c r="P12" i="9" s="1"/>
  <c r="K15" i="9"/>
  <c r="P20" i="10"/>
  <c r="Q20" i="10"/>
  <c r="G27" i="6"/>
  <c r="L20" i="6"/>
  <c r="G18" i="6"/>
  <c r="R20" i="6"/>
  <c r="G28" i="10"/>
  <c r="M16" i="10" s="1"/>
  <c r="G18" i="10"/>
  <c r="L20" i="10"/>
  <c r="G45" i="53"/>
  <c r="G36" i="53"/>
  <c r="L14" i="53" s="1"/>
  <c r="G27" i="53"/>
  <c r="S20" i="53"/>
  <c r="R20" i="53"/>
  <c r="Q20" i="53"/>
  <c r="L20" i="53"/>
  <c r="K19" i="53"/>
  <c r="K18" i="53"/>
  <c r="G17" i="53"/>
  <c r="G16" i="53"/>
  <c r="J15" i="53"/>
  <c r="G15" i="53"/>
  <c r="J14" i="53"/>
  <c r="G14" i="53"/>
  <c r="J13" i="53"/>
  <c r="G13" i="53"/>
  <c r="J12" i="53"/>
  <c r="I24" i="53"/>
  <c r="S20" i="52"/>
  <c r="R20" i="52"/>
  <c r="Q20" i="52"/>
  <c r="P20" i="52"/>
  <c r="O20" i="52"/>
  <c r="N20" i="52"/>
  <c r="M20" i="52"/>
  <c r="L20" i="52"/>
  <c r="K19" i="52"/>
  <c r="K18" i="52"/>
  <c r="G17" i="52"/>
  <c r="G16" i="52"/>
  <c r="G15" i="52"/>
  <c r="G14" i="52"/>
  <c r="G13" i="52"/>
  <c r="K12" i="52"/>
  <c r="J12" i="52"/>
  <c r="K13" i="43"/>
  <c r="S20" i="43"/>
  <c r="R20" i="43"/>
  <c r="Q20" i="43"/>
  <c r="P20" i="43"/>
  <c r="O20" i="43"/>
  <c r="N20" i="43"/>
  <c r="M20" i="43"/>
  <c r="L20" i="43"/>
  <c r="K19" i="43"/>
  <c r="K18" i="43"/>
  <c r="G17" i="43"/>
  <c r="G16" i="43"/>
  <c r="G15" i="43"/>
  <c r="G14" i="43"/>
  <c r="G13" i="43"/>
  <c r="K12" i="43"/>
  <c r="J12" i="43"/>
  <c r="I12" i="43"/>
  <c r="K19" i="41"/>
  <c r="K18" i="41"/>
  <c r="G17" i="41"/>
  <c r="G16" i="41"/>
  <c r="G15" i="41"/>
  <c r="G14" i="41"/>
  <c r="G13" i="41"/>
  <c r="K12" i="41"/>
  <c r="J12" i="41"/>
  <c r="G36" i="31"/>
  <c r="G24" i="31"/>
  <c r="S20" i="31"/>
  <c r="R20" i="31"/>
  <c r="Q20" i="31"/>
  <c r="P20" i="31"/>
  <c r="O20" i="31"/>
  <c r="N20" i="31"/>
  <c r="M20" i="31"/>
  <c r="L20" i="31"/>
  <c r="K19" i="31"/>
  <c r="K18" i="31"/>
  <c r="G19" i="31"/>
  <c r="G16" i="31"/>
  <c r="K15" i="31"/>
  <c r="J15" i="31"/>
  <c r="G15" i="31"/>
  <c r="K14" i="31"/>
  <c r="J14" i="31"/>
  <c r="G14" i="31"/>
  <c r="K13" i="31"/>
  <c r="J13" i="31"/>
  <c r="G13" i="31"/>
  <c r="K12" i="31"/>
  <c r="J12" i="31"/>
  <c r="G55" i="30"/>
  <c r="G54" i="30"/>
  <c r="G49" i="30"/>
  <c r="G48" i="30"/>
  <c r="G43" i="30"/>
  <c r="G36" i="30"/>
  <c r="G31" i="30"/>
  <c r="G24" i="30"/>
  <c r="S20" i="30"/>
  <c r="R20" i="30"/>
  <c r="Q20" i="30"/>
  <c r="P20" i="30"/>
  <c r="O20" i="30"/>
  <c r="L20" i="30"/>
  <c r="K19" i="30"/>
  <c r="K18" i="30"/>
  <c r="K17" i="30"/>
  <c r="K15" i="30"/>
  <c r="J15" i="30"/>
  <c r="K14" i="30"/>
  <c r="J14" i="30"/>
  <c r="J13" i="30"/>
  <c r="G13" i="30"/>
  <c r="G20" i="30" s="1"/>
  <c r="K12" i="30"/>
  <c r="J12" i="30"/>
  <c r="R53" i="1" l="1"/>
  <c r="O53" i="80"/>
  <c r="I53" i="80" s="1"/>
  <c r="R51" i="1"/>
  <c r="M51" i="80"/>
  <c r="I51" i="80" s="1"/>
  <c r="R113" i="1"/>
  <c r="Q113" i="80"/>
  <c r="I113" i="80" s="1"/>
  <c r="R136" i="1"/>
  <c r="K136" i="80"/>
  <c r="I136" i="80" s="1"/>
  <c r="N20" i="26"/>
  <c r="U68" i="1"/>
  <c r="M24" i="26"/>
  <c r="K68" i="80"/>
  <c r="N25" i="29"/>
  <c r="Q72" i="1"/>
  <c r="R72" i="1"/>
  <c r="R52" i="1"/>
  <c r="C48" i="62" s="1"/>
  <c r="I48" i="62" s="1"/>
  <c r="L52" i="80"/>
  <c r="I52" i="80" s="1"/>
  <c r="P14" i="71"/>
  <c r="V142" i="1"/>
  <c r="M142" i="80" s="1"/>
  <c r="O18" i="71"/>
  <c r="U139" i="1"/>
  <c r="L139" i="80" s="1"/>
  <c r="O13" i="66"/>
  <c r="P13" i="66" s="1"/>
  <c r="U137" i="1"/>
  <c r="L137" i="80" s="1"/>
  <c r="V135" i="1"/>
  <c r="M135" i="80" s="1"/>
  <c r="X135" i="1"/>
  <c r="O135" i="80" s="1"/>
  <c r="V132" i="1"/>
  <c r="M132" i="80" s="1"/>
  <c r="M18" i="9"/>
  <c r="S131" i="1"/>
  <c r="J131" i="80" s="1"/>
  <c r="T131" i="1"/>
  <c r="K131" i="80" s="1"/>
  <c r="N18" i="9"/>
  <c r="W129" i="1"/>
  <c r="N129" i="80" s="1"/>
  <c r="V126" i="1"/>
  <c r="M126" i="80" s="1"/>
  <c r="V121" i="1"/>
  <c r="M121" i="80" s="1"/>
  <c r="M14" i="53"/>
  <c r="S122" i="1"/>
  <c r="J122" i="80" s="1"/>
  <c r="T123" i="1"/>
  <c r="K123" i="80" s="1"/>
  <c r="G18" i="53"/>
  <c r="K20" i="52"/>
  <c r="G18" i="52"/>
  <c r="Y114" i="1"/>
  <c r="P114" i="80" s="1"/>
  <c r="V114" i="1"/>
  <c r="M114" i="80" s="1"/>
  <c r="Z114" i="1"/>
  <c r="Q114" i="80" s="1"/>
  <c r="W114" i="1"/>
  <c r="N114" i="80" s="1"/>
  <c r="S20" i="47"/>
  <c r="Z111" i="1"/>
  <c r="G18" i="41"/>
  <c r="K17" i="16"/>
  <c r="Q30" i="16"/>
  <c r="M30" i="16"/>
  <c r="N30" i="16" s="1"/>
  <c r="N26" i="16"/>
  <c r="Q57" i="1"/>
  <c r="N27" i="16"/>
  <c r="Q58" i="1"/>
  <c r="Q29" i="16"/>
  <c r="M29" i="16" s="1"/>
  <c r="P27" i="10"/>
  <c r="N16" i="10"/>
  <c r="T48" i="1"/>
  <c r="K48" i="80" s="1"/>
  <c r="T39" i="1"/>
  <c r="K39" i="80" s="1"/>
  <c r="M20" i="6"/>
  <c r="T38" i="1"/>
  <c r="K38" i="80" s="1"/>
  <c r="X114" i="1"/>
  <c r="O114" i="80" s="1"/>
  <c r="G18" i="43"/>
  <c r="S114" i="1"/>
  <c r="T114" i="1"/>
  <c r="K114" i="80" s="1"/>
  <c r="U114" i="1"/>
  <c r="L114" i="80" s="1"/>
  <c r="T134" i="1"/>
  <c r="K134" i="80" s="1"/>
  <c r="G44" i="30"/>
  <c r="G56" i="30"/>
  <c r="V95" i="1"/>
  <c r="M95" i="80" s="1"/>
  <c r="K20" i="31"/>
  <c r="G20" i="31"/>
  <c r="N20" i="28"/>
  <c r="K12" i="26"/>
  <c r="V59" i="1"/>
  <c r="O20" i="16"/>
  <c r="M20" i="11"/>
  <c r="R20" i="10"/>
  <c r="O20" i="28"/>
  <c r="Q18" i="54"/>
  <c r="K20" i="38"/>
  <c r="P20" i="38"/>
  <c r="Q20" i="28"/>
  <c r="S20" i="16"/>
  <c r="R20" i="16"/>
  <c r="K13" i="15"/>
  <c r="K20" i="15" s="1"/>
  <c r="Q12" i="70"/>
  <c r="P13" i="67"/>
  <c r="O20" i="67"/>
  <c r="R19" i="63"/>
  <c r="S13" i="63"/>
  <c r="S19" i="63" s="1"/>
  <c r="O12" i="59"/>
  <c r="N18" i="59"/>
  <c r="O18" i="57"/>
  <c r="P12" i="57"/>
  <c r="N18" i="55"/>
  <c r="P12" i="56"/>
  <c r="O18" i="56"/>
  <c r="Q20" i="26"/>
  <c r="P20" i="14"/>
  <c r="Q18" i="9"/>
  <c r="P18" i="9"/>
  <c r="O18" i="9"/>
  <c r="K13" i="9"/>
  <c r="K20" i="43"/>
  <c r="G32" i="30"/>
  <c r="J13" i="2"/>
  <c r="J14" i="2"/>
  <c r="J15" i="2"/>
  <c r="J16" i="2"/>
  <c r="J12" i="2"/>
  <c r="G51" i="2"/>
  <c r="G50" i="2"/>
  <c r="G49" i="2"/>
  <c r="G42" i="2"/>
  <c r="G41" i="2"/>
  <c r="G40" i="2"/>
  <c r="G33" i="2"/>
  <c r="G32" i="2"/>
  <c r="G31" i="2"/>
  <c r="G24" i="2"/>
  <c r="G23" i="2"/>
  <c r="G22" i="2"/>
  <c r="G15" i="2"/>
  <c r="G14" i="2"/>
  <c r="J114" i="80" l="1"/>
  <c r="I114" i="80" s="1"/>
  <c r="R111" i="1"/>
  <c r="G47" i="62" s="1"/>
  <c r="Q111" i="80"/>
  <c r="I111" i="80" s="1"/>
  <c r="Q68" i="1"/>
  <c r="N24" i="26"/>
  <c r="L68" i="80"/>
  <c r="I68" i="80" s="1"/>
  <c r="R68" i="1"/>
  <c r="C49" i="62"/>
  <c r="I49" i="62" s="1"/>
  <c r="C19" i="62"/>
  <c r="I19" i="62" s="1"/>
  <c r="R59" i="1"/>
  <c r="M59" i="80"/>
  <c r="I59" i="80" s="1"/>
  <c r="Q14" i="71"/>
  <c r="W142" i="1"/>
  <c r="N142" i="80" s="1"/>
  <c r="P18" i="71"/>
  <c r="V139" i="1"/>
  <c r="M139" i="80" s="1"/>
  <c r="O18" i="66"/>
  <c r="K19" i="63"/>
  <c r="Z135" i="1"/>
  <c r="Q135" i="80" s="1"/>
  <c r="Y135" i="1"/>
  <c r="P135" i="80" s="1"/>
  <c r="W132" i="1"/>
  <c r="N132" i="80" s="1"/>
  <c r="U131" i="1"/>
  <c r="L131" i="80" s="1"/>
  <c r="V131" i="1"/>
  <c r="M131" i="80" s="1"/>
  <c r="W131" i="1"/>
  <c r="N131" i="80" s="1"/>
  <c r="M22" i="9"/>
  <c r="N22" i="9" s="1"/>
  <c r="X131" i="1"/>
  <c r="O131" i="80" s="1"/>
  <c r="X129" i="1"/>
  <c r="O129" i="80" s="1"/>
  <c r="W126" i="1"/>
  <c r="N126" i="80" s="1"/>
  <c r="W121" i="1"/>
  <c r="P20" i="53"/>
  <c r="K13" i="53"/>
  <c r="U123" i="1"/>
  <c r="L123" i="80" s="1"/>
  <c r="I123" i="80" s="1"/>
  <c r="K15" i="53"/>
  <c r="T122" i="1"/>
  <c r="M20" i="53"/>
  <c r="U120" i="1"/>
  <c r="L120" i="80" s="1"/>
  <c r="N20" i="53"/>
  <c r="K12" i="53"/>
  <c r="K14" i="53"/>
  <c r="N29" i="16"/>
  <c r="Q60" i="1"/>
  <c r="Q27" i="10"/>
  <c r="U48" i="1"/>
  <c r="M27" i="10"/>
  <c r="N27" i="10" s="1"/>
  <c r="U39" i="1"/>
  <c r="L39" i="80" s="1"/>
  <c r="U38" i="1"/>
  <c r="L38" i="80" s="1"/>
  <c r="R114" i="1"/>
  <c r="U134" i="1"/>
  <c r="L134" i="80" s="1"/>
  <c r="N20" i="30"/>
  <c r="M20" i="30"/>
  <c r="K13" i="30"/>
  <c r="K20" i="30" s="1"/>
  <c r="W95" i="1"/>
  <c r="N95" i="80" s="1"/>
  <c r="P20" i="37"/>
  <c r="K14" i="37"/>
  <c r="M20" i="10"/>
  <c r="O20" i="10"/>
  <c r="N20" i="10"/>
  <c r="N20" i="11"/>
  <c r="K12" i="28"/>
  <c r="P20" i="28"/>
  <c r="R18" i="54"/>
  <c r="Q20" i="38"/>
  <c r="Q20" i="37"/>
  <c r="K12" i="37"/>
  <c r="R20" i="28"/>
  <c r="K13" i="16"/>
  <c r="K20" i="16" s="1"/>
  <c r="R12" i="70"/>
  <c r="P20" i="67"/>
  <c r="Q13" i="67"/>
  <c r="P18" i="66"/>
  <c r="Q13" i="66"/>
  <c r="P12" i="59"/>
  <c r="O18" i="59"/>
  <c r="P18" i="57"/>
  <c r="O18" i="55"/>
  <c r="P18" i="56"/>
  <c r="Q12" i="56"/>
  <c r="S20" i="26"/>
  <c r="R20" i="26"/>
  <c r="Q20" i="14"/>
  <c r="N18" i="12"/>
  <c r="O18" i="12"/>
  <c r="S18" i="9"/>
  <c r="R18" i="9"/>
  <c r="K12" i="9"/>
  <c r="K18" i="9" s="1"/>
  <c r="N20" i="6"/>
  <c r="K13" i="5"/>
  <c r="G13" i="5"/>
  <c r="G33" i="5" s="1"/>
  <c r="G53" i="3"/>
  <c r="G52" i="3"/>
  <c r="G51" i="3"/>
  <c r="G50" i="3"/>
  <c r="G54" i="3" s="1"/>
  <c r="G49" i="3"/>
  <c r="G44" i="3"/>
  <c r="G43" i="3"/>
  <c r="G42" i="3"/>
  <c r="G41" i="3"/>
  <c r="G40" i="3"/>
  <c r="G45" i="3" s="1"/>
  <c r="G35" i="3"/>
  <c r="G34" i="3"/>
  <c r="G33" i="3"/>
  <c r="G32" i="3"/>
  <c r="G36" i="3" s="1"/>
  <c r="G31" i="3"/>
  <c r="G26" i="3"/>
  <c r="G25" i="3"/>
  <c r="G24" i="3"/>
  <c r="G23" i="3"/>
  <c r="G22" i="3"/>
  <c r="G27" i="3" s="1"/>
  <c r="G18" i="3"/>
  <c r="G17" i="3"/>
  <c r="G16" i="3"/>
  <c r="G15" i="3"/>
  <c r="G14" i="3"/>
  <c r="G13" i="3"/>
  <c r="R20" i="2"/>
  <c r="S20" i="2"/>
  <c r="K17" i="2"/>
  <c r="K18" i="2"/>
  <c r="K19" i="2"/>
  <c r="Q20" i="2"/>
  <c r="P20" i="2"/>
  <c r="O20" i="2"/>
  <c r="N20" i="2"/>
  <c r="M20" i="2"/>
  <c r="L20" i="2"/>
  <c r="K13" i="2"/>
  <c r="K14" i="2"/>
  <c r="K15" i="2"/>
  <c r="K16" i="2"/>
  <c r="K12" i="2"/>
  <c r="I16" i="2"/>
  <c r="I28" i="2" s="1"/>
  <c r="I15" i="2"/>
  <c r="I27" i="2" s="1"/>
  <c r="I14" i="2"/>
  <c r="I26" i="2" s="1"/>
  <c r="I13" i="2"/>
  <c r="I25" i="2" s="1"/>
  <c r="I12" i="2"/>
  <c r="I24" i="2" s="1"/>
  <c r="G53" i="2"/>
  <c r="G52" i="2"/>
  <c r="G44" i="2"/>
  <c r="G43" i="2"/>
  <c r="G45" i="2"/>
  <c r="G35" i="2"/>
  <c r="G34" i="2"/>
  <c r="G26" i="2"/>
  <c r="G25" i="2"/>
  <c r="G16" i="2"/>
  <c r="G17" i="2"/>
  <c r="G13" i="2"/>
  <c r="R122" i="1" l="1"/>
  <c r="K122" i="80"/>
  <c r="R48" i="1"/>
  <c r="L48" i="80"/>
  <c r="I48" i="80" s="1"/>
  <c r="G27" i="62"/>
  <c r="I27" i="62" s="1"/>
  <c r="U143" i="1"/>
  <c r="T143" i="1"/>
  <c r="H47" i="62"/>
  <c r="H55" i="62" s="1"/>
  <c r="H28" i="62"/>
  <c r="G55" i="62"/>
  <c r="R123" i="1"/>
  <c r="R121" i="1"/>
  <c r="N121" i="80"/>
  <c r="I121" i="80" s="1"/>
  <c r="K20" i="37"/>
  <c r="R14" i="71"/>
  <c r="X142" i="1"/>
  <c r="O142" i="80" s="1"/>
  <c r="Q18" i="71"/>
  <c r="W139" i="1"/>
  <c r="N139" i="80" s="1"/>
  <c r="V137" i="1"/>
  <c r="M137" i="80" s="1"/>
  <c r="W137" i="1"/>
  <c r="N137" i="80" s="1"/>
  <c r="R135" i="1"/>
  <c r="I135" i="80"/>
  <c r="X132" i="1"/>
  <c r="O132" i="80" s="1"/>
  <c r="Z131" i="1"/>
  <c r="Q131" i="80" s="1"/>
  <c r="Y131" i="1"/>
  <c r="P131" i="80" s="1"/>
  <c r="Y129" i="1"/>
  <c r="P129" i="80" s="1"/>
  <c r="X126" i="1"/>
  <c r="O126" i="80" s="1"/>
  <c r="K20" i="53"/>
  <c r="V120" i="1"/>
  <c r="O20" i="53"/>
  <c r="V39" i="1"/>
  <c r="M39" i="80" s="1"/>
  <c r="K14" i="6"/>
  <c r="V38" i="1"/>
  <c r="O20" i="6"/>
  <c r="V134" i="1"/>
  <c r="M134" i="80" s="1"/>
  <c r="X95" i="1"/>
  <c r="O95" i="80" s="1"/>
  <c r="K20" i="10"/>
  <c r="O20" i="11"/>
  <c r="G54" i="2"/>
  <c r="S18" i="54"/>
  <c r="K12" i="54"/>
  <c r="K18" i="54" s="1"/>
  <c r="R20" i="38"/>
  <c r="S20" i="38"/>
  <c r="S20" i="28"/>
  <c r="K13" i="28"/>
  <c r="K20" i="28" s="1"/>
  <c r="S12" i="70"/>
  <c r="R13" i="67"/>
  <c r="Q20" i="67"/>
  <c r="R13" i="66"/>
  <c r="Q18" i="66"/>
  <c r="P18" i="59"/>
  <c r="P18" i="55"/>
  <c r="R12" i="56"/>
  <c r="Q18" i="56"/>
  <c r="K13" i="26"/>
  <c r="K20" i="26" s="1"/>
  <c r="R20" i="14"/>
  <c r="P18" i="12"/>
  <c r="G18" i="2"/>
  <c r="G27" i="2"/>
  <c r="G36" i="2"/>
  <c r="K20" i="2"/>
  <c r="I131" i="80" l="1"/>
  <c r="I122" i="80"/>
  <c r="K143" i="80"/>
  <c r="K147" i="80" s="1"/>
  <c r="L143" i="80"/>
  <c r="L147" i="80" s="1"/>
  <c r="G30" i="62"/>
  <c r="M38" i="80"/>
  <c r="M143" i="80" s="1"/>
  <c r="M147" i="80" s="1"/>
  <c r="V143" i="1"/>
  <c r="R120" i="1"/>
  <c r="C53" i="62" s="1"/>
  <c r="I53" i="62" s="1"/>
  <c r="M120" i="80"/>
  <c r="I120" i="80" s="1"/>
  <c r="H30" i="62"/>
  <c r="I28" i="62"/>
  <c r="I47" i="62"/>
  <c r="I9" i="62"/>
  <c r="I11" i="62" s="1"/>
  <c r="S14" i="71"/>
  <c r="Y142" i="1"/>
  <c r="P142" i="80" s="1"/>
  <c r="R18" i="71"/>
  <c r="K14" i="71"/>
  <c r="K18" i="71" s="1"/>
  <c r="X139" i="1"/>
  <c r="O139" i="80" s="1"/>
  <c r="X137" i="1"/>
  <c r="O137" i="80" s="1"/>
  <c r="Y132" i="1"/>
  <c r="P132" i="80" s="1"/>
  <c r="R131" i="1"/>
  <c r="Z129" i="1"/>
  <c r="Y126" i="1"/>
  <c r="P126" i="80" s="1"/>
  <c r="W39" i="1"/>
  <c r="W38" i="1"/>
  <c r="W143" i="1" s="1"/>
  <c r="P20" i="6"/>
  <c r="K13" i="6"/>
  <c r="W134" i="1"/>
  <c r="N134" i="80" s="1"/>
  <c r="Y95" i="1"/>
  <c r="P95" i="80" s="1"/>
  <c r="R20" i="37"/>
  <c r="P20" i="11"/>
  <c r="K12" i="70"/>
  <c r="S13" i="67"/>
  <c r="R20" i="67"/>
  <c r="S13" i="66"/>
  <c r="S18" i="66" s="1"/>
  <c r="R18" i="66"/>
  <c r="Q18" i="59"/>
  <c r="Q18" i="55"/>
  <c r="R18" i="56"/>
  <c r="S12" i="56"/>
  <c r="S20" i="14"/>
  <c r="K20" i="14"/>
  <c r="Q18" i="12"/>
  <c r="K15" i="5"/>
  <c r="K33" i="5" s="1"/>
  <c r="R129" i="1" l="1"/>
  <c r="Q129" i="80"/>
  <c r="I129" i="80" s="1"/>
  <c r="R39" i="1"/>
  <c r="N39" i="80"/>
  <c r="I39" i="80" s="1"/>
  <c r="R38" i="1"/>
  <c r="N38" i="80"/>
  <c r="Z142" i="1"/>
  <c r="S18" i="71"/>
  <c r="Y139" i="1"/>
  <c r="P139" i="80" s="1"/>
  <c r="Z137" i="1"/>
  <c r="Q137" i="80" s="1"/>
  <c r="Y137" i="1"/>
  <c r="P137" i="80" s="1"/>
  <c r="Z132" i="1"/>
  <c r="Z126" i="1"/>
  <c r="K20" i="6"/>
  <c r="X134" i="1"/>
  <c r="O134" i="80" s="1"/>
  <c r="O143" i="80" s="1"/>
  <c r="O147" i="80" s="1"/>
  <c r="O148" i="80" s="1"/>
  <c r="Z95" i="1"/>
  <c r="S20" i="37"/>
  <c r="Q20" i="11"/>
  <c r="S20" i="67"/>
  <c r="K13" i="67"/>
  <c r="K20" i="67" s="1"/>
  <c r="K13" i="66"/>
  <c r="K18" i="66" s="1"/>
  <c r="R18" i="59"/>
  <c r="S18" i="57"/>
  <c r="K12" i="57"/>
  <c r="K18" i="57" s="1"/>
  <c r="R18" i="55"/>
  <c r="S18" i="55"/>
  <c r="K12" i="55"/>
  <c r="K18" i="55" s="1"/>
  <c r="S18" i="56"/>
  <c r="K12" i="56"/>
  <c r="K18" i="56" s="1"/>
  <c r="R18" i="12"/>
  <c r="R126" i="1" l="1"/>
  <c r="Q126" i="80"/>
  <c r="I126" i="80" s="1"/>
  <c r="R142" i="1"/>
  <c r="Q142" i="80"/>
  <c r="I142" i="80" s="1"/>
  <c r="R95" i="1"/>
  <c r="Q95" i="80"/>
  <c r="R132" i="1"/>
  <c r="Q132" i="80"/>
  <c r="I132" i="80" s="1"/>
  <c r="D45" i="62"/>
  <c r="D21" i="62"/>
  <c r="I21" i="62" s="1"/>
  <c r="I38" i="80"/>
  <c r="N143" i="80"/>
  <c r="N147" i="80" s="1"/>
  <c r="D20" i="62"/>
  <c r="D46" i="62"/>
  <c r="I46" i="62" s="1"/>
  <c r="Z139" i="1"/>
  <c r="I137" i="80"/>
  <c r="R137" i="1"/>
  <c r="Y134" i="1"/>
  <c r="P134" i="80" s="1"/>
  <c r="P143" i="80" s="1"/>
  <c r="P147" i="80" s="1"/>
  <c r="P148" i="80" s="1"/>
  <c r="F8" i="62"/>
  <c r="C8" i="62" s="1"/>
  <c r="K8" i="62"/>
  <c r="R20" i="11"/>
  <c r="S20" i="11"/>
  <c r="S18" i="59"/>
  <c r="K12" i="59"/>
  <c r="K18" i="59" s="1"/>
  <c r="S18" i="12"/>
  <c r="K12" i="12"/>
  <c r="K18" i="12" s="1"/>
  <c r="I95" i="80" l="1"/>
  <c r="R139" i="1"/>
  <c r="Q139" i="80"/>
  <c r="I139" i="80" s="1"/>
  <c r="I20" i="62"/>
  <c r="D30" i="62"/>
  <c r="D55" i="62"/>
  <c r="I45" i="62"/>
  <c r="Z134" i="1"/>
  <c r="F11" i="62"/>
  <c r="C11" i="62" s="1"/>
  <c r="K11" i="62"/>
  <c r="H8" i="62"/>
  <c r="M8" i="62" s="1"/>
  <c r="K12" i="11"/>
  <c r="K20" i="11" s="1"/>
  <c r="R134" i="1" l="1"/>
  <c r="Q134" i="80"/>
  <c r="Q143" i="80" s="1"/>
  <c r="Q147" i="80" s="1"/>
  <c r="Q148" i="80" s="1"/>
  <c r="F12" i="62"/>
  <c r="G12" i="62"/>
  <c r="E12" i="62"/>
  <c r="D13" i="62"/>
  <c r="I134" i="80" l="1"/>
  <c r="D12" i="62"/>
  <c r="R8" i="1"/>
  <c r="J9" i="62" l="1"/>
  <c r="J11" i="62" s="1"/>
  <c r="C44" i="62"/>
  <c r="H9" i="62" l="1"/>
  <c r="M9" i="62" s="1"/>
  <c r="I44" i="62"/>
  <c r="K20" i="8"/>
  <c r="S130" i="1"/>
  <c r="R130" i="1" l="1"/>
  <c r="R6" i="1" s="1"/>
  <c r="R5" i="1" s="1"/>
  <c r="J130" i="80"/>
  <c r="J143" i="80" s="1"/>
  <c r="J147" i="80" s="1"/>
  <c r="N148" i="80" s="1"/>
  <c r="S143" i="1"/>
  <c r="C54" i="62"/>
  <c r="C18" i="62"/>
  <c r="L10" i="62"/>
  <c r="H10" i="62" s="1"/>
  <c r="I130" i="80" l="1"/>
  <c r="I143" i="80" s="1"/>
  <c r="I54" i="62"/>
  <c r="C55" i="62"/>
  <c r="C30" i="62"/>
  <c r="I18" i="62"/>
  <c r="H11" i="62"/>
  <c r="J12" i="62" s="1"/>
  <c r="M10" i="62"/>
  <c r="L11" i="62"/>
  <c r="I30" i="62" l="1"/>
  <c r="C31" i="62" s="1"/>
  <c r="I55" i="62"/>
  <c r="I12" i="62"/>
  <c r="L12" i="62"/>
  <c r="K12" i="62"/>
  <c r="M11" i="62"/>
  <c r="I13" i="62"/>
  <c r="M20" i="17"/>
  <c r="G13" i="17"/>
  <c r="G16" i="17"/>
  <c r="G14" i="17"/>
  <c r="G15" i="17"/>
  <c r="J48" i="62" l="1"/>
  <c r="J55" i="62"/>
  <c r="I56" i="62"/>
  <c r="J52" i="62"/>
  <c r="E56" i="62"/>
  <c r="J50" i="62"/>
  <c r="F56" i="62"/>
  <c r="J51" i="62"/>
  <c r="J49" i="62"/>
  <c r="G56" i="62"/>
  <c r="H56" i="62"/>
  <c r="J53" i="62"/>
  <c r="J47" i="62"/>
  <c r="J46" i="62"/>
  <c r="J45" i="62"/>
  <c r="D56" i="62"/>
  <c r="J44" i="62"/>
  <c r="C56" i="62"/>
  <c r="J30" i="62"/>
  <c r="I31" i="62"/>
  <c r="J23" i="62"/>
  <c r="J26" i="62"/>
  <c r="J22" i="62"/>
  <c r="J29" i="62"/>
  <c r="E31" i="62"/>
  <c r="J24" i="62"/>
  <c r="F31" i="62"/>
  <c r="J25" i="62"/>
  <c r="J19" i="62"/>
  <c r="G31" i="62"/>
  <c r="J27" i="62"/>
  <c r="J28" i="62"/>
  <c r="H31" i="62"/>
  <c r="J21" i="62"/>
  <c r="D31" i="62"/>
  <c r="J20" i="62"/>
  <c r="J54" i="62"/>
  <c r="J18" i="62"/>
  <c r="M13" i="62"/>
  <c r="G18" i="17"/>
  <c r="D14" i="62" l="1"/>
  <c r="N8" i="62"/>
  <c r="N9" i="62"/>
  <c r="N10" i="62"/>
  <c r="I14" i="62"/>
  <c r="N11" i="62"/>
</calcChain>
</file>

<file path=xl/sharedStrings.xml><?xml version="1.0" encoding="utf-8"?>
<sst xmlns="http://schemas.openxmlformats.org/spreadsheetml/2006/main" count="5481" uniqueCount="827">
  <si>
    <t>2023 - 2027</t>
  </si>
  <si>
    <t>Tipo</t>
  </si>
  <si>
    <t>Total</t>
  </si>
  <si>
    <t>Etapa o parte</t>
  </si>
  <si>
    <t>Actividad 1</t>
  </si>
  <si>
    <t>Actividad 2</t>
  </si>
  <si>
    <t>Actividad 3</t>
  </si>
  <si>
    <t>Actividad 4</t>
  </si>
  <si>
    <t>Actividad 5</t>
  </si>
  <si>
    <t>Unidad</t>
  </si>
  <si>
    <t>Cantidad</t>
  </si>
  <si>
    <t>Descripción</t>
  </si>
  <si>
    <r>
      <t>Precio Total</t>
    </r>
    <r>
      <rPr>
        <sz val="8"/>
        <color theme="1"/>
        <rFont val="Calibri"/>
        <family val="2"/>
        <scheme val="minor"/>
      </rPr>
      <t xml:space="preserve"> (Millones de $)</t>
    </r>
  </si>
  <si>
    <t>Actividades</t>
  </si>
  <si>
    <r>
      <t>Precio Unitario</t>
    </r>
    <r>
      <rPr>
        <sz val="8"/>
        <color theme="1"/>
        <rFont val="Calibri"/>
        <family val="2"/>
        <scheme val="minor"/>
      </rPr>
      <t xml:space="preserve"> (Millones de $)</t>
    </r>
  </si>
  <si>
    <t>Calendario de Inversión (Millones de $)</t>
  </si>
  <si>
    <t>Presupuesto detallado por Etapas o Partes (Millones de $)</t>
  </si>
  <si>
    <t>DIMENSIÓN</t>
  </si>
  <si>
    <t>PLAN MAESTRO DE LOS RECURSOS HÍDRICOS DEL MAULE</t>
  </si>
  <si>
    <t>MINISTERIO DE OBRAS PÚBLICAS / DIRECCIÓN GENERAL DE AGUAS</t>
  </si>
  <si>
    <t>FICHA DE EVALUACIÓN ECONÓMICA DE INICIATIVAS DEL PLAN</t>
  </si>
  <si>
    <t>TIPO</t>
  </si>
  <si>
    <t>ESTRUCTURAL</t>
  </si>
  <si>
    <t>EVALUACIÓN ECONÓMICA DEL PLAN</t>
  </si>
  <si>
    <t>Descripción de la iniciativa</t>
  </si>
  <si>
    <t>2028 - 2032</t>
  </si>
  <si>
    <t>2033 - 2037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</si>
  <si>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</si>
  <si>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</si>
  <si>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</si>
  <si>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</si>
  <si>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</si>
  <si>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</si>
  <si>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</si>
  <si>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</si>
  <si>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</si>
  <si>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</si>
  <si>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</si>
  <si>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</si>
  <si>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</si>
  <si>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</si>
  <si>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</si>
  <si>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</si>
  <si>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</si>
  <si>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</si>
  <si>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</si>
  <si>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</si>
  <si>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</si>
  <si>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</si>
  <si>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</si>
  <si>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</si>
  <si>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</si>
  <si>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</si>
  <si>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</si>
  <si>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</si>
  <si>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</si>
  <si>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</si>
  <si>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</si>
  <si>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</si>
  <si>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</si>
  <si>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</si>
  <si>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</si>
  <si>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</si>
  <si>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</si>
  <si>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</si>
  <si>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</si>
  <si>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IN41</t>
  </si>
  <si>
    <t>IN42</t>
  </si>
  <si>
    <t>IN43</t>
  </si>
  <si>
    <t>IN44</t>
  </si>
  <si>
    <t>IN45</t>
  </si>
  <si>
    <t>IN46</t>
  </si>
  <si>
    <t>IN47</t>
  </si>
  <si>
    <t>IN48</t>
  </si>
  <si>
    <t>IN49</t>
  </si>
  <si>
    <t>IN50</t>
  </si>
  <si>
    <t>TASA DCTO</t>
  </si>
  <si>
    <t>X%</t>
  </si>
  <si>
    <t>VAN</t>
  </si>
  <si>
    <t>%</t>
  </si>
  <si>
    <t>TIR</t>
  </si>
  <si>
    <t>MANEJO DE RECURSOS HÍDRICOS</t>
  </si>
  <si>
    <t>Mataquito</t>
  </si>
  <si>
    <t>Maule</t>
  </si>
  <si>
    <t>Loncomilla</t>
  </si>
  <si>
    <t>Perquilauquén</t>
  </si>
  <si>
    <t>Costeras</t>
  </si>
  <si>
    <t>Diagnóstico</t>
  </si>
  <si>
    <t>Modelación</t>
  </si>
  <si>
    <t>Elaboración Plan</t>
  </si>
  <si>
    <t>gl</t>
  </si>
  <si>
    <t>NO ESTRUCTURAL</t>
  </si>
  <si>
    <t>USOS DEL AGUA</t>
  </si>
  <si>
    <t>Diseño e implementación de un plan de aumento en la eficiencia en el uso del recurso hídrico</t>
  </si>
  <si>
    <t>Plan de Eficiencia</t>
  </si>
  <si>
    <t>Global</t>
  </si>
  <si>
    <t>Promoción y Desarrollo de Acuerdos Voluntarios de Cuenca</t>
  </si>
  <si>
    <t>EVENTOS EXTREMOS Y CAMBIO CLIMÁTICO</t>
  </si>
  <si>
    <t>Regional</t>
  </si>
  <si>
    <t>GOBERNANZA</t>
  </si>
  <si>
    <t>Cuencas Costeras</t>
  </si>
  <si>
    <t>Estructural</t>
  </si>
  <si>
    <t>Cantidad (hm3)</t>
  </si>
  <si>
    <t>estudio</t>
  </si>
  <si>
    <t xml:space="preserve">Cantidad </t>
  </si>
  <si>
    <t>año</t>
  </si>
  <si>
    <t>Modelo operacional</t>
  </si>
  <si>
    <t>Análisis lab</t>
  </si>
  <si>
    <t>análisis microbiológico</t>
  </si>
  <si>
    <t>Estación</t>
  </si>
  <si>
    <t>Toma de muestras</t>
  </si>
  <si>
    <t>Campaña</t>
  </si>
  <si>
    <t>No Estructural</t>
  </si>
  <si>
    <t>Gastos Generales y Utilidades</t>
  </si>
  <si>
    <t>Análisis Calidad Aguas Microbiológico</t>
  </si>
  <si>
    <t>INSTITUCIONAL</t>
  </si>
  <si>
    <t>Diseño sitio web</t>
  </si>
  <si>
    <t>mantención anual</t>
  </si>
  <si>
    <t>No estructural</t>
  </si>
  <si>
    <t>Diseño</t>
  </si>
  <si>
    <t>Mantención</t>
  </si>
  <si>
    <t>TOTAL</t>
  </si>
  <si>
    <t>Sistema</t>
  </si>
  <si>
    <t>sensor</t>
  </si>
  <si>
    <t>pozo</t>
  </si>
  <si>
    <t>Profesional EyP</t>
  </si>
  <si>
    <t>Profesional OUA</t>
  </si>
  <si>
    <t>Presupuesto op</t>
  </si>
  <si>
    <t>mes</t>
  </si>
  <si>
    <t>DGA. DARH</t>
  </si>
  <si>
    <t>Aumento de la capacidad de fiscalización (personal técnico/administrativo)</t>
  </si>
  <si>
    <t>personal adm</t>
  </si>
  <si>
    <t>DGA. FISCALIZACIÓN</t>
  </si>
  <si>
    <t>Capacitación y Transferencia Tecnológica en Riego y especialmente riego Tecnificado para Pequeños Agricultores (CNR)</t>
  </si>
  <si>
    <t>DGA</t>
  </si>
  <si>
    <t>Objetivo 10. “Incorporar la gestión de cuencas hidrográficas como la base del ordenamiento territorial”.</t>
  </si>
  <si>
    <t>Aumento cobertura de Sistemas de Saneamiento rural</t>
  </si>
  <si>
    <t>RESPONSABLE</t>
  </si>
  <si>
    <t>E. Meteorologicas</t>
  </si>
  <si>
    <t>Suministro e instalación</t>
  </si>
  <si>
    <t>Estaciones</t>
  </si>
  <si>
    <t xml:space="preserve">E. Fluviométrica </t>
  </si>
  <si>
    <t>E. Calidad de Aguas</t>
  </si>
  <si>
    <t>Cuenca Mataquito(UPH 7 y 8)</t>
  </si>
  <si>
    <t>Sedimentaria</t>
  </si>
  <si>
    <t>Subterraneas</t>
  </si>
  <si>
    <t>Niveles de Embalse</t>
  </si>
  <si>
    <t>Maule Alto y Bajo (UPH 5 y 6)</t>
  </si>
  <si>
    <t>UPH 7</t>
  </si>
  <si>
    <t>UPH 8</t>
  </si>
  <si>
    <t>Programas de Regularización y Perfeccionamiento de derechos de Aprovechamiento de Aguas</t>
  </si>
  <si>
    <t>APR. Roblería Chupallar</t>
  </si>
  <si>
    <t>APR. Las Rosas Cuentas Claras</t>
  </si>
  <si>
    <t>APR. Acceso Sur Membrillar</t>
  </si>
  <si>
    <t>Elaboración de Planes de Manejo de Recursos Hídricos</t>
  </si>
  <si>
    <t>L01. Planificación del Manejo e Infraestructura de Recursos Hídricos</t>
  </si>
  <si>
    <t>OBJ 01. Equilibrio, seguridad y disponibilidad de recursos hídricos</t>
  </si>
  <si>
    <t>Elaboración de  Planes de Desarrollo de Infraestructura Hidráulica</t>
  </si>
  <si>
    <t>Implementación de Infraestructura de Regulación de cuencas</t>
  </si>
  <si>
    <t>L02. Aumentar la seguridad de acceso y disponibilidad de los recursos hídricos mediante desarrollo de infraestructura hidráulica</t>
  </si>
  <si>
    <t>Implementación de Infraestructura para el manejo de Acuíferos</t>
  </si>
  <si>
    <t>Implementación de Proyectos para la Diversificación de fuentes para abastecimiento de agua</t>
  </si>
  <si>
    <t>Estudios hidrológicos e hidrogeológicos</t>
  </si>
  <si>
    <t>OBJ 02. Aumentar calidad, cantidad yaccesibilidad de información de recursos hídricos</t>
  </si>
  <si>
    <t>L03. Mejorar la cantidad y calidad de la información y conocimiento de los recursos hídricos</t>
  </si>
  <si>
    <t>Estudios de la criósfera (nieves y glaciares) para la Región del Maule.</t>
  </si>
  <si>
    <t xml:space="preserve">Desarrollo de Modelos hidráulicos unificados entre aguas superficiales y subterráneas </t>
  </si>
  <si>
    <t>Diseño e implementación de un Sistema Integrado de Información de los Recursos Hídricos.</t>
  </si>
  <si>
    <t>L04. Disponer de un sistema de información integrado de los recursos hídricos</t>
  </si>
  <si>
    <t>Programas de Fortalecimiento y Modernización de las Organizaciones de Usuarios de Aguas</t>
  </si>
  <si>
    <t>L05. Fortalecer y Modernizar las Organizaciones de Usuarios de Aguas</t>
  </si>
  <si>
    <t>OBJ 03: “Modernizar las organizaciones de usuarios de aguas  y mejorar el estado legal de los DAA”.</t>
  </si>
  <si>
    <t xml:space="preserve">Implementación de nuevos sistemas de Agua Potable Rural </t>
  </si>
  <si>
    <t xml:space="preserve">L06. Mejorar la situación legal de los derechos de aprovechamiento de aguas superficiales y subterráneas en la región. </t>
  </si>
  <si>
    <t>OBJ 04. “Mejorar la cobertura, infraestructura y gestión de los sistemas de agua potable rural y de saneamiento rural”.</t>
  </si>
  <si>
    <t>L07. Mejorar la cobertura e infraestructura de agua potable rural</t>
  </si>
  <si>
    <t>APR. Santa Olga - Carrizal - Nirivilo</t>
  </si>
  <si>
    <t>APR. Santa Rosa - Lavadero</t>
  </si>
  <si>
    <t>APR. El Llano - El Arrozal - Huencuecho Norte</t>
  </si>
  <si>
    <t>IN-11</t>
  </si>
  <si>
    <t>Catastro y regularización de derechos de aprovechamiento de aguas de APR</t>
  </si>
  <si>
    <t xml:space="preserve">L08. Mejorar la gestión de los sistemas de agua potable rural </t>
  </si>
  <si>
    <t xml:space="preserve">Diseño e implementación de un sistema de Seguimiento Centralizado de calidad de aguas APR </t>
  </si>
  <si>
    <t>L09. Mejorar la cobertura de saneamiento rural y capacitación en Saneamiento Rural.</t>
  </si>
  <si>
    <t>Programa de  Capacitación de  dirigentes y usuarios de Sistemas de Saneamiento Rural</t>
  </si>
  <si>
    <t>L10. Mejorar la infraestructura de riego extra predial</t>
  </si>
  <si>
    <t>OBJ 05. “Mejorar la infraestructura, aumentar la eficiencia en el uso y la calidad de las aguas de riego"</t>
  </si>
  <si>
    <t>Diseño de sistemas de riego extraprediales</t>
  </si>
  <si>
    <t>Tecnificación de compuertas de riego mediante telemetría y automatización</t>
  </si>
  <si>
    <t xml:space="preserve">Proyectos de Mejoramiento de Obras de Captación, conducción y distribución. (LEY 18.450, CNR) </t>
  </si>
  <si>
    <t>L11. Aumentar la eficiencia de riego mediante capacitación y tecnificación del riego intrapredial</t>
  </si>
  <si>
    <t>Proyectos de Tecnificación de riego para Pequeños Agricultores. (Ley 18.450 / INDAP)</t>
  </si>
  <si>
    <t>Promoción y Desarrollo de Energías Renovables No Convencionales ERNC (Ley 18.450 / INDAP)</t>
  </si>
  <si>
    <t xml:space="preserve">Diagnóstico y Análisis de la Calidad del Agua de Canales y Capacitación e Implementación de Buenas Prácticas Agrícolas </t>
  </si>
  <si>
    <t>L12. Mejorar la calidad de las aguas de riego</t>
  </si>
  <si>
    <t xml:space="preserve">Diseño e Implementación de un Plan de Acción para el Control Descargas de contaminantes en canales de riego u otros cuerpos de agua </t>
  </si>
  <si>
    <t xml:space="preserve">Diseño e Implementación de un Sistema Seguimiento continuo descargas de riles </t>
  </si>
  <si>
    <t>L13. Controlar el estado de las descargas de residuos líquidos en cursos y cuerpos de agua</t>
  </si>
  <si>
    <t>OBJ 06. "Mejorar la coordinación entre los distintos usos del agua y los usos industriales y energéticos".</t>
  </si>
  <si>
    <t>Diseño e Implementación de un Plan de coordinación del sector Hidroeléctrico con otros usos de la cuenca.</t>
  </si>
  <si>
    <t>L14. Mejorar la coordinación del sector hidroeléctrico con otros usos del agua en la cuenca</t>
  </si>
  <si>
    <t>Estudio de Demandas Mínimas de agua para la actividad turística y otros usos no extractivos</t>
  </si>
  <si>
    <t>L15. Fomentar la coordinación entre usos extractivos  y no extractivos del agua en la cuenca.</t>
  </si>
  <si>
    <t>Objetivo 07. “Incluir los usos no extractivos dentro de la Planificación de los Recursos Hídricos”.</t>
  </si>
  <si>
    <t>Propuesta de Buenas Prácticas de Manejo Forestal para la gestión de cuencas hidrográficas</t>
  </si>
  <si>
    <t>Estudio de Demandas Mínimas de agua para asegurar la calidad del recurso en cursos y cuerpos de agua</t>
  </si>
  <si>
    <t>L16. Establecer objetivos de calidad de aguas para las cuencas</t>
  </si>
  <si>
    <t>OBJ 08. “Mejorar la calidad de las aguas en sus fuentes naturales”.</t>
  </si>
  <si>
    <t>Establecimiento de  Normas Secundarias de Calidad Ambiental</t>
  </si>
  <si>
    <t>Control de la contaminación urbana de cursos de agua y canales de riego</t>
  </si>
  <si>
    <t>L17. Reducir la contaminación urbana e intervención de cauces y canales</t>
  </si>
  <si>
    <t>Actualización del procedimiento de autorización de extracción de áridos</t>
  </si>
  <si>
    <t>CALIDAD DE AGUAS Y MEDIOAMBIENTE</t>
  </si>
  <si>
    <t>Estudio de caudales ambientales para la mantención de ecosistemas acuáticos</t>
  </si>
  <si>
    <t>L18. Resguardar los ecosistemas significativos asegurando la disponibilidad de recursos hídricos</t>
  </si>
  <si>
    <t>Objetivo 09. “Promover la protección de los ecosistemas significativos de la región".</t>
  </si>
  <si>
    <t>L19. Promover instrumentos de gestión y ordenamiento territorial sobre la base de las cuencas hidrográficas</t>
  </si>
  <si>
    <t>OBJ 10. “Incorporar la gestión de cuencas hidrográficas como la base del ordenamiento territorial”.</t>
  </si>
  <si>
    <t xml:space="preserve">Diseño de un Ordenamiento territorial para el manejo integrado de cuencas hidrográficas </t>
  </si>
  <si>
    <t>Diseño e Implementación Plan de Adaptación a la Sequía</t>
  </si>
  <si>
    <t>L20. Implementar instrumentos para la Adaptación a los eventos extremos</t>
  </si>
  <si>
    <t>Objetivo 11. “Mejorar la resiliencia de los usos del agua y ecosistemas de la región ante eventos extremos y a su variación en el tiempo producto del cambio climático”.</t>
  </si>
  <si>
    <t>OBJ 11. “Mejorar la resiliencia de los usos del agua y ecosistemas de la región ante eventos extremos y a su variación en el tiempo producto del cambio climático”.</t>
  </si>
  <si>
    <t xml:space="preserve">Implementación de un Plan de Adaptación a Inundaciones, Aluviones y erosión </t>
  </si>
  <si>
    <t>Implementación de un Plan de Adaptación a los  Incendios Forestales</t>
  </si>
  <si>
    <t>Implementación de un Consejo Regional de Cambio Climático</t>
  </si>
  <si>
    <t>L21. Desarrollar estrategias locales de adaptación al cambio climático</t>
  </si>
  <si>
    <t>Definición de un modelo de Gobernanza para la gestión Integrada y Plan de Implementación (Consejo, Administradora, Usuarios, Ecosistemas, Eventos Extremos)</t>
  </si>
  <si>
    <t>L22. Definir e implementar una Gobernanza para la gestión integrada de recursos Hídricos .</t>
  </si>
  <si>
    <t>OBJ 12. “Implementar una gestión integrada de los recursos hídricos en la región"</t>
  </si>
  <si>
    <t>Definición de Objetivos para la Gestión Integrada de Recursos Hídricos</t>
  </si>
  <si>
    <t>Seguimiento a los Instrumentos de Planificación</t>
  </si>
  <si>
    <t xml:space="preserve">Programa de Capacitación Interna </t>
  </si>
  <si>
    <t xml:space="preserve">L-I-01 Fortalecimiento de la DGA regional </t>
  </si>
  <si>
    <t>OBJ 13. "Potenciar la labor de la DGA regional y favorecer el acercamiento a los usuarios del agua"</t>
  </si>
  <si>
    <t xml:space="preserve">Gestión del conocimiento y centro de documentación </t>
  </si>
  <si>
    <t>Difusión de las actividades de la DGA entre los usuarios de la región</t>
  </si>
  <si>
    <t>L-I-02. Desarrollo de capacidades regionales para estudio y planificación de recursos hídricos</t>
  </si>
  <si>
    <t>OBJETIVO 13.1 "Posicionar a la DGA regional como la institución especialista en recursos hídricos a nivel regional"</t>
  </si>
  <si>
    <t>Creación del Departamento de Estudios y Planificación de Recursos Hídricos en la región</t>
  </si>
  <si>
    <t>L-I-03. Ampliar la cobertura de la red hidrométrica y red de calidad de aguas</t>
  </si>
  <si>
    <t>OBJETIVO 13.2. Hidrología: "Ampliar la información hidrológica generada y mejorar la accesibilidad de los usuarios".</t>
  </si>
  <si>
    <t>OBJ 13.2. Hidrología: "Ampliar la información hidrológica generada y mejorar la accesibilidad de los usuarios".</t>
  </si>
  <si>
    <t>Instalación de nuevas estaciones e Incorporación de parámetros biológicos en la Red de Calidad de Aguas.</t>
  </si>
  <si>
    <t>L-I-04. Dotar a la región de atribuciones de análisis  hidrológicos e hidraulicos.</t>
  </si>
  <si>
    <t>Propuesta de protocolos para la actualización regional de curvas de descarga</t>
  </si>
  <si>
    <t>L-I-05. Mejorar la accesibilidad a la Información de los Recursos Hídricos disponible en la DGA.</t>
  </si>
  <si>
    <t>Diseño de un Nuevo Portal web de información de Recursos Hídricos de la DGA.</t>
  </si>
  <si>
    <t>Creación del cargo de Subagente de Expedientes.</t>
  </si>
  <si>
    <t>L-I-06. Mejorar la situación legal de los derechos de aprovechamiento de aguas en la región</t>
  </si>
  <si>
    <t>OBJETIVO 13.3 DARH: "Mejorar la situación legal de los derechos de aprovechamiento de agua en la región".</t>
  </si>
  <si>
    <t>SUB Agente de expedientes</t>
  </si>
  <si>
    <t>Implementación de un Plan de Acción Interinstitucional  para mejorar la situación legal de los DAA</t>
  </si>
  <si>
    <t>Simplificación de los procesos para regularización de derechos de aprovechamiento de aguas</t>
  </si>
  <si>
    <t xml:space="preserve">Disposición de mayores atribuciones de fiscalización </t>
  </si>
  <si>
    <t>L-I-07. Aumento de atribuciones y Mejorar las capacidades de fiscalización</t>
  </si>
  <si>
    <t>OBJETIVO 13.4 FISCALIZACIÓN: "Ampliar la capacidad de fiscalización en la región"</t>
  </si>
  <si>
    <t>Ampliación el programa de fiscalización selectiva</t>
  </si>
  <si>
    <t>Constitución de una Comisión Regional de Recursos hídricos</t>
  </si>
  <si>
    <t>L-I-08 Mejorar la coordinación entre los servicios públicos para la gestión de los recursos hídricos</t>
  </si>
  <si>
    <t>OBJ 14. "Definir una hoja de ruta entre servicios públicos y actores privados para avanzar hacia una gestión integrada de recursos hídricos".</t>
  </si>
  <si>
    <t>L-I-09. Mejorar la Coordinación publico privada para la gestión integrada de recursos hídricos</t>
  </si>
  <si>
    <t>Propuesta de una hoja de ruta para definir una gobernanza para los recursos hídricos en la región</t>
  </si>
  <si>
    <t>VAC</t>
  </si>
  <si>
    <t>CAE</t>
  </si>
  <si>
    <t>EVALUACIÓN ECONÓMICA</t>
  </si>
  <si>
    <t>OBJETIVOS</t>
  </si>
  <si>
    <t>LÍNEAS DE ACCIÓN</t>
  </si>
  <si>
    <t>ID</t>
  </si>
  <si>
    <t>SUB-LÍNEA</t>
  </si>
  <si>
    <t>INICIATIVAS</t>
  </si>
  <si>
    <t xml:space="preserve">Manejo de Recursos Hídricos </t>
  </si>
  <si>
    <t>Objetivo 01: "Propender al equilibrio entre los usos , aumentar la seguridad de acceso  y ampliar la disponibilidad de los recursos hídricos".</t>
  </si>
  <si>
    <t>SL-01</t>
  </si>
  <si>
    <t>Plan de Manejo de Recursos Hídricos de la Cuenca del río Mataquito</t>
  </si>
  <si>
    <t>Plan de Manejo de Recursos Hídricos de la Cuenca del río Maule</t>
  </si>
  <si>
    <t xml:space="preserve">Plan de Manejo de Recursos Hídricos de la Cuenca del río Loncomilla </t>
  </si>
  <si>
    <t>Plan de Manejo de Recursos Hídricos de la Cuenca del río Perquilauquén</t>
  </si>
  <si>
    <t>Plan de Manejo de Recursos Hídricos de Cuencas Costeras</t>
  </si>
  <si>
    <t>SL-02</t>
  </si>
  <si>
    <t>Plan de Desarrollo de Infraestructura Hidráulica cuenca del río Mataquito</t>
  </si>
  <si>
    <t>Plan de Desarrollo de Infraestructura Hidráulica cuenca del río Maule</t>
  </si>
  <si>
    <t>Plan de Desarrollo de Infraestructura Hidráulica cuenca del río Loncomilla</t>
  </si>
  <si>
    <t>Plan de Desarrollo de Infraestructura Hidráulica cuenca del río Perquilauquén</t>
  </si>
  <si>
    <t>Plan de Desarrollo de Infraestructura Hidráulica Cuencas Costeras</t>
  </si>
  <si>
    <t>SL-03</t>
  </si>
  <si>
    <t>CA01</t>
  </si>
  <si>
    <t>Cuenca Río Huenchullamí. Embalse Gualleco</t>
  </si>
  <si>
    <t>PG-M-22 / CA-04</t>
  </si>
  <si>
    <t>CA02</t>
  </si>
  <si>
    <t>Cuenca Río Huenchullamí. Embalse Tabunco</t>
  </si>
  <si>
    <t>PG-M-23 / CA-03</t>
  </si>
  <si>
    <t>CA03</t>
  </si>
  <si>
    <t>Cuenca Río Huenchullamí. Embalse Empedrado</t>
  </si>
  <si>
    <t>CA-05</t>
  </si>
  <si>
    <t>CA04</t>
  </si>
  <si>
    <t>Cuenca Río Teno. Embalse La Jaula</t>
  </si>
  <si>
    <t>DOH Factibilidad</t>
  </si>
  <si>
    <t>CA05</t>
  </si>
  <si>
    <t>Cuenca Río Mataquito. Embalse El Parrón</t>
  </si>
  <si>
    <t>PLAN NACIONAL DE EMBALSES</t>
  </si>
  <si>
    <t>CA06</t>
  </si>
  <si>
    <t>Cuenca Río Mataquito. Embalse Domulgo</t>
  </si>
  <si>
    <t>PG-M-24 / PLAN NACIONAL DE EMBALSES</t>
  </si>
  <si>
    <t>CA07</t>
  </si>
  <si>
    <t>Cuenca Río Mataquito. Embalse Limávida</t>
  </si>
  <si>
    <t>CA08</t>
  </si>
  <si>
    <t xml:space="preserve">Cuenca Río Maule. Embalse Vaquería </t>
  </si>
  <si>
    <t>CA09</t>
  </si>
  <si>
    <t>Cuenca Río Maule. Embalse Porvenir</t>
  </si>
  <si>
    <t>CA10</t>
  </si>
  <si>
    <t>Cuenca Río Maule. Embalse La Bruja</t>
  </si>
  <si>
    <t>PG-M-25 / PLAN NACIONAL DE EMBALSES</t>
  </si>
  <si>
    <t>CA11</t>
  </si>
  <si>
    <t>Cuenca Río Maule. Embalse Huedque</t>
  </si>
  <si>
    <t>CA-23</t>
  </si>
  <si>
    <t>CA12</t>
  </si>
  <si>
    <t>Cuenca río Maule. Construcción de Sistema de Riego Embalse Junquillar</t>
  </si>
  <si>
    <t>PG-M-21</t>
  </si>
  <si>
    <t>CA13</t>
  </si>
  <si>
    <t>Cuenca Río Maule. Construcción Tranque Peralito</t>
  </si>
  <si>
    <t>PG-M-26</t>
  </si>
  <si>
    <t>CA14</t>
  </si>
  <si>
    <t>CA-26 PREF</t>
  </si>
  <si>
    <t>CA15</t>
  </si>
  <si>
    <t>Cuenca Río Loncomilla. Embalse Montecillo</t>
  </si>
  <si>
    <t>CA-24 PREF</t>
  </si>
  <si>
    <t>CA16</t>
  </si>
  <si>
    <t>Cuenca Río Loncomilla. Embalse Ancoa Sitio Original</t>
  </si>
  <si>
    <t>CA17</t>
  </si>
  <si>
    <t>Recuperación de Tranques Comunitarios</t>
  </si>
  <si>
    <t>PG-M-15</t>
  </si>
  <si>
    <t>CA18</t>
  </si>
  <si>
    <t>PG-M-14</t>
  </si>
  <si>
    <t>CA19</t>
  </si>
  <si>
    <t xml:space="preserve">Cuenca Río Lontué. embalse Gran Lontué </t>
  </si>
  <si>
    <t>Cuenca Río Maule. Embalse Río Claro</t>
  </si>
  <si>
    <t>Cuenca Río Perquilauquén. Embalse Perquilauquén</t>
  </si>
  <si>
    <t>Cuenca Río Perquilauquén. Embalse Purapel</t>
  </si>
  <si>
    <t>SL-04</t>
  </si>
  <si>
    <t>Implementación de Infraestructura para la recarga de acuíferos</t>
  </si>
  <si>
    <t>CA20</t>
  </si>
  <si>
    <t>Construcción de Captación de Aguas Subterráneas, Cuenca del Río Maule</t>
  </si>
  <si>
    <t>Infraestructura para recarga de acuíferos en Cuenca río Perquilauquén, sector restringido Belco-Arenal</t>
  </si>
  <si>
    <t>SL-05</t>
  </si>
  <si>
    <t>CA21</t>
  </si>
  <si>
    <t>CA-28</t>
  </si>
  <si>
    <t>CA22</t>
  </si>
  <si>
    <t>CA23</t>
  </si>
  <si>
    <t>PG-M-13</t>
  </si>
  <si>
    <t>SL-06</t>
  </si>
  <si>
    <t>Estudios Hidrológicos e Hidrogeológicos</t>
  </si>
  <si>
    <t>CA24</t>
  </si>
  <si>
    <t>Estudio hidrogeológico sector Teno-Lontué, cuenca Río Mataquito</t>
  </si>
  <si>
    <t>PG-M-04</t>
  </si>
  <si>
    <t>CA25</t>
  </si>
  <si>
    <t>CA26</t>
  </si>
  <si>
    <t>Estudio Diagnóstico de los Recursos Subterráneos en el Sistema Hídrico de la Cuenca del Río Longaví</t>
  </si>
  <si>
    <t>PG-LO-06</t>
  </si>
  <si>
    <t>CA27</t>
  </si>
  <si>
    <t xml:space="preserve">Estudio Diagnóstico de los Recursos Subterráneos en el Sistema Hídrico del Secano Costero y Secano Interior Región del Maule </t>
  </si>
  <si>
    <t>PG-LO-11</t>
  </si>
  <si>
    <t>SL-07</t>
  </si>
  <si>
    <t>Estudio de la criósfera (nieves y glaciares) para la Región del Maule.</t>
  </si>
  <si>
    <t>SL-08</t>
  </si>
  <si>
    <t>Modelo hidrológico cuenca río Mataquito</t>
  </si>
  <si>
    <t>Modelo hidrológico cuenca río Maule</t>
  </si>
  <si>
    <t>Modelo hidrológico cuenca río Loncomilla</t>
  </si>
  <si>
    <t>Modelo hidrológico cuenca río Perquilauquén</t>
  </si>
  <si>
    <t>SL-09</t>
  </si>
  <si>
    <t>SL-10</t>
  </si>
  <si>
    <t>CA28</t>
  </si>
  <si>
    <t>CA29</t>
  </si>
  <si>
    <t>Transferencia Gestión Eficiente Recursos Hídricos en las Cuencas de los Ríos Achibueno, Putagán y Ancoa.</t>
  </si>
  <si>
    <t>PG-LO-01</t>
  </si>
  <si>
    <t>CA30</t>
  </si>
  <si>
    <t>Transferencia Gestión Eficiente Recursos Hídricos en la Cuenca del Río Perquilauquén</t>
  </si>
  <si>
    <t>PG-LO-07</t>
  </si>
  <si>
    <t>CA31</t>
  </si>
  <si>
    <t>Transferencia para la Gestión Eficiente de los Recursos Hídricos en Secano Interior y Secano Costero de Maule Sur</t>
  </si>
  <si>
    <t>PG-LO-10</t>
  </si>
  <si>
    <t>CA32</t>
  </si>
  <si>
    <t>Convenio de transferencia de recursos para un programa integral de riego en Región del Maule 2015-2018. 
Programa de capacitación para fortalecer la gestión de Comunidades de Aguas en la región del Maule.</t>
  </si>
  <si>
    <t>CA-29</t>
  </si>
  <si>
    <t>Programa de Fortalecimiento y Modernización de OUA, Cuenca río Maule</t>
  </si>
  <si>
    <t>Programa de Fortalecimiento y Modernización de OUA, Cuenca río Loncomilla</t>
  </si>
  <si>
    <t>SL-11</t>
  </si>
  <si>
    <t>Programas de Regularización y Saneamiento de derechos de Aprovechamiento de Aguas</t>
  </si>
  <si>
    <t>CA33</t>
  </si>
  <si>
    <t>Programa de Saneamiento de DAA, Cuenca río Mataquito</t>
  </si>
  <si>
    <t>PG-MAT-01</t>
  </si>
  <si>
    <t>CA34</t>
  </si>
  <si>
    <t>Saneamiento Títulos de Dominio Tranques Comunitarios</t>
  </si>
  <si>
    <t>PG-M-10</t>
  </si>
  <si>
    <t>CA35</t>
  </si>
  <si>
    <t>Saneamiento y Regularización de los DAA de los Pequeños Agricultores, Cuenca del Río Maule</t>
  </si>
  <si>
    <t>PG-M-19</t>
  </si>
  <si>
    <t>CA36</t>
  </si>
  <si>
    <t>Convenio de transferencia de recursos para un programa integral de riego en Región del Maule 2015-2018. 
Programa de saneamiento de DAA en los territorios de influencia del embalse Ancoa, Digua y Teno, para usuarios/as.</t>
  </si>
  <si>
    <t>CA-30</t>
  </si>
  <si>
    <t>Eficiencia en los usos del agua</t>
  </si>
  <si>
    <t>Objetivo 04. “Mejorar la cobertura, infraestructura y gestión de los sistemas de agua potable rural y de saneamiento rural”.</t>
  </si>
  <si>
    <t>SL-12</t>
  </si>
  <si>
    <t>CA37</t>
  </si>
  <si>
    <t>CA16, 17, 18, 19, 20, 21 y 22</t>
  </si>
  <si>
    <t>SL-13</t>
  </si>
  <si>
    <t>SL-14</t>
  </si>
  <si>
    <t>SL-15</t>
  </si>
  <si>
    <t>SL-16</t>
  </si>
  <si>
    <t>SL-18</t>
  </si>
  <si>
    <t xml:space="preserve">Implementación de nuevos  Sistemas de saneamiento rural </t>
  </si>
  <si>
    <t>CA38</t>
  </si>
  <si>
    <t>Ley</t>
  </si>
  <si>
    <t>SL-19</t>
  </si>
  <si>
    <t xml:space="preserve">Capacitación y Transferencia Tecnológica en Operación y Mantención de Plantas de Tratamiento de Aguas Servidas. </t>
  </si>
  <si>
    <t>PG-M-27</t>
  </si>
  <si>
    <t>Programa de  Capacitación de  dirigentes y usuarios de Sistemas de Saneamiento Rural, Cuencas del Río Mataquito, Loncomilla y Perquilauquén</t>
  </si>
  <si>
    <t>CA40</t>
  </si>
  <si>
    <t>CA41</t>
  </si>
  <si>
    <t>Diseño y Construcción Bocatoma Unificada de dos Canales del Estero Vaquería, Sector Putú, Constitución.</t>
  </si>
  <si>
    <t>PG-M-08</t>
  </si>
  <si>
    <t>CA42</t>
  </si>
  <si>
    <t>Diagnóstico del Estado Actual de los Canales Derivados y Subderivados, Cuenca del Río Maule</t>
  </si>
  <si>
    <t>PG-M-11</t>
  </si>
  <si>
    <t>CA43</t>
  </si>
  <si>
    <t>Estudio Factibilidad y Diseño de Unificación de Bocatomas de Cuatro Canales del Río Lontué, Comuna de Molina.</t>
  </si>
  <si>
    <t>PG-M-28</t>
  </si>
  <si>
    <t>CA44</t>
  </si>
  <si>
    <t xml:space="preserve">Estudio de  Prefactibilidad Mejoramiento de las Obras de Captación y Conducción de las Aguas de los Ríos Achibueno,  Putagán y Ancoa, Región del Maule </t>
  </si>
  <si>
    <t>PG-LO-02</t>
  </si>
  <si>
    <t>CA45</t>
  </si>
  <si>
    <t>Estudio Básico Identificación de Lugares para Micro-Tranques en la Cuenca del Río Longaví</t>
  </si>
  <si>
    <t>PG-LO-05</t>
  </si>
  <si>
    <t>CA46</t>
  </si>
  <si>
    <t xml:space="preserve">Proyecto Mejoramiento de las Obras de Captación de Aguas del Río Perquilauquén, Región del Maule </t>
  </si>
  <si>
    <t>PG-LO-08</t>
  </si>
  <si>
    <t>Concurso regional de proyectos de riego para tecnificación de compuertas de riego mediante telemetría y automatización</t>
  </si>
  <si>
    <t>CA47</t>
  </si>
  <si>
    <t>Estudio de prefactibilidad de Elevación Mecánica de Canal Peralillo Barandica con ERNC</t>
  </si>
  <si>
    <t>PG-MAT-07</t>
  </si>
  <si>
    <t>CA48</t>
  </si>
  <si>
    <t>CA49</t>
  </si>
  <si>
    <t>Costrucción de Obras de Conducción y Distribución de Aguas, Cuenca del Río Maule</t>
  </si>
  <si>
    <t>PG-M-12</t>
  </si>
  <si>
    <t>SL-23</t>
  </si>
  <si>
    <t>Diseño de un Plan de Aumento en la Eficiencia en el Uso del recurso hídrico</t>
  </si>
  <si>
    <t>SL-24</t>
  </si>
  <si>
    <t>Capacitación y Transferencia Tecnológica en Riego y especialmente riego Tecnificado para Pequeños Agricultores</t>
  </si>
  <si>
    <t>CA50</t>
  </si>
  <si>
    <t>Programa sobre el uso sustentable del recurso hídrico que involucre buenas prácticas de riego, mitigación el impacto negativo de la contaminación de los canales de agua, integrando por territorio y/o comuna a comunidades de regantes, municipios, juntas de vecinos y escuelas.</t>
  </si>
  <si>
    <t>PG-MAT-02</t>
  </si>
  <si>
    <t>CA51</t>
  </si>
  <si>
    <t>Programa de capacitación en la utilización de infraestructura de riego intrapredial y transferencia tecnológica para sistemas de riego y cultivo, que a través de cursos prácticos en terreno que enseñen la utilización y aplicación eficiente de métodos de riego.</t>
  </si>
  <si>
    <t>PG-MAT-05</t>
  </si>
  <si>
    <t>CA52</t>
  </si>
  <si>
    <t>Programa de Transferencia Tecnológica: Capacitación en la articulación de ERNC con obras de riego (asociación con generadoras eléctricas de paso), instrucción para organizaciones de usuarios de aguas, deberes y derechos de los socios.</t>
  </si>
  <si>
    <t>PG-MAT-06</t>
  </si>
  <si>
    <t>CA53</t>
  </si>
  <si>
    <t>Capacitación y Transferencia Tecnológica en Riego Tecnificado para Pequeños Agricultores</t>
  </si>
  <si>
    <t>PG-M-06</t>
  </si>
  <si>
    <t>CA54</t>
  </si>
  <si>
    <t>Capacitación y Transferencia Tecnológica en Energías Renovables no Convencionales (ERNC) para Pequeños Agricultores.</t>
  </si>
  <si>
    <t>PG-M-09</t>
  </si>
  <si>
    <t>CA55</t>
  </si>
  <si>
    <t>CA-02. INDAP</t>
  </si>
  <si>
    <t>CA56</t>
  </si>
  <si>
    <t>Construcción de Obras de Riego Tecnificado para Pequeños Agricultores, Cuencas del Río Mataquito, Loncomilla y Perquilauquén</t>
  </si>
  <si>
    <t>CA57</t>
  </si>
  <si>
    <t>Construcción de Proyectos de Riego con Usos de Energías Renovables no Convencionales, Cuenca del Río Maule</t>
  </si>
  <si>
    <t>PG-M-17</t>
  </si>
  <si>
    <t>Construcción de Proyectos de Riego con Usos de Energías Renovables no Convencionales, Cuenca río Mataquito, Loncomilla y Perquilauquén</t>
  </si>
  <si>
    <t>CA58</t>
  </si>
  <si>
    <t>Programa de implementación de medidas de mitigación de la contaminación difusa de origen agrícola y ganadero en cursos de aguas naturales y artificiales, utilizados para
riego, mediante biofiltros.</t>
  </si>
  <si>
    <t>PG-MAT-03</t>
  </si>
  <si>
    <t>CA59</t>
  </si>
  <si>
    <t>Diagnóstico y Análisis de la Calidad del Agua de Canales, Campaña de Difusión y Estudio de Medidas de Mitigación Contaminación Difusa, Mediante Uso de Biofiltros.</t>
  </si>
  <si>
    <t>PG-M-01</t>
  </si>
  <si>
    <t>Programa de Fortalecimiento Multidimensional para Usuarios y Organizaciones de Usuarios de Aguas en las Cuencas de los Ríos Achibueno, Putagán y Ancoa.</t>
  </si>
  <si>
    <t>PG-LO-03</t>
  </si>
  <si>
    <t>Programa de Fortalecimiento Multidimensional para Usuarios y Organizaciones de Usuarios de Aguas Cuenca del Río Longaví</t>
  </si>
  <si>
    <t>PG-LO-04</t>
  </si>
  <si>
    <t>Programa de Fortalecimiento Multidimensional Organizaciones de Usuarios de Aguas Cuenca del Río Perquilauquén</t>
  </si>
  <si>
    <t>PG-LO-09</t>
  </si>
  <si>
    <t>SL-28</t>
  </si>
  <si>
    <t>Plan de Acción para le control de descargas de contaminantes en canales de riego, Cuenca del Río Mataquito</t>
  </si>
  <si>
    <t>Plan de Acción para le control de descargas de contaminantes en canales de riego, Cuenca del RíoMaule</t>
  </si>
  <si>
    <t>Plan de Acción para le control de descargas de contaminantes en canales de riego, Cuenca del Río Loncomilla</t>
  </si>
  <si>
    <t>Plan de Acción para le control de descargas de contaminantes en canales de riego, Cuenca del Río Perquilauquén</t>
  </si>
  <si>
    <t>Objetivo 06. "Mejorar la coordinación entre los distintos usos del agua y los usos industriales y energéticos".</t>
  </si>
  <si>
    <t>SL-29</t>
  </si>
  <si>
    <t>SL-30</t>
  </si>
  <si>
    <t>SL-31</t>
  </si>
  <si>
    <t>SL-32</t>
  </si>
  <si>
    <t>IN54</t>
  </si>
  <si>
    <t>Protección de la calidad de las aguas y los ecosistemas de la región</t>
  </si>
  <si>
    <t>Objetivo 08. “Mejorar la calidad de las aguas en sus fuentes naturales”.</t>
  </si>
  <si>
    <t>SL-33</t>
  </si>
  <si>
    <t>IN55</t>
  </si>
  <si>
    <t>SL-34</t>
  </si>
  <si>
    <t>IN56</t>
  </si>
  <si>
    <t>Norma Secundaria Calidad de Aguas río Maule</t>
  </si>
  <si>
    <t>SL-35</t>
  </si>
  <si>
    <t>IN57</t>
  </si>
  <si>
    <t>Campaña de educación ambiental para promover el control de la contaminación</t>
  </si>
  <si>
    <t>SL-36</t>
  </si>
  <si>
    <t>IN58</t>
  </si>
  <si>
    <t>SL-37</t>
  </si>
  <si>
    <t>IN59</t>
  </si>
  <si>
    <t>SL-38</t>
  </si>
  <si>
    <t xml:space="preserve">Promoción y Desarrollo de Acuerdos Voluntarios de Cuenca </t>
  </si>
  <si>
    <t>IN60</t>
  </si>
  <si>
    <t>Acuerdo Voluntario de Cuenca embalse Colbún</t>
  </si>
  <si>
    <t>SL-39</t>
  </si>
  <si>
    <t>IN61</t>
  </si>
  <si>
    <t>Adaptación ante eventos Extremos y Cambio Climático</t>
  </si>
  <si>
    <t>SL-40</t>
  </si>
  <si>
    <t>IN62</t>
  </si>
  <si>
    <t>SL-41</t>
  </si>
  <si>
    <t>IN63</t>
  </si>
  <si>
    <t>SL-42</t>
  </si>
  <si>
    <t>IN64</t>
  </si>
  <si>
    <t>SL-43</t>
  </si>
  <si>
    <t>IN65</t>
  </si>
  <si>
    <t>Gobernanza para una gestión integrada de recursos hídricos</t>
  </si>
  <si>
    <t>OBJETIVO 12. “Implementar una gestión integrada de los recursos hídricos en la región"</t>
  </si>
  <si>
    <t>IN66</t>
  </si>
  <si>
    <t>Definición de un modelo de Gobernanza para la cuenca del Río Mataquito</t>
  </si>
  <si>
    <t>IN67</t>
  </si>
  <si>
    <t>Definición de un modelo de Gobernanza para la cuenca del Río Maule</t>
  </si>
  <si>
    <t>IN68</t>
  </si>
  <si>
    <t>Definición de un modelo de Gobernanza para la cuenca del Río Loncomilla</t>
  </si>
  <si>
    <t>IN69</t>
  </si>
  <si>
    <t>Definición de un modelo de Gobernanza para la cuenca del Río Perquilauquén</t>
  </si>
  <si>
    <t>IN70</t>
  </si>
  <si>
    <t>Programa de acompañamiento para la definición de objetivos para la Gestión Integrada dde Recursos Hídricos</t>
  </si>
  <si>
    <t>IN71</t>
  </si>
  <si>
    <t>Programa de Seguimiento a los Instrumentos de Planificación</t>
  </si>
  <si>
    <t xml:space="preserve">Fortalecimiento de la Institucionalidad </t>
  </si>
  <si>
    <t>OBJETIVO 13. "Potenciar la labor de la DGA regional y favorecer el acercamiento a los usuarios del agua"</t>
  </si>
  <si>
    <t>SL-I-01</t>
  </si>
  <si>
    <t>IN72</t>
  </si>
  <si>
    <t>SL-I-02</t>
  </si>
  <si>
    <t>IN73</t>
  </si>
  <si>
    <t>SL-I-03</t>
  </si>
  <si>
    <t>IN74</t>
  </si>
  <si>
    <t>SL-I-04</t>
  </si>
  <si>
    <t>IN75</t>
  </si>
  <si>
    <t>SL-I-05</t>
  </si>
  <si>
    <t xml:space="preserve">Instalación de nuevas estaciones  para la red hidrométrica de la  DGA. </t>
  </si>
  <si>
    <t>IN76</t>
  </si>
  <si>
    <t>SL-I-06</t>
  </si>
  <si>
    <t>IN77</t>
  </si>
  <si>
    <t>SL-I-07</t>
  </si>
  <si>
    <t>SL-I-08</t>
  </si>
  <si>
    <t>SL-I-09</t>
  </si>
  <si>
    <t>SL-I-10</t>
  </si>
  <si>
    <t>Implementación de un Plan de Acción Interinstitucional  para mejorar la situación legal los DAA</t>
  </si>
  <si>
    <t>SL-I-11</t>
  </si>
  <si>
    <t xml:space="preserve">Simplificación de los procesos para regularización de derechos </t>
  </si>
  <si>
    <t>SL-I-12</t>
  </si>
  <si>
    <t>SL-I-13</t>
  </si>
  <si>
    <t>SL-I-14</t>
  </si>
  <si>
    <t xml:space="preserve">Aumento de la capacidad de fiscalización mediante incremento del personal de la unidad </t>
  </si>
  <si>
    <t>OBJETIVO 14. "Definir una hoja de ruta entre servicios públicos y actores privados para avanzar hacia una gestión integrada de recursos hídricos".</t>
  </si>
  <si>
    <t>SL-I-15</t>
  </si>
  <si>
    <t>SL-I-16</t>
  </si>
  <si>
    <t>Definición de una hoja de ruta para definir una gobernanza para los recursos hídricos en la región</t>
  </si>
  <si>
    <t>Transferencia para la Formación y Funcionamiento de una Mesa de Agua</t>
  </si>
  <si>
    <t>PG-M-20</t>
  </si>
  <si>
    <t>SECTOR</t>
  </si>
  <si>
    <t>TIPOLOGÍA</t>
  </si>
  <si>
    <t>PROGRAMA</t>
  </si>
  <si>
    <t xml:space="preserve">Silvoagropecuario, Energía, Medioambiente </t>
  </si>
  <si>
    <t>PMRH Río Mataquito</t>
  </si>
  <si>
    <t>PMRH Cuencas Costeras</t>
  </si>
  <si>
    <t xml:space="preserve">PMRH Río Perquilauquén </t>
  </si>
  <si>
    <t xml:space="preserve">PMRH Río Loncomilla </t>
  </si>
  <si>
    <t>PMRH Río Maule</t>
  </si>
  <si>
    <t>CAT</t>
  </si>
  <si>
    <t>PROYECTO</t>
  </si>
  <si>
    <t>Silvoagropecuario</t>
  </si>
  <si>
    <t>PERIODOS EV</t>
  </si>
  <si>
    <t>ORDEN</t>
  </si>
  <si>
    <t>Elaboración Plan de Desarrollo Mataquito</t>
  </si>
  <si>
    <t>Elaboración Plan de Desarrollo Maule</t>
  </si>
  <si>
    <t>Elaboración Plan de Desarrollo Loncomilla</t>
  </si>
  <si>
    <t>Elaboración Plan de Desarrollo Perquilauquén</t>
  </si>
  <si>
    <t>Elaboración Plan de Desarrollo Cuencas Costeras</t>
  </si>
  <si>
    <t>Embalse</t>
  </si>
  <si>
    <t>Capacidad 1,1 hm3</t>
  </si>
  <si>
    <t>Capacidad 1,0 hm3</t>
  </si>
  <si>
    <t>BENEFICIO HA/AÑO</t>
  </si>
  <si>
    <t>Capacidad 2,7 hm3</t>
  </si>
  <si>
    <t>Capacidad 160 hm3</t>
  </si>
  <si>
    <t>Capacidad 64 hm3</t>
  </si>
  <si>
    <t>capacidad 0,5 hm3</t>
  </si>
  <si>
    <t>Capacidad 67 hm3</t>
  </si>
  <si>
    <t>Capacidad 89 hm3</t>
  </si>
  <si>
    <t>Capacidad 100 hm3</t>
  </si>
  <si>
    <t>Capacidad 200 hm3</t>
  </si>
  <si>
    <t>Capacidad 250 hm3</t>
  </si>
  <si>
    <t>Capacidad 19 hm3</t>
  </si>
  <si>
    <t>Capacidad 42 hm3</t>
  </si>
  <si>
    <t>REND HA RIEGO</t>
  </si>
  <si>
    <t>Diagnóstico de Microtranques en el Secano Costero de la VII Región</t>
  </si>
  <si>
    <t>ESTUDIO BÁSICO</t>
  </si>
  <si>
    <t>Proyectos</t>
  </si>
  <si>
    <t>tranque 30.000 m3</t>
  </si>
  <si>
    <t>TASA</t>
  </si>
  <si>
    <t>RETORNO HAAÑO</t>
  </si>
  <si>
    <t>PERIODO EV</t>
  </si>
  <si>
    <t>hh</t>
  </si>
  <si>
    <t>Propuesta  de Medidas</t>
  </si>
  <si>
    <t>Formulación Plan</t>
  </si>
  <si>
    <t>Agua Potable y Alcantarillado</t>
  </si>
  <si>
    <t>Energía</t>
  </si>
  <si>
    <t>Comercio, finanzas y turismo</t>
  </si>
  <si>
    <t>Multisectorial - Medioambiente</t>
  </si>
  <si>
    <t>Multisectorial - Defensas fluviales, marítimas y cauces artificiales</t>
  </si>
  <si>
    <t>INICIATIVAS (Millones de $)</t>
  </si>
  <si>
    <t>CATASTRADAS</t>
  </si>
  <si>
    <t>PROPUESTAS</t>
  </si>
  <si>
    <t>TOTAL POR ORIGEN</t>
  </si>
  <si>
    <t>% POR ORIGEN</t>
  </si>
  <si>
    <t>Institucional</t>
  </si>
  <si>
    <t>(la planificació nes para 10 años)</t>
  </si>
  <si>
    <t>Cuenca Río Loncomilla. Embalse Los Laureles</t>
  </si>
  <si>
    <t>Infraestructura para recarga de acuíferos en Cuencas Teno y Lontué, sector restringido Teno-Lontué</t>
  </si>
  <si>
    <t>Construcción de Obras Civiles para la Acumulación de Aguas Lluvias y de vertientes para Riego y Consumo humano. Cuencas Costeras</t>
  </si>
  <si>
    <t>Construcción de Obras Civiles para la Acumulación de Aguas Lluvias y de vertientes para Riego y Consumo humano. Secano interior Perquilauquén.</t>
  </si>
  <si>
    <t>CA39</t>
  </si>
  <si>
    <t>Zanjas de infiltración</t>
  </si>
  <si>
    <t>zanja</t>
  </si>
  <si>
    <t>Pozos en zonas no saturadas</t>
  </si>
  <si>
    <t>Pozos en zonas saturadas</t>
  </si>
  <si>
    <t>EVALUACIÓN (AÑOS)</t>
  </si>
  <si>
    <t>Retorno $/ha/año</t>
  </si>
  <si>
    <t>SL05</t>
  </si>
  <si>
    <t>30 AÑOS</t>
  </si>
  <si>
    <t>OBJ 02. Aumentar calidad, cantidad y accesibilidad de información de recursos hídricos</t>
  </si>
  <si>
    <t>Diagnóstico y Análisis integral sobre Acuiferos e investigación de los recursos hidricos de las zonas saturadas y no saturadas y no saturadas en el secano (Cuenca río maule)</t>
  </si>
  <si>
    <t>NO Estructural</t>
  </si>
  <si>
    <r>
      <t>2.</t>
    </r>
    <r>
      <rPr>
        <sz val="8"/>
        <color theme="1"/>
        <rFont val="Times New Roman"/>
        <family val="1"/>
      </rPr>
      <t> </t>
    </r>
    <r>
      <rPr>
        <sz val="8"/>
        <color theme="1"/>
        <rFont val="Verdana"/>
        <family val="2"/>
      </rPr>
      <t>Modelo hidrológico</t>
    </r>
  </si>
  <si>
    <r>
      <t>3.</t>
    </r>
    <r>
      <rPr>
        <sz val="8"/>
        <color theme="1"/>
        <rFont val="Times New Roman"/>
        <family val="1"/>
      </rPr>
      <t> </t>
    </r>
    <r>
      <rPr>
        <sz val="8"/>
        <color theme="1"/>
        <rFont val="Verdana"/>
        <family val="2"/>
      </rPr>
      <t xml:space="preserve">Evaluación de escenarios </t>
    </r>
  </si>
  <si>
    <r>
      <t>1.</t>
    </r>
    <r>
      <rPr>
        <sz val="8"/>
        <color theme="1"/>
        <rFont val="Times New Roman"/>
        <family val="1"/>
      </rPr>
      <t> </t>
    </r>
    <r>
      <rPr>
        <sz val="8"/>
        <color theme="1"/>
        <rFont val="Verdana"/>
        <family val="2"/>
      </rPr>
      <t>Diagnóstico</t>
    </r>
  </si>
  <si>
    <t>Inventario glacial</t>
  </si>
  <si>
    <t>Estimación aporte hídrico</t>
  </si>
  <si>
    <t>Estudios hidrológicos e hidrogeológicos. Cuenca del Río Mataquito (UPH 2 y 3)</t>
  </si>
  <si>
    <t>Estudios hidrológicos e hidrogeológicos. Subcuenca del río Maule</t>
  </si>
  <si>
    <t>Estudios hidrológicos e hidrogeológicos. Cuenca del Río Loncomilla (UPH 8)</t>
  </si>
  <si>
    <t>Estudios hidrológicos e hidrogeológicos. Cuenca del Río Perquilauquén (UPH7)</t>
  </si>
  <si>
    <t>AÑOS</t>
  </si>
  <si>
    <r>
      <t>1.</t>
    </r>
    <r>
      <rPr>
        <sz val="8"/>
        <color theme="1"/>
        <rFont val="Times New Roman"/>
        <family val="1"/>
      </rPr>
      <t> </t>
    </r>
    <r>
      <rPr>
        <sz val="8"/>
        <color theme="1"/>
        <rFont val="Verdana"/>
        <family val="2"/>
      </rPr>
      <t>Diagnóstico de fuentes de información</t>
    </r>
  </si>
  <si>
    <r>
      <t>2.</t>
    </r>
    <r>
      <rPr>
        <sz val="8"/>
        <color theme="1"/>
        <rFont val="Times New Roman"/>
        <family val="1"/>
      </rPr>
      <t xml:space="preserve">    </t>
    </r>
    <r>
      <rPr>
        <sz val="8"/>
        <color theme="1"/>
        <rFont val="Verdana"/>
        <family val="2"/>
      </rPr>
      <t xml:space="preserve">Modelo de datos </t>
    </r>
  </si>
  <si>
    <r>
      <t>3.</t>
    </r>
    <r>
      <rPr>
        <sz val="8"/>
        <color theme="1"/>
        <rFont val="Times New Roman"/>
        <family val="1"/>
      </rPr>
      <t xml:space="preserve">    </t>
    </r>
    <r>
      <rPr>
        <sz val="8"/>
        <color theme="1"/>
        <rFont val="Verdana"/>
        <family val="2"/>
      </rPr>
      <t xml:space="preserve">Importación de datos </t>
    </r>
  </si>
  <si>
    <r>
      <t>4.</t>
    </r>
    <r>
      <rPr>
        <sz val="8"/>
        <color theme="1"/>
        <rFont val="Times New Roman"/>
        <family val="1"/>
      </rPr>
      <t xml:space="preserve">    </t>
    </r>
    <r>
      <rPr>
        <sz val="8"/>
        <color theme="1"/>
        <rFont val="Verdana"/>
        <family val="2"/>
      </rPr>
      <t xml:space="preserve">Análisis de información </t>
    </r>
  </si>
  <si>
    <r>
      <t>6.</t>
    </r>
    <r>
      <rPr>
        <sz val="8"/>
        <color theme="1"/>
        <rFont val="Times New Roman"/>
        <family val="1"/>
      </rPr>
      <t>   I</t>
    </r>
    <r>
      <rPr>
        <sz val="8"/>
        <color theme="1"/>
        <rFont val="Verdana"/>
        <family val="2"/>
      </rPr>
      <t xml:space="preserve">nterfaz gráfica (mapa) </t>
    </r>
  </si>
  <si>
    <r>
      <t>5.</t>
    </r>
    <r>
      <rPr>
        <sz val="8"/>
        <color theme="1"/>
        <rFont val="Times New Roman"/>
        <family val="1"/>
      </rPr>
      <t xml:space="preserve">    </t>
    </r>
    <r>
      <rPr>
        <sz val="8"/>
        <color theme="1"/>
        <rFont val="Verdana"/>
        <family val="2"/>
      </rPr>
      <t xml:space="preserve">Interfaz estadística </t>
    </r>
  </si>
  <si>
    <t>CNR / INDAP</t>
  </si>
  <si>
    <t>CNR</t>
  </si>
  <si>
    <t>DOH</t>
  </si>
  <si>
    <t>Partida</t>
  </si>
  <si>
    <t>Jefe de Proyecto</t>
  </si>
  <si>
    <t>Especialista(s) Hidráulico(s)</t>
  </si>
  <si>
    <t>Especialista ambiental</t>
  </si>
  <si>
    <t>Especialista Legal</t>
  </si>
  <si>
    <t>Especialista PAC</t>
  </si>
  <si>
    <t>Costos Operacionales</t>
  </si>
  <si>
    <t xml:space="preserve">Mejoramiento y ampliación de Sistemas de Agua Potable Rural </t>
  </si>
  <si>
    <t>Estudio Mejoramiento y ampliación de Sistemas de Agua Potable Rural debido a variaciones estacionales de demanda</t>
  </si>
  <si>
    <t>Alternativas</t>
  </si>
  <si>
    <t>Tramitación</t>
  </si>
  <si>
    <t>Certificados</t>
  </si>
  <si>
    <t>APR</t>
  </si>
  <si>
    <t>Diseño e implementación de sistemas centralizados de adminsitración de información de APR</t>
  </si>
  <si>
    <t>Diseño e implementación de sistema de control en línea de niveles de acuíferos y control de extracciones en los APR con captación subterránea</t>
  </si>
  <si>
    <t>Diseño e implementación de sistemas centralizados de administración de información de APR</t>
  </si>
  <si>
    <t>Sensores caudal</t>
  </si>
  <si>
    <t>Sensores nivel pozos</t>
  </si>
  <si>
    <t>Implementación</t>
  </si>
  <si>
    <t>Sistema Saneamiento Rural</t>
  </si>
  <si>
    <t>ud</t>
  </si>
  <si>
    <t>Curso</t>
  </si>
  <si>
    <t>Catastrada</t>
  </si>
  <si>
    <t>Concurso Ley de Riego</t>
  </si>
  <si>
    <t>proyecto</t>
  </si>
  <si>
    <t>GL</t>
  </si>
  <si>
    <t>CATASTRADA</t>
  </si>
  <si>
    <t>Proyectos de Mejoramiento de Obras de Captación, conducción y distribución. (LEY 18.450, CNR)</t>
  </si>
  <si>
    <t>Construcción de Obras de Conducción y Distribución de Aguas, Cuenca del Río Maule</t>
  </si>
  <si>
    <t>SL-20</t>
  </si>
  <si>
    <t>Plan de Aumento Eficiencia del uso del agua en el sector agropecuario, Cuenca de Mataquito</t>
  </si>
  <si>
    <t>Plan de Aumento Eficiencia del uso del agua en el sector agropecuario, Cuenca de Maule</t>
  </si>
  <si>
    <t>Plan de Aumento Eficiencia del uso del agua en el sector agropecuario, Cuenca de Loncomilla</t>
  </si>
  <si>
    <t>Plan de Aumento Eficiencia del uso del agua en el sector agropecuario, Cuenca de Perquilauquén</t>
  </si>
  <si>
    <t>Plan de Aumento de la Eficiencia del uso del agua en el sector agropecuario, Cuenca Río Loncomilla</t>
  </si>
  <si>
    <t>Plan de Aumento de la Eficiencia del uso del agua en el sector agropecuario, Cuenca Río Perquilauquén</t>
  </si>
  <si>
    <t>Plan de Aumento de la Eficiencia del uso del agua en el sector agropecuario, Cuenca Río Mataquito</t>
  </si>
  <si>
    <t>Plan de Aumento de la Eficiencia del uso del agua en el sector agropecuario, Cuenca Río Maule</t>
  </si>
  <si>
    <t>Especialista Infraestructura</t>
  </si>
  <si>
    <t>Especialista Riego</t>
  </si>
  <si>
    <t>Costos operacionales</t>
  </si>
  <si>
    <t>Profesional de Terreno</t>
  </si>
  <si>
    <t>INDAP</t>
  </si>
  <si>
    <t>SL-21</t>
  </si>
  <si>
    <t>SL-22</t>
  </si>
  <si>
    <t>Proyectos de Riego</t>
  </si>
  <si>
    <t>Proyecto</t>
  </si>
  <si>
    <t>Catastradas</t>
  </si>
  <si>
    <t>SL-25</t>
  </si>
  <si>
    <t>SL-26</t>
  </si>
  <si>
    <t>Construcción Obras Civiles para la Acumulación de Aguas Lluvias y de Vertientes para Riego y Consumo Humano. (Maule)</t>
  </si>
  <si>
    <t>Construcción de Obras Civiles de Acumulación de Aguas extrapredial e intrapredial, cuenca del Río Maule</t>
  </si>
  <si>
    <t>SL06</t>
  </si>
  <si>
    <t>IN29</t>
  </si>
  <si>
    <t>IN51</t>
  </si>
  <si>
    <t>IN52</t>
  </si>
  <si>
    <t>IN53</t>
  </si>
  <si>
    <t>Geofísica</t>
  </si>
  <si>
    <t>Aforos</t>
  </si>
  <si>
    <t>ENERGÍA</t>
  </si>
  <si>
    <t>CONAF</t>
  </si>
  <si>
    <t>SISS</t>
  </si>
  <si>
    <t>MMA</t>
  </si>
  <si>
    <t>SL04</t>
  </si>
  <si>
    <t>Ingeniero Ambiental</t>
  </si>
  <si>
    <t>Análisis Calidad de Aguas</t>
  </si>
  <si>
    <t>Profesional PAC</t>
  </si>
  <si>
    <t>Costos mensuales</t>
  </si>
  <si>
    <t>GG y U</t>
  </si>
  <si>
    <t>SL-27</t>
  </si>
  <si>
    <t>SL41</t>
  </si>
  <si>
    <t>SL42</t>
  </si>
  <si>
    <t>Gestión del conocimiento</t>
  </si>
  <si>
    <t>Costos difusión</t>
  </si>
  <si>
    <t>ASYCC</t>
  </si>
  <si>
    <t>GORE</t>
  </si>
  <si>
    <t>SECTORIAL AGRICULTURA / FNDR</t>
  </si>
  <si>
    <t>SECTORIAL INTERIOR / FNDR</t>
  </si>
  <si>
    <t>FUENTE</t>
  </si>
  <si>
    <t>SUBSECRETARÍA DE TURISMO</t>
  </si>
  <si>
    <t>SECTORIAL ENERGÍA / FNDR</t>
  </si>
  <si>
    <t>SECTORIAL MEDIOAMBIENTE / FNDR</t>
  </si>
  <si>
    <t>SECTORIAL MOP / FNDR</t>
  </si>
  <si>
    <t>Recurso Hídrico</t>
  </si>
  <si>
    <t>Recursos Naturales y Medio Ambiente</t>
  </si>
  <si>
    <t>Diseño e Implementación Plan de Adaptación a la Sequía Regional</t>
  </si>
  <si>
    <t>Objetivo 01: "Realizar un manejo de los recursos hídricos de la región en el corto, mediano y largo plazo, propendiendo al equilibrio entre el consumo humano, ecosistemas y usos productivos; al aumento de la seguridad del acceso al agua para los usos actuales; y a ampliar la disponibilidad cuando sea posible".</t>
  </si>
  <si>
    <t>Usos del agua</t>
  </si>
  <si>
    <t xml:space="preserve">Calidad del agua y Medio Ambiente </t>
  </si>
  <si>
    <t>Eventos Extremos y Cambio Climático</t>
  </si>
  <si>
    <t>Gestión integrada de recursos hídricos</t>
  </si>
  <si>
    <t>Plan Director Región del Maule</t>
  </si>
  <si>
    <t>AÑOS DE EVALUACIÓN</t>
  </si>
  <si>
    <t>N/A</t>
  </si>
  <si>
    <t>Fuente</t>
  </si>
  <si>
    <t>Revisión bibliográfica</t>
  </si>
  <si>
    <t>Iniciativa</t>
  </si>
  <si>
    <t>Varias</t>
  </si>
  <si>
    <t>Estimado a partir de Revisión bibliográfica</t>
  </si>
  <si>
    <t>VARIAS</t>
  </si>
  <si>
    <t>Estimado a partir de CA22</t>
  </si>
  <si>
    <t>CA 26</t>
  </si>
  <si>
    <t>CA 27</t>
  </si>
  <si>
    <t>CA 28</t>
  </si>
  <si>
    <t>CA 29</t>
  </si>
  <si>
    <t>Valor Estimado</t>
  </si>
  <si>
    <t>Estimada</t>
  </si>
  <si>
    <t>Diseño Programa</t>
  </si>
  <si>
    <t>jornada</t>
  </si>
  <si>
    <t>Jornadas de capacitación</t>
  </si>
  <si>
    <t>L03. Desarrollar nuevos estudios hidrológicos e hidrogeológicos en la región</t>
  </si>
  <si>
    <t>Estimada por el consultor</t>
  </si>
  <si>
    <t>Programa de implementación de medidas de mitigación de la contaminación difusa de origen agrícola y ganadero en cursos de aguas naturales y artificiales, utilizados para riego, mediante biofiltros.</t>
  </si>
  <si>
    <t>Plan de Acción para el control de descargas de contaminantes en canales de riego, Cuenca del RíoMaule</t>
  </si>
  <si>
    <t>Plan de Acción para el control de descargas de contaminantes en canales de riego, Cuenca del Río Loncomilla</t>
  </si>
  <si>
    <t>Plan de Acción para el control de descargas de contaminantes en canales de riego, Cuenca del Río Perquilauquén</t>
  </si>
  <si>
    <t>Plan de Acción para el control de descargas de contaminantes en canales de riego, Cuenca del Río Mataquito</t>
  </si>
  <si>
    <t>Desarrollo</t>
  </si>
  <si>
    <t>Iniciativa sin costo de implementación</t>
  </si>
  <si>
    <t>SECTORIAL ECONOMÍA / FNDR</t>
  </si>
  <si>
    <t>Especialista Turismo</t>
  </si>
  <si>
    <t>Especialista Biota</t>
  </si>
  <si>
    <t>Especialista Medio social</t>
  </si>
  <si>
    <t>gastos generales y utilidades</t>
  </si>
  <si>
    <t>Especialista Forestal</t>
  </si>
  <si>
    <t>Especialista Hidrología</t>
  </si>
  <si>
    <t>Especialista Calidad de Aguas</t>
  </si>
  <si>
    <t>Especialista Biota Acuática</t>
  </si>
  <si>
    <t>Proceso de Elaboración anteproyecto norma</t>
  </si>
  <si>
    <t>Proceso de consulta Elaboración anteproyecto norma</t>
  </si>
  <si>
    <t>Proceso de Elaboración definitivo norma</t>
  </si>
  <si>
    <t>Capacitación en Municipalidades</t>
  </si>
  <si>
    <t>Preparación de contenidos</t>
  </si>
  <si>
    <t>Capacitación en liceos</t>
  </si>
  <si>
    <t>Capacitación en Juntas de Vecinos</t>
  </si>
  <si>
    <t>Material impreso</t>
  </si>
  <si>
    <t>No hay</t>
  </si>
  <si>
    <t>Especialista Eco hidráulica</t>
  </si>
  <si>
    <t>Equipo de apoyo</t>
  </si>
  <si>
    <t>Costos</t>
  </si>
  <si>
    <t>Coordinación</t>
  </si>
  <si>
    <t>no hay</t>
  </si>
  <si>
    <t>Recursos Hídricos</t>
  </si>
  <si>
    <t>Coordinador</t>
  </si>
  <si>
    <t>Especialista Recursos Hídricos</t>
  </si>
  <si>
    <t>Capacitación General</t>
  </si>
  <si>
    <t>Curso 20 horas</t>
  </si>
  <si>
    <t>Capacitación Específica</t>
  </si>
  <si>
    <t>curso</t>
  </si>
  <si>
    <t>Profesionales de Apoyo</t>
  </si>
  <si>
    <t>total</t>
  </si>
  <si>
    <t>NO HAY</t>
  </si>
  <si>
    <t>SL-I-17</t>
  </si>
  <si>
    <t>IN 76</t>
  </si>
  <si>
    <t>No aplica</t>
  </si>
  <si>
    <t>2018-2022</t>
  </si>
  <si>
    <t>Institución Responsable</t>
  </si>
  <si>
    <t xml:space="preserve">INICIATIVA SIN COSTO DE IMPLEMENTACIÓN, YA QUE SÓLO IMPLICA COORDINACIÓN INTERINSTITUCIONAL </t>
  </si>
  <si>
    <t>Capacidad 0,25hm3</t>
  </si>
  <si>
    <t>Capacidad 42,0 hm3</t>
  </si>
  <si>
    <t xml:space="preserve">Norma Secundaria Calidad de Aguas río Maule </t>
  </si>
  <si>
    <t>/ Establecimiento de  Normas Secundarias de Calidad Ambiental</t>
  </si>
  <si>
    <t>OBJ 2</t>
  </si>
  <si>
    <t>OBJ 3</t>
  </si>
  <si>
    <t>OBJ 5 Riego</t>
  </si>
  <si>
    <t>SL-17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</si>
</sst>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\ #,##0.00;[Red]\-&quot;$&quot;\ #,##0.00"/>
    <numFmt numFmtId="165" formatCode="_-* #,##0.00_-;\-* #,##0.00_-;_-* &quot;-&quot;??_-;_-@_-"/>
    <numFmt numFmtId="166" formatCode="_-* #,##0_-;\-* #,##0_-;_-* &quot;-&quot;??_-;_-@_-"/>
    <numFmt numFmtId="167" formatCode="_-* #,##0.0_-;\-* #,##0.0_-;_-* &quot;-&quot;??_-;_-@_-"/>
    <numFmt numFmtId="168" formatCode="0.0%"/>
    <numFmt numFmtId="169" formatCode="_-* #,##0.000_-;\-* #,##0.000_-;_-* &quot;-&quot;??_-;_-@_-"/>
    <numFmt numFmtId="170" formatCode="#,##0.000_ ;\-#,##0.000\ "/>
    <numFmt numFmtId="171" formatCode="_-* #,##0.0000_-;\-* #,##0.0000_-;_-* &quot;-&quot;??_-;_-@_-"/>
    <numFmt numFmtId="172" formatCode="_-* #,##0.00000_-;\-* #,##0.00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Verdana"/>
      <family val="2"/>
    </font>
    <font>
      <sz val="8"/>
      <color theme="1"/>
      <name val="Verdana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166" fontId="2" fillId="0" borderId="1" xfId="1" applyNumberFormat="1" applyFont="1" applyBorder="1"/>
    <xf numFmtId="166" fontId="2" fillId="0" borderId="4" xfId="1" applyNumberFormat="1" applyFont="1" applyBorder="1"/>
    <xf numFmtId="0" fontId="2" fillId="0" borderId="5" xfId="0" applyFont="1" applyBorder="1"/>
    <xf numFmtId="166" fontId="2" fillId="0" borderId="5" xfId="1" applyNumberFormat="1" applyFont="1" applyBorder="1"/>
    <xf numFmtId="0" fontId="2" fillId="0" borderId="2" xfId="0" applyFont="1" applyBorder="1"/>
    <xf numFmtId="0" fontId="2" fillId="0" borderId="3" xfId="0" applyFont="1" applyBorder="1"/>
    <xf numFmtId="166" fontId="2" fillId="0" borderId="3" xfId="1" applyNumberFormat="1" applyFont="1" applyBorder="1"/>
    <xf numFmtId="0" fontId="2" fillId="0" borderId="0" xfId="0" applyFont="1"/>
    <xf numFmtId="0" fontId="2" fillId="0" borderId="7" xfId="0" applyFont="1" applyBorder="1"/>
    <xf numFmtId="0" fontId="2" fillId="0" borderId="1" xfId="0" applyFont="1" applyBorder="1" applyAlignment="1">
      <alignment wrapText="1"/>
    </xf>
    <xf numFmtId="166" fontId="2" fillId="0" borderId="1" xfId="0" applyNumberFormat="1" applyFont="1" applyBorder="1"/>
    <xf numFmtId="0" fontId="4" fillId="0" borderId="6" xfId="0" applyFont="1" applyBorder="1"/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4" fillId="2" borderId="1" xfId="0" applyFont="1" applyFill="1" applyBorder="1" applyAlignment="1"/>
    <xf numFmtId="166" fontId="2" fillId="2" borderId="4" xfId="1" applyNumberFormat="1" applyFont="1" applyFill="1" applyBorder="1"/>
    <xf numFmtId="166" fontId="4" fillId="2" borderId="4" xfId="1" applyNumberFormat="1" applyFont="1" applyFill="1" applyBorder="1"/>
    <xf numFmtId="0" fontId="3" fillId="0" borderId="1" xfId="0" applyFont="1" applyBorder="1"/>
    <xf numFmtId="0" fontId="7" fillId="0" borderId="0" xfId="0" applyFont="1" applyBorder="1" applyAlignment="1"/>
    <xf numFmtId="0" fontId="0" fillId="0" borderId="0" xfId="0" applyBorder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7" fontId="2" fillId="0" borderId="1" xfId="1" applyNumberFormat="1" applyFont="1" applyBorder="1"/>
    <xf numFmtId="167" fontId="2" fillId="0" borderId="5" xfId="1" applyNumberFormat="1" applyFont="1" applyBorder="1"/>
    <xf numFmtId="165" fontId="2" fillId="0" borderId="1" xfId="1" applyNumberFormat="1" applyFont="1" applyBorder="1"/>
    <xf numFmtId="165" fontId="4" fillId="2" borderId="4" xfId="1" applyNumberFormat="1" applyFont="1" applyFill="1" applyBorder="1"/>
    <xf numFmtId="168" fontId="2" fillId="0" borderId="1" xfId="2" applyNumberFormat="1" applyFont="1" applyBorder="1"/>
    <xf numFmtId="165" fontId="2" fillId="0" borderId="1" xfId="0" applyNumberFormat="1" applyFont="1" applyBorder="1"/>
    <xf numFmtId="0" fontId="2" fillId="0" borderId="0" xfId="0" applyFont="1" applyBorder="1"/>
    <xf numFmtId="166" fontId="2" fillId="0" borderId="0" xfId="1" applyNumberFormat="1" applyFont="1" applyBorder="1"/>
    <xf numFmtId="0" fontId="3" fillId="0" borderId="0" xfId="0" applyFont="1" applyBorder="1"/>
    <xf numFmtId="167" fontId="2" fillId="0" borderId="4" xfId="1" applyNumberFormat="1" applyFont="1" applyBorder="1"/>
    <xf numFmtId="167" fontId="4" fillId="2" borderId="4" xfId="1" applyNumberFormat="1" applyFont="1" applyFill="1" applyBorder="1"/>
    <xf numFmtId="168" fontId="2" fillId="0" borderId="0" xfId="2" applyNumberFormat="1" applyFont="1" applyBorder="1"/>
    <xf numFmtId="10" fontId="0" fillId="0" borderId="0" xfId="2" applyNumberFormat="1" applyFo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9" xfId="0" applyFont="1" applyBorder="1" applyAlignment="1"/>
    <xf numFmtId="0" fontId="7" fillId="0" borderId="13" xfId="0" applyFont="1" applyBorder="1" applyAlignment="1"/>
    <xf numFmtId="0" fontId="7" fillId="0" borderId="6" xfId="0" applyFont="1" applyBorder="1" applyAlignment="1"/>
    <xf numFmtId="0" fontId="7" fillId="0" borderId="8" xfId="0" applyFont="1" applyBorder="1" applyAlignment="1"/>
    <xf numFmtId="0" fontId="7" fillId="0" borderId="7" xfId="0" applyFont="1" applyBorder="1" applyAlignment="1"/>
    <xf numFmtId="169" fontId="2" fillId="0" borderId="1" xfId="1" applyNumberFormat="1" applyFont="1" applyBorder="1"/>
    <xf numFmtId="170" fontId="2" fillId="0" borderId="1" xfId="1" applyNumberFormat="1" applyFont="1" applyBorder="1"/>
    <xf numFmtId="169" fontId="2" fillId="0" borderId="1" xfId="0" applyNumberFormat="1" applyFont="1" applyBorder="1"/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6" fillId="0" borderId="0" xfId="0" applyFont="1" applyBorder="1" applyAlignment="1">
      <alignment horizontal="center"/>
    </xf>
    <xf numFmtId="9" fontId="3" fillId="0" borderId="1" xfId="0" applyNumberFormat="1" applyFont="1" applyBorder="1"/>
    <xf numFmtId="0" fontId="4" fillId="0" borderId="0" xfId="0" applyFont="1" applyFill="1" applyBorder="1" applyAlignment="1">
      <alignment horizontal="center" vertical="center"/>
    </xf>
    <xf numFmtId="166" fontId="2" fillId="0" borderId="0" xfId="1" applyNumberFormat="1" applyFont="1" applyFill="1" applyBorder="1"/>
    <xf numFmtId="0" fontId="2" fillId="0" borderId="0" xfId="0" applyFont="1" applyFill="1" applyBorder="1"/>
    <xf numFmtId="166" fontId="2" fillId="0" borderId="0" xfId="0" applyNumberFormat="1" applyFont="1" applyFill="1" applyBorder="1"/>
    <xf numFmtId="0" fontId="0" fillId="0" borderId="0" xfId="0" applyFill="1"/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" xfId="0" applyFont="1" applyFill="1" applyBorder="1"/>
    <xf numFmtId="0" fontId="3" fillId="8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wrapText="1"/>
    </xf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wrapText="1"/>
    </xf>
    <xf numFmtId="0" fontId="10" fillId="10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/>
    <xf numFmtId="166" fontId="3" fillId="0" borderId="0" xfId="1" applyNumberFormat="1" applyFont="1"/>
    <xf numFmtId="166" fontId="7" fillId="0" borderId="0" xfId="1" applyNumberFormat="1" applyFont="1" applyBorder="1" applyAlignment="1">
      <alignment horizontal="left"/>
    </xf>
    <xf numFmtId="166" fontId="7" fillId="3" borderId="1" xfId="1" applyNumberFormat="1" applyFont="1" applyFill="1" applyBorder="1" applyAlignment="1">
      <alignment horizontal="center" vertical="center"/>
    </xf>
    <xf numFmtId="166" fontId="3" fillId="0" borderId="1" xfId="1" applyNumberFormat="1" applyFont="1" applyBorder="1"/>
    <xf numFmtId="166" fontId="3" fillId="0" borderId="1" xfId="0" applyNumberFormat="1" applyFont="1" applyBorder="1"/>
    <xf numFmtId="164" fontId="2" fillId="0" borderId="1" xfId="0" applyNumberFormat="1" applyFont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 vertical="center"/>
    </xf>
    <xf numFmtId="166" fontId="2" fillId="0" borderId="1" xfId="1" applyNumberFormat="1" applyFont="1" applyFill="1" applyBorder="1"/>
    <xf numFmtId="0" fontId="4" fillId="4" borderId="2" xfId="0" applyFont="1" applyFill="1" applyBorder="1" applyAlignment="1"/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8" fontId="3" fillId="0" borderId="1" xfId="0" applyNumberFormat="1" applyFont="1" applyBorder="1"/>
    <xf numFmtId="166" fontId="7" fillId="2" borderId="1" xfId="1" applyNumberFormat="1" applyFont="1" applyFill="1" applyBorder="1" applyAlignment="1">
      <alignment horizontal="center" vertical="center"/>
    </xf>
    <xf numFmtId="168" fontId="3" fillId="0" borderId="1" xfId="2" applyNumberFormat="1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3" fillId="0" borderId="0" xfId="0" applyNumberFormat="1" applyFont="1" applyBorder="1"/>
    <xf numFmtId="166" fontId="3" fillId="0" borderId="0" xfId="1" applyNumberFormat="1" applyFont="1" applyBorder="1"/>
    <xf numFmtId="166" fontId="3" fillId="0" borderId="0" xfId="0" applyNumberFormat="1" applyFont="1"/>
    <xf numFmtId="0" fontId="11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71" fontId="2" fillId="0" borderId="1" xfId="1" applyNumberFormat="1" applyFont="1" applyBorder="1"/>
    <xf numFmtId="0" fontId="7" fillId="0" borderId="0" xfId="0" applyFont="1" applyBorder="1" applyAlignment="1">
      <alignment horizontal="left" wrapText="1"/>
    </xf>
    <xf numFmtId="168" fontId="7" fillId="0" borderId="11" xfId="2" applyNumberFormat="1" applyFont="1" applyBorder="1" applyAlignment="1"/>
    <xf numFmtId="168" fontId="7" fillId="0" borderId="0" xfId="2" applyNumberFormat="1" applyFont="1" applyBorder="1" applyAlignment="1"/>
    <xf numFmtId="168" fontId="7" fillId="0" borderId="8" xfId="2" applyNumberFormat="1" applyFont="1" applyBorder="1" applyAlignment="1"/>
    <xf numFmtId="168" fontId="4" fillId="2" borderId="1" xfId="2" applyNumberFormat="1" applyFont="1" applyFill="1" applyBorder="1" applyAlignment="1">
      <alignment horizontal="center" vertical="center"/>
    </xf>
    <xf numFmtId="168" fontId="0" fillId="0" borderId="0" xfId="2" applyNumberFormat="1" applyFont="1"/>
    <xf numFmtId="10" fontId="2" fillId="0" borderId="1" xfId="2" applyNumberFormat="1" applyFont="1" applyBorder="1"/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wrapText="1"/>
    </xf>
    <xf numFmtId="0" fontId="9" fillId="0" borderId="1" xfId="0" applyFont="1" applyBorder="1" applyAlignment="1">
      <alignment horizontal="justify" vertical="center"/>
    </xf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67" fontId="2" fillId="0" borderId="0" xfId="1" applyNumberFormat="1" applyFont="1" applyFill="1" applyBorder="1"/>
    <xf numFmtId="166" fontId="4" fillId="0" borderId="0" xfId="1" applyNumberFormat="1" applyFont="1" applyFill="1" applyBorder="1"/>
    <xf numFmtId="172" fontId="2" fillId="0" borderId="1" xfId="1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/>
    <xf numFmtId="166" fontId="2" fillId="0" borderId="15" xfId="1" applyNumberFormat="1" applyFont="1" applyBorder="1"/>
    <xf numFmtId="166" fontId="2" fillId="0" borderId="14" xfId="1" applyNumberFormat="1" applyFont="1" applyBorder="1"/>
    <xf numFmtId="0" fontId="8" fillId="6" borderId="1" xfId="0" applyFont="1" applyFill="1" applyBorder="1" applyAlignment="1">
      <alignment horizontal="left" vertical="center" wrapText="1"/>
    </xf>
    <xf numFmtId="166" fontId="9" fillId="6" borderId="1" xfId="1" applyNumberFormat="1" applyFont="1" applyFill="1" applyBorder="1" applyAlignment="1">
      <alignment horizontal="justify" vertical="center" wrapText="1"/>
    </xf>
    <xf numFmtId="0" fontId="2" fillId="7" borderId="1" xfId="0" applyFont="1" applyFill="1" applyBorder="1" applyAlignment="1">
      <alignment horizontal="left" vertical="center" wrapText="1"/>
    </xf>
    <xf numFmtId="3" fontId="14" fillId="0" borderId="0" xfId="0" applyNumberFormat="1" applyFont="1"/>
    <xf numFmtId="166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4" xfId="0" applyFont="1" applyFill="1" applyBorder="1" applyAlignment="1">
      <alignment vertical="center"/>
    </xf>
    <xf numFmtId="0" fontId="2" fillId="14" borderId="1" xfId="0" applyFont="1" applyFill="1" applyBorder="1" applyAlignment="1">
      <alignment horizontal="left" vertical="center" wrapText="1"/>
    </xf>
    <xf numFmtId="0" fontId="3" fillId="0" borderId="1" xfId="0" applyFont="1" applyFill="1" applyBorder="1"/>
    <xf numFmtId="0" fontId="2" fillId="2" borderId="15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171" fontId="2" fillId="0" borderId="5" xfId="1" applyNumberFormat="1" applyFont="1" applyBorder="1"/>
    <xf numFmtId="166" fontId="0" fillId="0" borderId="0" xfId="1" applyNumberFormat="1" applyFont="1"/>
    <xf numFmtId="166" fontId="3" fillId="16" borderId="1" xfId="1" applyNumberFormat="1" applyFont="1" applyFill="1" applyBorder="1"/>
    <xf numFmtId="0" fontId="2" fillId="2" borderId="5" xfId="0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/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4" xfId="0" applyNumberFormat="1" applyBorder="1"/>
    <xf numFmtId="167" fontId="2" fillId="0" borderId="1" xfId="1" applyNumberFormat="1" applyFont="1" applyFill="1" applyBorder="1"/>
    <xf numFmtId="168" fontId="3" fillId="0" borderId="0" xfId="0" applyNumberFormat="1" applyFont="1" applyBorder="1"/>
    <xf numFmtId="164" fontId="3" fillId="0" borderId="0" xfId="0" applyNumberFormat="1" applyFont="1" applyBorder="1"/>
    <xf numFmtId="166" fontId="7" fillId="0" borderId="0" xfId="1" applyNumberFormat="1" applyFont="1" applyBorder="1" applyAlignment="1">
      <alignment horizontal="left" wrapText="1"/>
    </xf>
    <xf numFmtId="166" fontId="3" fillId="0" borderId="0" xfId="0" applyNumberFormat="1" applyFont="1" applyAlignment="1">
      <alignment wrapText="1"/>
    </xf>
    <xf numFmtId="166" fontId="3" fillId="0" borderId="1" xfId="1" applyNumberFormat="1" applyFont="1" applyBorder="1" applyAlignment="1">
      <alignment wrapText="1"/>
    </xf>
    <xf numFmtId="0" fontId="4" fillId="2" borderId="14" xfId="0" applyFont="1" applyFill="1" applyBorder="1" applyAlignment="1">
      <alignment horizontal="center" vertical="center"/>
    </xf>
    <xf numFmtId="0" fontId="4" fillId="2" borderId="6" xfId="0" applyFont="1" applyFill="1" applyBorder="1" applyAlignment="1"/>
    <xf numFmtId="0" fontId="4" fillId="2" borderId="8" xfId="0" applyFont="1" applyFill="1" applyBorder="1" applyAlignment="1"/>
    <xf numFmtId="0" fontId="4" fillId="2" borderId="14" xfId="0" applyFont="1" applyFill="1" applyBorder="1" applyAlignment="1"/>
    <xf numFmtId="0" fontId="4" fillId="2" borderId="0" xfId="0" applyFont="1" applyFill="1" applyBorder="1" applyAlignment="1">
      <alignment horizontal="center"/>
    </xf>
    <xf numFmtId="166" fontId="0" fillId="0" borderId="1" xfId="0" applyNumberFormat="1" applyBorder="1"/>
    <xf numFmtId="9" fontId="2" fillId="0" borderId="1" xfId="2" applyFont="1" applyBorder="1"/>
    <xf numFmtId="9" fontId="3" fillId="0" borderId="1" xfId="2" applyFont="1" applyBorder="1"/>
    <xf numFmtId="0" fontId="0" fillId="5" borderId="0" xfId="0" applyFill="1"/>
    <xf numFmtId="9" fontId="2" fillId="0" borderId="5" xfId="2" applyFont="1" applyBorder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4" fillId="4" borderId="12" xfId="0" applyFont="1" applyFill="1" applyBorder="1" applyAlignment="1"/>
    <xf numFmtId="0" fontId="4" fillId="4" borderId="2" xfId="0" applyFont="1" applyFill="1" applyBorder="1" applyAlignment="1">
      <alignment horizontal="center" vertical="center"/>
    </xf>
    <xf numFmtId="166" fontId="2" fillId="0" borderId="2" xfId="1" applyNumberFormat="1" applyFont="1" applyBorder="1"/>
    <xf numFmtId="166" fontId="2" fillId="0" borderId="0" xfId="0" applyNumberFormat="1" applyFont="1" applyBorder="1"/>
    <xf numFmtId="165" fontId="0" fillId="0" borderId="1" xfId="0" applyNumberFormat="1" applyBorder="1"/>
    <xf numFmtId="167" fontId="2" fillId="0" borderId="1" xfId="0" applyNumberFormat="1" applyFont="1" applyBorder="1"/>
    <xf numFmtId="166" fontId="3" fillId="0" borderId="1" xfId="1" applyNumberFormat="1" applyFont="1" applyFill="1" applyBorder="1"/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166" fontId="3" fillId="0" borderId="1" xfId="1" applyNumberFormat="1" applyFont="1" applyFill="1" applyBorder="1" applyAlignment="1">
      <alignment wrapText="1"/>
    </xf>
    <xf numFmtId="169" fontId="9" fillId="0" borderId="1" xfId="1" applyNumberFormat="1" applyFont="1" applyBorder="1"/>
    <xf numFmtId="169" fontId="2" fillId="0" borderId="1" xfId="1" applyNumberFormat="1" applyFont="1" applyFill="1" applyBorder="1"/>
    <xf numFmtId="0" fontId="2" fillId="9" borderId="1" xfId="0" applyFont="1" applyFill="1" applyBorder="1" applyAlignment="1">
      <alignment horizontal="left" vertical="center" wrapText="1"/>
    </xf>
    <xf numFmtId="169" fontId="2" fillId="5" borderId="1" xfId="1" applyNumberFormat="1" applyFont="1" applyFill="1" applyBorder="1"/>
    <xf numFmtId="0" fontId="2" fillId="10" borderId="14" xfId="0" applyFont="1" applyFill="1" applyBorder="1" applyAlignment="1">
      <alignment horizontal="left" vertical="center" wrapText="1"/>
    </xf>
    <xf numFmtId="0" fontId="2" fillId="10" borderId="14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left" vertical="center" wrapText="1"/>
    </xf>
    <xf numFmtId="10" fontId="2" fillId="0" borderId="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2" fillId="13" borderId="5" xfId="0" applyFont="1" applyFill="1" applyBorder="1" applyAlignment="1">
      <alignment vertical="center"/>
    </xf>
    <xf numFmtId="0" fontId="2" fillId="13" borderId="15" xfId="0" applyFont="1" applyFill="1" applyBorder="1" applyAlignment="1">
      <alignment vertical="center"/>
    </xf>
    <xf numFmtId="0" fontId="2" fillId="13" borderId="14" xfId="0" applyFont="1" applyFill="1" applyBorder="1" applyAlignment="1">
      <alignment vertical="center"/>
    </xf>
    <xf numFmtId="0" fontId="2" fillId="13" borderId="5" xfId="0" applyFont="1" applyFill="1" applyBorder="1" applyAlignment="1">
      <alignment horizontal="left" vertical="center" wrapText="1"/>
    </xf>
    <xf numFmtId="0" fontId="2" fillId="13" borderId="15" xfId="0" applyFont="1" applyFill="1" applyBorder="1" applyAlignment="1">
      <alignment horizontal="left" vertical="center" wrapText="1"/>
    </xf>
    <xf numFmtId="0" fontId="2" fillId="13" borderId="14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14" borderId="5" xfId="0" applyFont="1" applyFill="1" applyBorder="1" applyAlignment="1">
      <alignment horizontal="left" vertical="center" wrapText="1"/>
    </xf>
    <xf numFmtId="0" fontId="2" fillId="14" borderId="15" xfId="0" applyFont="1" applyFill="1" applyBorder="1" applyAlignment="1">
      <alignment horizontal="left" vertical="center" wrapText="1"/>
    </xf>
    <xf numFmtId="0" fontId="2" fillId="14" borderId="14" xfId="0" applyFont="1" applyFill="1" applyBorder="1" applyAlignment="1">
      <alignment horizontal="left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vertical="center"/>
    </xf>
    <xf numFmtId="0" fontId="2" fillId="14" borderId="14" xfId="0" applyFont="1" applyFill="1" applyBorder="1" applyAlignment="1">
      <alignment vertical="center"/>
    </xf>
    <xf numFmtId="0" fontId="2" fillId="12" borderId="5" xfId="0" applyFont="1" applyFill="1" applyBorder="1" applyAlignment="1">
      <alignment horizontal="left" vertical="center" wrapText="1"/>
    </xf>
    <xf numFmtId="0" fontId="2" fillId="12" borderId="15" xfId="0" applyFont="1" applyFill="1" applyBorder="1" applyAlignment="1">
      <alignment horizontal="left" vertical="center" wrapText="1"/>
    </xf>
    <xf numFmtId="0" fontId="2" fillId="12" borderId="14" xfId="0" applyFont="1" applyFill="1" applyBorder="1" applyAlignment="1">
      <alignment horizontal="left" vertical="center" wrapText="1"/>
    </xf>
    <xf numFmtId="0" fontId="2" fillId="9" borderId="5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left" vertical="center" wrapText="1"/>
    </xf>
    <xf numFmtId="0" fontId="2" fillId="9" borderId="14" xfId="0" applyFont="1" applyFill="1" applyBorder="1" applyAlignment="1">
      <alignment vertical="center"/>
    </xf>
    <xf numFmtId="0" fontId="2" fillId="9" borderId="14" xfId="0" applyFont="1" applyFill="1" applyBorder="1" applyAlignment="1">
      <alignment horizontal="left" vertical="center" wrapText="1"/>
    </xf>
    <xf numFmtId="0" fontId="2" fillId="10" borderId="5" xfId="0" applyFont="1" applyFill="1" applyBorder="1" applyAlignment="1">
      <alignment horizontal="left" vertical="center" wrapText="1"/>
    </xf>
    <xf numFmtId="0" fontId="2" fillId="10" borderId="15" xfId="0" applyFont="1" applyFill="1" applyBorder="1" applyAlignment="1">
      <alignment horizontal="left" vertical="center" wrapText="1"/>
    </xf>
    <xf numFmtId="0" fontId="2" fillId="10" borderId="14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0" xfId="0" applyFont="1" applyFill="1" applyBorder="1" applyAlignment="1">
      <alignment horizontal="left" vertical="center" wrapText="1"/>
    </xf>
    <xf numFmtId="0" fontId="2" fillId="9" borderId="9" xfId="0" applyFont="1" applyFill="1" applyBorder="1" applyAlignment="1">
      <alignment horizontal="left"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1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7" fillId="0" borderId="13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 wrapText="1"/>
    </xf>
    <xf numFmtId="0" fontId="7" fillId="0" borderId="7" xfId="0" applyFont="1" applyBorder="1" applyAlignment="1">
      <alignment horizontal="left"/>
    </xf>
    <xf numFmtId="0" fontId="2" fillId="9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6" fontId="3" fillId="0" borderId="1" xfId="1" applyNumberFormat="1" applyFont="1" applyBorder="1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6" fontId="3" fillId="17" borderId="1" xfId="1" applyNumberFormat="1" applyFont="1" applyFill="1" applyBorder="1" applyAlignment="1">
      <alignment horizontal="center"/>
    </xf>
    <xf numFmtId="166" fontId="3" fillId="15" borderId="1" xfId="1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9" borderId="15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Programa de Inversión en iniciativas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7138300020189784"/>
          <c:y val="0.15699470899470899"/>
          <c:w val="0.80605289723399964"/>
          <c:h val="0.7448115652210139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GANTT!$N$146:$Q$146</c:f>
              <c:strCache>
                <c:ptCount val="4"/>
                <c:pt idx="0">
                  <c:v>2018-2022</c:v>
                </c:pt>
                <c:pt idx="1">
                  <c:v> 2023 - 2027 </c:v>
                </c:pt>
                <c:pt idx="2">
                  <c:v> 2028 - 2032 </c:v>
                </c:pt>
                <c:pt idx="3">
                  <c:v> 2033 - 2037 </c:v>
                </c:pt>
              </c:strCache>
            </c:strRef>
          </c:cat>
          <c:val>
            <c:numRef>
              <c:f>GANTT!$N$148:$Q$148</c:f>
              <c:numCache>
                <c:formatCode>_-* #,##0_-;\-* #,##0_-;_-* "-"??_-;_-@_-</c:formatCode>
                <c:ptCount val="4"/>
                <c:pt idx="0">
                  <c:v>270378.50650400005</c:v>
                </c:pt>
                <c:pt idx="1">
                  <c:v>735348.98452599987</c:v>
                </c:pt>
                <c:pt idx="2">
                  <c:v>332929.77</c:v>
                </c:pt>
                <c:pt idx="3">
                  <c:v>620908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454288"/>
        <c:axId val="365454680"/>
      </c:barChart>
      <c:catAx>
        <c:axId val="3654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5454680"/>
        <c:crosses val="autoZero"/>
        <c:auto val="1"/>
        <c:lblAlgn val="ctr"/>
        <c:lblOffset val="100"/>
        <c:noMultiLvlLbl val="0"/>
      </c:catAx>
      <c:valAx>
        <c:axId val="3654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54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104775</xdr:colOff>
          <xdr:row>1</xdr:row>
          <xdr:rowOff>19050</xdr:rowOff>
        </xdr:from>
        <xdr:to>
          <xdr:col>1</xdr:col>
          <xdr:colOff>657225</xdr:colOff>
          <xdr:row>3</xdr:row>
          <xdr:rowOff>161925</xdr:rowOff>
        </xdr:to>
        <xdr:sp macro="" textlink="">
          <xdr:nvSpPr>
            <xdr:cNvPr id="63489" name="Object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21857" name="Object 1" hidden="1">
              <a:extLst>
                <a:ext uri="{63B3BB69-23CF-44E3-9099-C40C66FF867C}">
                  <a14:compatExt spid="_x0000_s12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32097" name="Object 1" hidden="1">
              <a:extLst>
                <a:ext uri="{63B3BB69-23CF-44E3-9099-C40C66FF867C}">
                  <a14:compatExt spid="_x0000_s13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7697" name="Object 1" hidden="1">
              <a:extLst>
                <a:ext uri="{63B3BB69-23CF-44E3-9099-C40C66FF867C}">
                  <a14:compatExt spid="_x0000_s157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35169" name="Object 1" hidden="1">
              <a:extLst>
                <a:ext uri="{63B3BB69-23CF-44E3-9099-C40C66FF867C}">
                  <a14:compatExt spid="_x0000_s135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8721" name="Object 1" hidden="1">
              <a:extLst>
                <a:ext uri="{63B3BB69-23CF-44E3-9099-C40C66FF867C}">
                  <a14:compatExt spid="_x0000_s158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8722" name="Object 2" hidden="1">
              <a:extLst>
                <a:ext uri="{63B3BB69-23CF-44E3-9099-C40C66FF867C}">
                  <a14:compatExt spid="_x0000_s158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9745" name="Object 1" hidden="1">
              <a:extLst>
                <a:ext uri="{63B3BB69-23CF-44E3-9099-C40C66FF867C}">
                  <a14:compatExt spid="_x0000_s159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9746" name="Object 2" hidden="1">
              <a:extLst>
                <a:ext uri="{63B3BB69-23CF-44E3-9099-C40C66FF867C}">
                  <a14:compatExt spid="_x0000_s159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4865" name="Object 1" hidden="1">
              <a:extLst>
                <a:ext uri="{63B3BB69-23CF-44E3-9099-C40C66FF867C}">
                  <a14:compatExt spid="_x0000_s164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4866" name="Object 2" hidden="1">
              <a:extLst>
                <a:ext uri="{63B3BB69-23CF-44E3-9099-C40C66FF867C}">
                  <a14:compatExt spid="_x0000_s164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7937" name="Object 1" hidden="1">
              <a:extLst>
                <a:ext uri="{63B3BB69-23CF-44E3-9099-C40C66FF867C}">
                  <a14:compatExt spid="_x0000_s167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7938" name="Object 2" hidden="1">
              <a:extLst>
                <a:ext uri="{63B3BB69-23CF-44E3-9099-C40C66FF867C}">
                  <a14:compatExt spid="_x0000_s167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47457" name="Object 1" hidden="1">
              <a:extLst>
                <a:ext uri="{63B3BB69-23CF-44E3-9099-C40C66FF867C}">
                  <a14:compatExt spid="_x0000_s14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8961" name="Object 1" hidden="1">
              <a:extLst>
                <a:ext uri="{63B3BB69-23CF-44E3-9099-C40C66FF867C}">
                  <a14:compatExt spid="_x0000_s16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19050</xdr:rowOff>
        </xdr:from>
        <xdr:to>
          <xdr:col>1</xdr:col>
          <xdr:colOff>619125</xdr:colOff>
          <xdr:row>3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9985" name="Object 1" hidden="1">
              <a:extLst>
                <a:ext uri="{63B3BB69-23CF-44E3-9099-C40C66FF867C}">
                  <a14:compatExt spid="_x0000_s169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16065" name="Object 1" hidden="1">
              <a:extLst>
                <a:ext uri="{63B3BB69-23CF-44E3-9099-C40C66FF867C}">
                  <a14:compatExt spid="_x0000_s216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56001" name="Object 1" hidden="1">
              <a:extLst>
                <a:ext uri="{63B3BB69-23CF-44E3-9099-C40C66FF867C}">
                  <a14:compatExt spid="_x0000_s256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17089" name="Object 1" hidden="1">
              <a:extLst>
                <a:ext uri="{63B3BB69-23CF-44E3-9099-C40C66FF867C}">
                  <a14:compatExt spid="_x0000_s217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94209" name="Object 1" hidden="1">
              <a:extLst>
                <a:ext uri="{63B3BB69-23CF-44E3-9099-C40C66FF867C}">
                  <a14:compatExt spid="_x0000_s94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74081" name="Object 1" hidden="1">
              <a:extLst>
                <a:ext uri="{63B3BB69-23CF-44E3-9099-C40C66FF867C}">
                  <a14:compatExt spid="_x0000_s174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75105" name="Object 1" hidden="1">
              <a:extLst>
                <a:ext uri="{63B3BB69-23CF-44E3-9099-C40C66FF867C}">
                  <a14:compatExt spid="_x0000_s175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76129" name="Object 1" hidden="1">
              <a:extLst>
                <a:ext uri="{63B3BB69-23CF-44E3-9099-C40C66FF867C}">
                  <a14:compatExt spid="_x0000_s176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77153" name="Object 1" hidden="1">
              <a:extLst>
                <a:ext uri="{63B3BB69-23CF-44E3-9099-C40C66FF867C}">
                  <a14:compatExt spid="_x0000_s177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93185" name="Object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19050</xdr:rowOff>
        </xdr:from>
        <xdr:to>
          <xdr:col>1</xdr:col>
          <xdr:colOff>619125</xdr:colOff>
          <xdr:row>3</xdr:row>
          <xdr:rowOff>161925</xdr:rowOff>
        </xdr:to>
        <xdr:sp macro="" textlink="">
          <xdr:nvSpPr>
            <xdr:cNvPr id="300033" name="Object 1" hidden="1">
              <a:extLst>
                <a:ext uri="{63B3BB69-23CF-44E3-9099-C40C66FF867C}">
                  <a14:compatExt spid="_x0000_s300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3695700</xdr:colOff>
      <xdr:row>148</xdr:row>
      <xdr:rowOff>152399</xdr:rowOff>
    </xdr:from>
    <xdr:to>
      <xdr:col>15</xdr:col>
      <xdr:colOff>714375</xdr:colOff>
      <xdr:row>164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04449" name="Object 1" hidden="1">
              <a:extLst>
                <a:ext uri="{63B3BB69-23CF-44E3-9099-C40C66FF867C}">
                  <a14:compatExt spid="_x0000_s104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79201" name="Object 1" hidden="1">
              <a:extLst>
                <a:ext uri="{63B3BB69-23CF-44E3-9099-C40C66FF867C}">
                  <a14:compatExt spid="_x0000_s179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0225" name="Object 1" hidden="1">
              <a:extLst>
                <a:ext uri="{63B3BB69-23CF-44E3-9099-C40C66FF867C}">
                  <a14:compatExt spid="_x0000_s180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1249" name="Object 1" hidden="1">
              <a:extLst>
                <a:ext uri="{63B3BB69-23CF-44E3-9099-C40C66FF867C}">
                  <a14:compatExt spid="_x0000_s18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2273" name="Object 1" hidden="1">
              <a:extLst>
                <a:ext uri="{63B3BB69-23CF-44E3-9099-C40C66FF867C}">
                  <a14:compatExt spid="_x0000_s18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18113" name="Object 1" hidden="1">
              <a:extLst>
                <a:ext uri="{63B3BB69-23CF-44E3-9099-C40C66FF867C}">
                  <a14:compatExt spid="_x0000_s218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19137" name="Object 1" hidden="1">
              <a:extLst>
                <a:ext uri="{63B3BB69-23CF-44E3-9099-C40C66FF867C}">
                  <a14:compatExt spid="_x0000_s219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6369" name="Object 1" hidden="1">
              <a:extLst>
                <a:ext uri="{63B3BB69-23CF-44E3-9099-C40C66FF867C}">
                  <a14:compatExt spid="_x0000_s18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20161" name="Object 1" hidden="1">
              <a:extLst>
                <a:ext uri="{63B3BB69-23CF-44E3-9099-C40C66FF867C}">
                  <a14:compatExt spid="_x0000_s220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0.02615</cdr:x>
      <cdr:y>0.13968</cdr:y>
    </cdr:from>
    <cdr:to>
      <cdr:x>0.06462</cdr:x>
      <cdr:y>0.86667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161925" y="419101"/>
          <a:ext cx="238125" cy="2181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CL" sz="1100"/>
            <a:t>Millones</a:t>
          </a:r>
          <a:r>
            <a:rPr lang="es-CL" sz="1100" baseline="0"/>
            <a:t> de $</a:t>
          </a:r>
          <a:endParaRPr lang="es-CL" sz="1100"/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15713" name="Object 1" hidden="1">
              <a:extLst>
                <a:ext uri="{63B3BB69-23CF-44E3-9099-C40C66FF867C}">
                  <a14:compatExt spid="_x0000_s115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7393" name="Object 1" hidden="1">
              <a:extLst>
                <a:ext uri="{63B3BB69-23CF-44E3-9099-C40C66FF867C}">
                  <a14:compatExt spid="_x0000_s187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8417" name="Object 1" hidden="1">
              <a:extLst>
                <a:ext uri="{63B3BB69-23CF-44E3-9099-C40C66FF867C}">
                  <a14:compatExt spid="_x0000_s188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57025" name="Object 1" hidden="1">
              <a:extLst>
                <a:ext uri="{63B3BB69-23CF-44E3-9099-C40C66FF867C}">
                  <a14:compatExt spid="_x0000_s257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58049" name="Object 1" hidden="1">
              <a:extLst>
                <a:ext uri="{63B3BB69-23CF-44E3-9099-C40C66FF867C}">
                  <a14:compatExt spid="_x0000_s258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16737" name="Object 1" hidden="1">
              <a:extLst>
                <a:ext uri="{63B3BB69-23CF-44E3-9099-C40C66FF867C}">
                  <a14:compatExt spid="_x0000_s116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59073" name="Object 1" hidden="1">
              <a:extLst>
                <a:ext uri="{63B3BB69-23CF-44E3-9099-C40C66FF867C}">
                  <a14:compatExt spid="_x0000_s259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60097" name="Object 1" hidden="1">
              <a:extLst>
                <a:ext uri="{63B3BB69-23CF-44E3-9099-C40C66FF867C}">
                  <a14:compatExt spid="_x0000_s260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92513" name="Object 1" hidden="1">
              <a:extLst>
                <a:ext uri="{63B3BB69-23CF-44E3-9099-C40C66FF867C}">
                  <a14:compatExt spid="_x0000_s19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90465" name="Object 1" hidden="1">
              <a:extLst>
                <a:ext uri="{63B3BB69-23CF-44E3-9099-C40C66FF867C}">
                  <a14:compatExt spid="_x0000_s190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61121" name="Object 1" hidden="1">
              <a:extLst>
                <a:ext uri="{63B3BB69-23CF-44E3-9099-C40C66FF867C}">
                  <a14:compatExt spid="_x0000_s26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89441" name="Object 1" hidden="1">
              <a:extLst>
                <a:ext uri="{63B3BB69-23CF-44E3-9099-C40C66FF867C}">
                  <a14:compatExt spid="_x0000_s189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6674" name="Object 2" hidden="1">
              <a:extLst>
                <a:ext uri="{63B3BB69-23CF-44E3-9099-C40C66FF867C}">
                  <a14:compatExt spid="_x0000_s15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29025" name="Object 1" hidden="1">
              <a:extLst>
                <a:ext uri="{63B3BB69-23CF-44E3-9099-C40C66FF867C}">
                  <a14:compatExt spid="_x0000_s129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91489" name="Object 1" hidden="1">
              <a:extLst>
                <a:ext uri="{63B3BB69-23CF-44E3-9099-C40C66FF867C}">
                  <a14:compatExt spid="_x0000_s19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33121" name="Object 1" hidden="1">
              <a:extLst>
                <a:ext uri="{63B3BB69-23CF-44E3-9099-C40C66FF867C}">
                  <a14:compatExt spid="_x0000_s133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94561" name="Object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97633" name="Object 1" hidden="1">
              <a:extLst>
                <a:ext uri="{63B3BB69-23CF-44E3-9099-C40C66FF867C}">
                  <a14:compatExt spid="_x0000_s197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0769" name="Object 1" hidden="1">
              <a:extLst>
                <a:ext uri="{63B3BB69-23CF-44E3-9099-C40C66FF867C}">
                  <a14:compatExt spid="_x0000_s160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60770" name="Object 2" hidden="1">
              <a:extLst>
                <a:ext uri="{63B3BB69-23CF-44E3-9099-C40C66FF867C}">
                  <a14:compatExt spid="_x0000_s160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0705" name="Object 1" hidden="1">
              <a:extLst>
                <a:ext uri="{63B3BB69-23CF-44E3-9099-C40C66FF867C}">
                  <a14:compatExt spid="_x0000_s200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2753" name="Object 1" hidden="1">
              <a:extLst>
                <a:ext uri="{63B3BB69-23CF-44E3-9099-C40C66FF867C}">
                  <a14:compatExt spid="_x0000_s202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1729" name="Object 1" hidden="1">
              <a:extLst>
                <a:ext uri="{63B3BB69-23CF-44E3-9099-C40C66FF867C}">
                  <a14:compatExt spid="_x0000_s20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4801" name="Object 1" hidden="1">
              <a:extLst>
                <a:ext uri="{63B3BB69-23CF-44E3-9099-C40C66FF867C}">
                  <a14:compatExt spid="_x0000_s204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205825" name="Object 1" hidden="1">
              <a:extLst>
                <a:ext uri="{63B3BB69-23CF-44E3-9099-C40C66FF867C}">
                  <a14:compatExt spid="_x0000_s205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17761" name="Object 1" hidden="1">
              <a:extLst>
                <a:ext uri="{63B3BB69-23CF-44E3-9099-C40C66FF867C}">
                  <a14:compatExt spid="_x0000_s117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1</xdr:row>
          <xdr:rowOff>19050</xdr:rowOff>
        </xdr:from>
        <xdr:to>
          <xdr:col>1</xdr:col>
          <xdr:colOff>704850</xdr:colOff>
          <xdr:row>3</xdr:row>
          <xdr:rowOff>161925</xdr:rowOff>
        </xdr:to>
        <xdr:sp macro="" textlink="">
          <xdr:nvSpPr>
            <xdr:cNvPr id="155649" name="Object 1" hidden="1">
              <a:extLst>
                <a:ext uri="{63B3BB69-23CF-44E3-9099-C40C66FF867C}">
                  <a14:compatExt spid="_x0000_s15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%20PROYECTOS/EXT-026137-00004%20-%20PMRH%20MAULE/INFORMES/ETAPA%204/INFORME/FICHAS/ORM/PMRH%20-%20FICHAS%20ECO_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PRESUPUESTO"/>
      <sheetName val="IN01"/>
      <sheetName val="IN02"/>
      <sheetName val="IN03"/>
      <sheetName val="IN04"/>
      <sheetName val="IN05"/>
      <sheetName val="IN06"/>
      <sheetName val="IN07"/>
      <sheetName val="IN08"/>
      <sheetName val="IN09"/>
      <sheetName val="IN10"/>
      <sheetName val="IN11"/>
      <sheetName val="IN12"/>
      <sheetName val="IN13"/>
      <sheetName val="IN14"/>
      <sheetName val="IN15"/>
      <sheetName val="IN16"/>
      <sheetName val="IN17"/>
      <sheetName val="IN18"/>
      <sheetName val="IN19"/>
      <sheetName val="IN20"/>
      <sheetName val="IN21"/>
      <sheetName val="IN22"/>
      <sheetName val="IN23"/>
      <sheetName val="IN24"/>
      <sheetName val="IN25"/>
      <sheetName val="IN26"/>
      <sheetName val="IN27"/>
      <sheetName val="IN28"/>
      <sheetName val="IN29"/>
      <sheetName val="IN30"/>
      <sheetName val="IN31"/>
      <sheetName val="IN32"/>
      <sheetName val="IN33"/>
      <sheetName val="IN34"/>
      <sheetName val="IN35"/>
      <sheetName val="IN36"/>
      <sheetName val="IN37"/>
      <sheetName val="IN38"/>
      <sheetName val="IN39"/>
      <sheetName val="IN40"/>
      <sheetName val="IN41"/>
      <sheetName val="IN42"/>
      <sheetName val="IN43"/>
      <sheetName val="IN44"/>
      <sheetName val="IN45"/>
      <sheetName val="IN46"/>
      <sheetName val="IN47"/>
      <sheetName val="IN48"/>
      <sheetName val="IN49"/>
      <sheetName val="IN50"/>
      <sheetName val="IN51"/>
      <sheetName val="IN52"/>
      <sheetName val="IN53"/>
      <sheetName val="IN54"/>
      <sheetName val="IN55"/>
      <sheetName val="IN56"/>
      <sheetName val="Hoja59"/>
      <sheetName val="Hoja60"/>
      <sheetName val="Hoja61"/>
    </sheetNames>
    <sheetDataSet>
      <sheetData sheetId="0">
        <row r="12">
          <cell r="B12" t="str">
            <v>MANEJO DE RECURSOS HÍDRICOS</v>
          </cell>
          <cell r="F12" t="str">
            <v xml:space="preserve"> Instalación de nuevas estaciones hidrometricas DGA</v>
          </cell>
          <cell r="G12" t="str">
            <v>Estructural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Relationship Id="rId4" Type="http://schemas.openxmlformats.org/officeDocument/2006/relationships/image" Target="../media/image1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Relationship Id="rId4" Type="http://schemas.openxmlformats.org/officeDocument/2006/relationships/image" Target="../media/image1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2.bin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Relationship Id="rId4" Type="http://schemas.openxmlformats.org/officeDocument/2006/relationships/image" Target="../media/image1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3.bin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Relationship Id="rId5" Type="http://schemas.openxmlformats.org/officeDocument/2006/relationships/oleObject" Target="../embeddings/oleObject14.bin"/><Relationship Id="rId4" Type="http://schemas.openxmlformats.org/officeDocument/2006/relationships/image" Target="../media/image1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5.bin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5.xml"/><Relationship Id="rId5" Type="http://schemas.openxmlformats.org/officeDocument/2006/relationships/oleObject" Target="../embeddings/oleObject16.bin"/><Relationship Id="rId4" Type="http://schemas.openxmlformats.org/officeDocument/2006/relationships/image" Target="../media/image1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9.bin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7.xml"/><Relationship Id="rId5" Type="http://schemas.openxmlformats.org/officeDocument/2006/relationships/oleObject" Target="../embeddings/oleObject20.bin"/><Relationship Id="rId4" Type="http://schemas.openxmlformats.org/officeDocument/2006/relationships/image" Target="../media/image1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1.bin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8.xml"/><Relationship Id="rId4" Type="http://schemas.openxmlformats.org/officeDocument/2006/relationships/image" Target="../media/image1.emf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2.bin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9.xml"/><Relationship Id="rId4" Type="http://schemas.openxmlformats.org/officeDocument/2006/relationships/image" Target="../media/image1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3.bin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20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4.bin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1.xml"/><Relationship Id="rId4" Type="http://schemas.openxmlformats.org/officeDocument/2006/relationships/image" Target="../media/image1.emf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5.bin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2.xml"/><Relationship Id="rId4" Type="http://schemas.openxmlformats.org/officeDocument/2006/relationships/image" Target="../media/image1.emf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6.bin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3.xml"/><Relationship Id="rId4" Type="http://schemas.openxmlformats.org/officeDocument/2006/relationships/image" Target="../media/image1.emf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8.bin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5.xml"/><Relationship Id="rId4" Type="http://schemas.openxmlformats.org/officeDocument/2006/relationships/image" Target="../media/image1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9.bin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6.xml"/><Relationship Id="rId4" Type="http://schemas.openxmlformats.org/officeDocument/2006/relationships/image" Target="../media/image1.emf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0.bin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7.xml"/><Relationship Id="rId4" Type="http://schemas.openxmlformats.org/officeDocument/2006/relationships/image" Target="../media/image1.emf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1.bin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8.xml"/><Relationship Id="rId4" Type="http://schemas.openxmlformats.org/officeDocument/2006/relationships/image" Target="../media/image1.emf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2.bin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9.xml"/><Relationship Id="rId4" Type="http://schemas.openxmlformats.org/officeDocument/2006/relationships/image" Target="../media/image1.emf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3.bin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0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4.bin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1.xml"/><Relationship Id="rId4" Type="http://schemas.openxmlformats.org/officeDocument/2006/relationships/image" Target="../media/image1.emf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5.bin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2.xml"/><Relationship Id="rId4" Type="http://schemas.openxmlformats.org/officeDocument/2006/relationships/image" Target="../media/image1.emf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6.bin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3.xml"/><Relationship Id="rId4" Type="http://schemas.openxmlformats.org/officeDocument/2006/relationships/image" Target="../media/image1.emf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7.bin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4.xml"/><Relationship Id="rId4" Type="http://schemas.openxmlformats.org/officeDocument/2006/relationships/image" Target="../media/image1.emf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8.bin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5.xml"/><Relationship Id="rId4" Type="http://schemas.openxmlformats.org/officeDocument/2006/relationships/image" Target="../media/image1.emf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9.bin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6.xml"/><Relationship Id="rId4" Type="http://schemas.openxmlformats.org/officeDocument/2006/relationships/image" Target="../media/image1.emf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0.bin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7.xml"/><Relationship Id="rId4" Type="http://schemas.openxmlformats.org/officeDocument/2006/relationships/image" Target="../media/image1.emf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1.bin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8.xml"/><Relationship Id="rId4" Type="http://schemas.openxmlformats.org/officeDocument/2006/relationships/image" Target="../media/image1.emf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2.bin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9.xml"/><Relationship Id="rId4" Type="http://schemas.openxmlformats.org/officeDocument/2006/relationships/image" Target="../media/image1.emf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3.bin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40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4.bin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1.xml"/><Relationship Id="rId4" Type="http://schemas.openxmlformats.org/officeDocument/2006/relationships/image" Target="../media/image1.emf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5.bin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2.xml"/><Relationship Id="rId4" Type="http://schemas.openxmlformats.org/officeDocument/2006/relationships/image" Target="../media/image1.emf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6.bin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3.xml"/><Relationship Id="rId4" Type="http://schemas.openxmlformats.org/officeDocument/2006/relationships/image" Target="../media/image1.emf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7.bin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4.xml"/><Relationship Id="rId4" Type="http://schemas.openxmlformats.org/officeDocument/2006/relationships/image" Target="../media/image1.emf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8.bin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5.xml"/><Relationship Id="rId4" Type="http://schemas.openxmlformats.org/officeDocument/2006/relationships/image" Target="../media/image1.emf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9.bin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6.xml"/><Relationship Id="rId4" Type="http://schemas.openxmlformats.org/officeDocument/2006/relationships/image" Target="../media/image1.emf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0.bin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7.xml"/><Relationship Id="rId4" Type="http://schemas.openxmlformats.org/officeDocument/2006/relationships/image" Target="../media/image1.emf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1.bin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8.xml"/><Relationship Id="rId4" Type="http://schemas.openxmlformats.org/officeDocument/2006/relationships/image" Target="../media/image1.emf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2.bin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9.xml"/><Relationship Id="rId4" Type="http://schemas.openxmlformats.org/officeDocument/2006/relationships/image" Target="../media/image1.emf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3.bin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50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openxmlformats.org/officeDocument/2006/relationships/image" Target="../media/image1.emf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4.bin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1.xml"/><Relationship Id="rId4" Type="http://schemas.openxmlformats.org/officeDocument/2006/relationships/image" Target="../media/image1.emf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5.bin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2.xml"/><Relationship Id="rId4" Type="http://schemas.openxmlformats.org/officeDocument/2006/relationships/image" Target="../media/image1.emf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6.bin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3.xml"/><Relationship Id="rId4" Type="http://schemas.openxmlformats.org/officeDocument/2006/relationships/image" Target="../media/image1.emf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7.bin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4.xml"/><Relationship Id="rId4" Type="http://schemas.openxmlformats.org/officeDocument/2006/relationships/image" Target="../media/image1.emf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8.bin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5.xml"/><Relationship Id="rId4" Type="http://schemas.openxmlformats.org/officeDocument/2006/relationships/image" Target="../media/image1.emf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9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0.bin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7.xml"/><Relationship Id="rId4" Type="http://schemas.openxmlformats.org/officeDocument/2006/relationships/image" Target="../media/image1.emf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1.bin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8.xml"/><Relationship Id="rId5" Type="http://schemas.openxmlformats.org/officeDocument/2006/relationships/oleObject" Target="../embeddings/oleObject62.bin"/><Relationship Id="rId4" Type="http://schemas.openxmlformats.org/officeDocument/2006/relationships/image" Target="../media/image1.emf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3.bin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9.xml"/><Relationship Id="rId4" Type="http://schemas.openxmlformats.org/officeDocument/2006/relationships/image" Target="../media/image1.emf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4.bin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60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5.bin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1.xml"/><Relationship Id="rId4" Type="http://schemas.openxmlformats.org/officeDocument/2006/relationships/image" Target="../media/image1.emf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6.bin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2.xml"/><Relationship Id="rId4" Type="http://schemas.openxmlformats.org/officeDocument/2006/relationships/image" Target="../media/image1.emf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7.bin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3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56"/>
  <sheetViews>
    <sheetView showGridLines="0" topLeftCell="A37" zoomScale="110" zoomScaleNormal="110" workbookViewId="0">
      <selection activeCell="L19" sqref="L19"/>
    </sheetView>
  </sheetViews>
  <sheetFormatPr baseColWidth="10" defaultRowHeight="15" x14ac:dyDescent="0.25"/>
  <cols>
    <col min="1" max="1" width="4.85546875" customWidth="1"/>
    <col min="2" max="2" width="22.5703125" bestFit="1" customWidth="1"/>
    <col min="3" max="3" width="14.7109375" customWidth="1"/>
    <col min="4" max="4" width="14.85546875" bestFit="1" customWidth="1"/>
    <col min="5" max="5" width="13.140625" bestFit="1" customWidth="1"/>
    <col min="6" max="6" width="9.7109375" customWidth="1"/>
    <col min="7" max="7" width="12" bestFit="1" customWidth="1"/>
    <col min="8" max="12" width="12" customWidth="1"/>
    <col min="13" max="13" width="9.140625" bestFit="1" customWidth="1"/>
    <col min="14" max="14" width="9.140625" style="135" bestFit="1" customWidth="1"/>
    <col min="15" max="15" width="10.5703125" style="103" bestFit="1" customWidth="1"/>
    <col min="16" max="16" width="10.5703125" bestFit="1" customWidth="1"/>
    <col min="17" max="17" width="9.7109375" customWidth="1"/>
    <col min="18" max="18" width="16.85546875" bestFit="1" customWidth="1"/>
  </cols>
  <sheetData>
    <row r="2" spans="1:26" x14ac:dyDescent="0.25">
      <c r="B2" s="217"/>
      <c r="C2" s="43" t="s">
        <v>19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131"/>
      <c r="O2" s="44"/>
      <c r="P2" s="44"/>
      <c r="Q2" s="44"/>
      <c r="R2" s="44"/>
      <c r="S2" s="44"/>
      <c r="T2" s="44"/>
      <c r="U2" s="44"/>
      <c r="V2" s="44"/>
      <c r="W2" s="45"/>
      <c r="Z2" s="42"/>
    </row>
    <row r="3" spans="1:26" x14ac:dyDescent="0.25">
      <c r="B3" s="217"/>
      <c r="C3" s="46" t="s">
        <v>18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132"/>
      <c r="O3" s="26"/>
      <c r="P3" s="26"/>
      <c r="Q3" s="26"/>
      <c r="R3" s="26"/>
      <c r="S3" s="26"/>
      <c r="T3" s="26"/>
      <c r="U3" s="26"/>
      <c r="V3" s="26"/>
      <c r="W3" s="47"/>
      <c r="Z3" s="42"/>
    </row>
    <row r="4" spans="1:26" x14ac:dyDescent="0.25">
      <c r="B4" s="217"/>
      <c r="C4" s="48" t="s">
        <v>23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133"/>
      <c r="O4" s="49"/>
      <c r="P4" s="49"/>
      <c r="Q4" s="49"/>
      <c r="R4" s="49"/>
      <c r="S4" s="49"/>
      <c r="T4" s="49"/>
      <c r="U4" s="49"/>
      <c r="V4" s="49"/>
      <c r="W4" s="50"/>
      <c r="Z4" s="42"/>
    </row>
    <row r="5" spans="1:26" ht="33.75" x14ac:dyDescent="0.5">
      <c r="B5" s="63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132"/>
      <c r="O5" s="26"/>
      <c r="P5" s="26"/>
      <c r="Q5" s="26"/>
      <c r="R5" s="26"/>
      <c r="S5" s="26"/>
      <c r="T5" s="26"/>
      <c r="U5" s="26"/>
      <c r="V5" s="26"/>
      <c r="W5" s="26"/>
      <c r="Z5" s="42"/>
    </row>
    <row r="6" spans="1:26" s="27" customFormat="1" x14ac:dyDescent="0.25">
      <c r="B6" s="36"/>
      <c r="C6" s="36"/>
      <c r="D6" s="218" t="s">
        <v>620</v>
      </c>
      <c r="E6" s="218"/>
      <c r="F6" s="218"/>
      <c r="G6" s="218"/>
      <c r="H6" s="57"/>
      <c r="I6" s="218" t="s">
        <v>621</v>
      </c>
      <c r="J6" s="218"/>
      <c r="K6" s="218"/>
      <c r="L6" s="218"/>
      <c r="M6" s="191"/>
      <c r="N6" s="41"/>
      <c r="O6" s="38"/>
    </row>
    <row r="7" spans="1:26" s="27" customFormat="1" x14ac:dyDescent="0.25">
      <c r="B7" s="5" t="s">
        <v>619</v>
      </c>
      <c r="C7" s="19" t="s">
        <v>2</v>
      </c>
      <c r="D7" s="19" t="s">
        <v>571</v>
      </c>
      <c r="E7" s="19" t="s">
        <v>605</v>
      </c>
      <c r="F7" s="19" t="s">
        <v>579</v>
      </c>
      <c r="G7" s="19" t="s">
        <v>115</v>
      </c>
      <c r="H7" s="19" t="s">
        <v>2</v>
      </c>
      <c r="I7" s="19" t="s">
        <v>571</v>
      </c>
      <c r="J7" s="19" t="s">
        <v>605</v>
      </c>
      <c r="K7" s="19" t="s">
        <v>579</v>
      </c>
      <c r="L7" s="19" t="s">
        <v>115</v>
      </c>
      <c r="M7" s="19"/>
      <c r="N7" s="134" t="s">
        <v>79</v>
      </c>
      <c r="O7" s="38"/>
    </row>
    <row r="8" spans="1:26" s="27" customFormat="1" x14ac:dyDescent="0.25">
      <c r="A8" s="38"/>
      <c r="B8" s="5" t="s">
        <v>22</v>
      </c>
      <c r="C8" s="6">
        <f>SUM(D8:G8)</f>
        <v>1712357.6740300001</v>
      </c>
      <c r="D8" s="6">
        <f>SUMIFS(PRESUPUESTO!$R$8:$R$142,PRESUPUESTO!$K$8:$K$142,$B8,PRESUPUESTO!$L$8:$L$142,D$7,PRESUPUESTO!$A$8:$A$142,"C")</f>
        <v>0</v>
      </c>
      <c r="E8" s="6">
        <f>SUMIFS(PRESUPUESTO!$R$8:$R$142,PRESUPUESTO!$K$8:$K$142,$B8,PRESUPUESTO!$L$8:$L$142,E$7,PRESUPUESTO!$A$8:$A$142,"C")</f>
        <v>0</v>
      </c>
      <c r="F8" s="6">
        <f>SUMIFS(PRESUPUESTO!$R$8:$R$142,PRESUPUESTO!$K$8:$K$142,$B8,PRESUPUESTO!$L$8:$L$142,F$7,PRESUPUESTO!$A$8:$A$142,"C")</f>
        <v>1712357.6740300001</v>
      </c>
      <c r="G8" s="6">
        <f>SUMIFS(PRESUPUESTO!$R$8:$R$142,PRESUPUESTO!$K$8:$K$142,$B8,PRESUPUESTO!$L$8:$L$142,G$7,PRESUPUESTO!$A$8:$A$142,"C")</f>
        <v>0</v>
      </c>
      <c r="H8" s="6">
        <f>SUM(I8:L8)</f>
        <v>220624.88</v>
      </c>
      <c r="I8" s="6">
        <f>SUMIFS(PRESUPUESTO!$R$8:$R$142,PRESUPUESTO!$K$8:$K$142,$B8,PRESUPUESTO!$L$8:$L$142,I$7,PRESUPUESTO!$A$8:$A$142,"I")</f>
        <v>0</v>
      </c>
      <c r="J8" s="6">
        <f>SUMIFS(PRESUPUESTO!$R$8:$R$142,PRESUPUESTO!$K$8:$K$142,$B8,PRESUPUESTO!$L$8:$L$142,J$7,PRESUPUESTO!$A$8:$A$142,"I")</f>
        <v>0</v>
      </c>
      <c r="K8" s="6">
        <f>SUMIFS(PRESUPUESTO!$R$8:$R$142,PRESUPUESTO!$K$8:$K$142,$B8,PRESUPUESTO!$L$8:$L$142,K$7,PRESUPUESTO!$A$8:$A$142,"I")</f>
        <v>220624.88</v>
      </c>
      <c r="L8" s="6">
        <f>SUMIFS(PRESUPUESTO!$R$8:$R$142,PRESUPUESTO!$K$8:$K$142,$B8,PRESUPUESTO!$L$8:$L$142,L$7,PRESUPUESTO!$A$8:$A$142,"I")</f>
        <v>0</v>
      </c>
      <c r="M8" s="6">
        <f>+H8+C8</f>
        <v>1932982.5540300002</v>
      </c>
      <c r="N8" s="34">
        <f>+M8/$M$13</f>
        <v>0.98643438545852391</v>
      </c>
      <c r="O8" s="38"/>
    </row>
    <row r="9" spans="1:26" s="27" customFormat="1" x14ac:dyDescent="0.25">
      <c r="A9" s="38"/>
      <c r="B9" s="5" t="s">
        <v>91</v>
      </c>
      <c r="C9" s="6">
        <f>SUM(D9:G9)</f>
        <v>8584.7999999999993</v>
      </c>
      <c r="D9" s="6">
        <f>SUMIFS(PRESUPUESTO!$R$8:$R$142,PRESUPUESTO!$K$8:$K$142,$B9,PRESUPUESTO!$L$8:$L$142,D$7,PRESUPUESTO!$A$8:$A$142,"C")</f>
        <v>4768</v>
      </c>
      <c r="E9" s="6">
        <f>SUMIFS(PRESUPUESTO!$R$8:$R$142,PRESUPUESTO!$K$8:$K$142,$B9,PRESUPUESTO!$L$8:$L$142,E$7,PRESUPUESTO!$A$8:$A$142,"C")</f>
        <v>3816.8</v>
      </c>
      <c r="F9" s="6">
        <f>SUMIFS(PRESUPUESTO!$R$8:$R$142,PRESUPUESTO!$K$8:$K$142,$B9,PRESUPUESTO!$L$8:$L$142,F$7,PRESUPUESTO!$A$8:$A$142,"C")</f>
        <v>0</v>
      </c>
      <c r="G9" s="6">
        <f>SUMIFS(PRESUPUESTO!$R$8:$R$142,PRESUPUESTO!$K$8:$K$142,$B9,PRESUPUESTO!$L$8:$L$142,G$7,PRESUPUESTO!$A$8:$A$142,"C")</f>
        <v>0</v>
      </c>
      <c r="H9" s="6">
        <f>SUM(I9:L9)</f>
        <v>15523.812600000001</v>
      </c>
      <c r="I9" s="6">
        <f>SUMIFS(PRESUPUESTO!$R$8:$R$142,PRESUPUESTO!$K$8:$K$142,$B9,PRESUPUESTO!$L$8:$L$142,I$7,PRESUPUESTO!$A$8:$A$142,"I")</f>
        <v>9424.3853000000017</v>
      </c>
      <c r="J9" s="6">
        <f>SUMIFS(PRESUPUESTO!$R$8:$R$142,PRESUPUESTO!$K$8:$K$142,$B9,PRESUPUESTO!$L$8:$L$142,J$7,PRESUPUESTO!$A$8:$A$142,"I")</f>
        <v>6099.4273000000003</v>
      </c>
      <c r="K9" s="6">
        <f>SUMIFS(PRESUPUESTO!$R$8:$R$142,PRESUPUESTO!$K$8:$K$142,$B9,PRESUPUESTO!$L$8:$L$142,K$7,PRESUPUESTO!$A$8:$A$142,"I")</f>
        <v>0</v>
      </c>
      <c r="L9" s="6">
        <f>SUMIFS(PRESUPUESTO!$R$8:$R$142,PRESUPUESTO!$K$8:$K$142,$B9,PRESUPUESTO!$L$8:$L$142,L$7,PRESUPUESTO!$A$8:$A$142,"I")</f>
        <v>0</v>
      </c>
      <c r="M9" s="6">
        <f t="shared" ref="M9:M12" si="0">+H9+C9</f>
        <v>24108.6126</v>
      </c>
      <c r="N9" s="34">
        <f t="shared" ref="N9:N11" si="1">+M9/$M$13</f>
        <v>1.2303041434469942E-2</v>
      </c>
      <c r="O9" s="38"/>
    </row>
    <row r="10" spans="1:26" s="27" customFormat="1" x14ac:dyDescent="0.25">
      <c r="A10" s="38"/>
      <c r="B10" s="5" t="s">
        <v>115</v>
      </c>
      <c r="C10" s="6">
        <f>SUM(D10:G10)</f>
        <v>0</v>
      </c>
      <c r="D10" s="6">
        <f>SUMIFS(PRESUPUESTO!$R$8:$R$142,PRESUPUESTO!$K$8:$K$142,$B10,PRESUPUESTO!$L$8:$L$142,D$7,PRESUPUESTO!$A$8:$A$142,"C")</f>
        <v>0</v>
      </c>
      <c r="E10" s="6">
        <f>SUMIFS(PRESUPUESTO!$R$8:$R$142,PRESUPUESTO!$K$8:$K$142,$B10,PRESUPUESTO!$L$8:$L$142,E$7,PRESUPUESTO!$A$8:$A$142,"C")</f>
        <v>0</v>
      </c>
      <c r="F10" s="6">
        <f>SUMIFS(PRESUPUESTO!$R$8:$R$142,PRESUPUESTO!$K$8:$K$142,$B10,PRESUPUESTO!$L$8:$L$142,F$7,PRESUPUESTO!$A$8:$A$142,"C")</f>
        <v>0</v>
      </c>
      <c r="G10" s="6">
        <f>SUMIFS(PRESUPUESTO!$R$8:$R$142,PRESUPUESTO!$K$8:$K$142,$B10,PRESUPUESTO!$L$8:$L$142,G$7,PRESUPUESTO!$A$8:$A$142,"C")</f>
        <v>0</v>
      </c>
      <c r="H10" s="6">
        <f>SUM(I10:L10)</f>
        <v>2474.0944</v>
      </c>
      <c r="I10" s="6">
        <f>SUMIFS(PRESUPUESTO!$R$8:$R$142,PRESUPUESTO!$K$8:$K$142,$B10,PRESUPUESTO!$L$8:$L$142,I$7,PRESUPUESTO!$A$8:$A$142,"I")</f>
        <v>0</v>
      </c>
      <c r="J10" s="6">
        <f>SUMIFS(PRESUPUESTO!$R$8:$R$142,PRESUPUESTO!$K$8:$K$142,$B10,PRESUPUESTO!$L$8:$L$142,J$7,PRESUPUESTO!$A$8:$A$142,"I")</f>
        <v>0</v>
      </c>
      <c r="K10" s="6">
        <f>SUMIFS(PRESUPUESTO!$R$8:$R$142,PRESUPUESTO!$K$8:$K$142,$B10,PRESUPUESTO!$L$8:$L$142,K$7,PRESUPUESTO!$A$8:$A$142,"I")</f>
        <v>0</v>
      </c>
      <c r="L10" s="6">
        <f>SUMIFS(PRESUPUESTO!$R$8:$R$142,PRESUPUESTO!$K$8:$K$142,$B10,PRESUPUESTO!$L$8:$L$142,L$7,PRESUPUESTO!$A$8:$A$142,"I")</f>
        <v>2474.0944</v>
      </c>
      <c r="M10" s="6">
        <f t="shared" si="0"/>
        <v>2474.0944</v>
      </c>
      <c r="N10" s="34">
        <f t="shared" si="1"/>
        <v>1.2625731070061679E-3</v>
      </c>
      <c r="O10" s="38"/>
    </row>
    <row r="11" spans="1:26" s="27" customFormat="1" x14ac:dyDescent="0.25">
      <c r="A11" s="38"/>
      <c r="B11" s="5" t="s">
        <v>121</v>
      </c>
      <c r="C11" s="6">
        <f>SUM(D11:G11)</f>
        <v>1720942.4740300002</v>
      </c>
      <c r="D11" s="6">
        <f>SUM(D8:D10)</f>
        <v>4768</v>
      </c>
      <c r="E11" s="6">
        <f t="shared" ref="E11:L11" si="2">SUM(E8:E10)</f>
        <v>3816.8</v>
      </c>
      <c r="F11" s="6">
        <f t="shared" si="2"/>
        <v>1712357.6740300001</v>
      </c>
      <c r="G11" s="6">
        <f t="shared" si="2"/>
        <v>0</v>
      </c>
      <c r="H11" s="6">
        <f t="shared" si="2"/>
        <v>238622.78700000001</v>
      </c>
      <c r="I11" s="6">
        <f t="shared" si="2"/>
        <v>9424.3853000000017</v>
      </c>
      <c r="J11" s="6">
        <f t="shared" si="2"/>
        <v>6099.4273000000003</v>
      </c>
      <c r="K11" s="6">
        <f t="shared" si="2"/>
        <v>220624.88</v>
      </c>
      <c r="L11" s="6">
        <f t="shared" si="2"/>
        <v>2474.0944</v>
      </c>
      <c r="M11" s="6">
        <f t="shared" si="0"/>
        <v>1959565.2610300002</v>
      </c>
      <c r="N11" s="34">
        <f t="shared" si="1"/>
        <v>1</v>
      </c>
      <c r="O11" s="38"/>
    </row>
    <row r="12" spans="1:26" s="27" customFormat="1" x14ac:dyDescent="0.25">
      <c r="A12" s="38"/>
      <c r="B12" s="10" t="s">
        <v>79</v>
      </c>
      <c r="C12" s="7"/>
      <c r="D12" s="136">
        <f>+D11/$C$11</f>
        <v>2.7705748866983233E-3</v>
      </c>
      <c r="E12" s="136">
        <f>+E11/$C$11</f>
        <v>2.2178544940331716E-3</v>
      </c>
      <c r="F12" s="136">
        <f>+F11/$C$11</f>
        <v>0.99501157061926848</v>
      </c>
      <c r="G12" s="136">
        <f>+G11/$C$11</f>
        <v>0</v>
      </c>
      <c r="H12" s="34"/>
      <c r="I12" s="34">
        <f>+I11/$H$11</f>
        <v>3.9494909176465205E-2</v>
      </c>
      <c r="J12" s="34">
        <f>+J11/$H$11</f>
        <v>2.5560959104882132E-2</v>
      </c>
      <c r="K12" s="34">
        <f>+K11/$H$11</f>
        <v>0.92457590816756319</v>
      </c>
      <c r="L12" s="34">
        <f>+L11/$H$11</f>
        <v>1.0368223551089443E-2</v>
      </c>
      <c r="M12" s="6">
        <f t="shared" si="0"/>
        <v>0</v>
      </c>
      <c r="N12" s="41"/>
      <c r="O12" s="38"/>
    </row>
    <row r="13" spans="1:26" s="27" customFormat="1" x14ac:dyDescent="0.25">
      <c r="A13" s="38"/>
      <c r="B13" s="10" t="s">
        <v>622</v>
      </c>
      <c r="C13" s="7"/>
      <c r="D13" s="219">
        <f>SUM(D11:G11)</f>
        <v>1720942.4740300002</v>
      </c>
      <c r="E13" s="219"/>
      <c r="F13" s="219"/>
      <c r="G13" s="219"/>
      <c r="H13" s="122"/>
      <c r="I13" s="219">
        <f>SUM(I11:L11)</f>
        <v>238622.78700000001</v>
      </c>
      <c r="J13" s="219"/>
      <c r="K13" s="219"/>
      <c r="L13" s="219"/>
      <c r="M13" s="37">
        <f>+I13+D13</f>
        <v>1959565.2610300002</v>
      </c>
      <c r="O13" s="38"/>
    </row>
    <row r="14" spans="1:26" s="27" customFormat="1" x14ac:dyDescent="0.25">
      <c r="A14" s="38"/>
      <c r="B14" s="10" t="s">
        <v>623</v>
      </c>
      <c r="C14" s="7"/>
      <c r="D14" s="216">
        <f>+D13/M13</f>
        <v>0.87822667009591027</v>
      </c>
      <c r="E14" s="216"/>
      <c r="F14" s="216"/>
      <c r="G14" s="216"/>
      <c r="H14" s="206"/>
      <c r="I14" s="216">
        <f>+I13/M13</f>
        <v>0.12177332990408977</v>
      </c>
      <c r="J14" s="216"/>
      <c r="K14" s="216"/>
      <c r="L14" s="216"/>
      <c r="M14" s="207"/>
      <c r="N14" s="41"/>
      <c r="O14" s="38"/>
    </row>
    <row r="15" spans="1:26" s="27" customFormat="1" x14ac:dyDescent="0.25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41"/>
      <c r="O15" s="38"/>
    </row>
    <row r="16" spans="1:26" x14ac:dyDescent="0.25">
      <c r="L16" s="135"/>
      <c r="M16" s="135"/>
      <c r="N16"/>
    </row>
    <row r="17" spans="2:15" ht="34.5" x14ac:dyDescent="0.25">
      <c r="B17" s="186" t="s">
        <v>817</v>
      </c>
      <c r="C17" s="186" t="s">
        <v>743</v>
      </c>
      <c r="D17" s="186" t="s">
        <v>737</v>
      </c>
      <c r="E17" s="186" t="s">
        <v>741</v>
      </c>
      <c r="F17" s="186" t="s">
        <v>780</v>
      </c>
      <c r="G17" s="186" t="s">
        <v>742</v>
      </c>
      <c r="H17" s="186" t="s">
        <v>738</v>
      </c>
      <c r="I17" s="208" t="s">
        <v>121</v>
      </c>
      <c r="J17" s="208" t="s">
        <v>79</v>
      </c>
      <c r="N17"/>
      <c r="O17"/>
    </row>
    <row r="18" spans="2:15" x14ac:dyDescent="0.25">
      <c r="B18" s="186" t="s">
        <v>134</v>
      </c>
      <c r="C18" s="6">
        <f>SUMIFS(PRESUPUESTO!$R$8:$R$142,PRESUPUESTO!$O$8:$O$142,IMPLEMENTACION!C$17,PRESUPUESTO!$N$8:$N$142,IMPLEMENTACION!$B18)</f>
        <v>8386.8963999999996</v>
      </c>
      <c r="D18" s="6">
        <f>SUMIFS(PRESUPUESTO!$R$8:$R$142,PRESUPUESTO!$O$8:$O$142,IMPLEMENTACION!D$17,PRESUPUESTO!$N$8:$N$142,IMPLEMENTACION!$B18)</f>
        <v>0</v>
      </c>
      <c r="E18" s="6">
        <f>SUMIFS(PRESUPUESTO!$R$8:$R$142,PRESUPUESTO!$O$8:$O$142,IMPLEMENTACION!E$17,PRESUPUESTO!$N$8:$N$142,IMPLEMENTACION!$B18)</f>
        <v>0</v>
      </c>
      <c r="F18" s="6">
        <f>SUMIFS(PRESUPUESTO!$R$8:$R$142,PRESUPUESTO!$O$8:$O$142,IMPLEMENTACION!F$17,PRESUPUESTO!$N$8:$N$142,IMPLEMENTACION!$B18)</f>
        <v>0</v>
      </c>
      <c r="G18" s="6">
        <f>SUMIFS(PRESUPUESTO!$R$8:$R$142,PRESUPUESTO!$O$8:$O$142,IMPLEMENTACION!G$17,PRESUPUESTO!$N$8:$N$142,IMPLEMENTACION!$B18)</f>
        <v>0</v>
      </c>
      <c r="H18" s="6">
        <f>SUMIFS(PRESUPUESTO!$R$8:$R$142,PRESUPUESTO!$O$8:$O$142,IMPLEMENTACION!H$17,PRESUPUESTO!$N$8:$N$142,IMPLEMENTACION!$B18)</f>
        <v>0</v>
      </c>
      <c r="I18" s="6">
        <f>SUM(C18:H18)</f>
        <v>8386.8963999999996</v>
      </c>
      <c r="J18" s="34">
        <f>+I18/$I$30</f>
        <v>4.2799780986072502E-3</v>
      </c>
      <c r="N18"/>
      <c r="O18"/>
    </row>
    <row r="19" spans="2:15" x14ac:dyDescent="0.25">
      <c r="B19" s="186" t="s">
        <v>660</v>
      </c>
      <c r="C19" s="6">
        <f>SUMIFS(PRESUPUESTO!$R$8:$R$142,PRESUPUESTO!$O$8:$O$142,IMPLEMENTACION!C$17,PRESUPUESTO!$N$8:$N$142,IMPLEMENTACION!$B19)</f>
        <v>1920268.2389270002</v>
      </c>
      <c r="D19" s="6">
        <f>SUMIFS(PRESUPUESTO!$R$8:$R$142,PRESUPUESTO!$O$8:$O$142,IMPLEMENTACION!D$17,PRESUPUESTO!$N$8:$N$142,IMPLEMENTACION!$B19)</f>
        <v>0</v>
      </c>
      <c r="E19" s="6">
        <f>SUMIFS(PRESUPUESTO!$R$8:$R$142,PRESUPUESTO!$O$8:$O$142,IMPLEMENTACION!E$17,PRESUPUESTO!$N$8:$N$142,IMPLEMENTACION!$B19)</f>
        <v>0</v>
      </c>
      <c r="F19" s="6">
        <f>SUMIFS(PRESUPUESTO!$R$8:$R$142,PRESUPUESTO!$O$8:$O$142,IMPLEMENTACION!F$17,PRESUPUESTO!$N$8:$N$142,IMPLEMENTACION!$B19)</f>
        <v>0</v>
      </c>
      <c r="G19" s="6">
        <f>SUMIFS(PRESUPUESTO!$R$8:$R$142,PRESUPUESTO!$O$8:$O$142,IMPLEMENTACION!G$17,PRESUPUESTO!$N$8:$N$142,IMPLEMENTACION!$B19)</f>
        <v>0</v>
      </c>
      <c r="H19" s="6">
        <f>SUMIFS(PRESUPUESTO!$R$8:$R$142,PRESUPUESTO!$O$8:$O$142,IMPLEMENTACION!H$17,PRESUPUESTO!$N$8:$N$142,IMPLEMENTACION!$B19)</f>
        <v>0</v>
      </c>
      <c r="I19" s="6">
        <f t="shared" ref="I19:I29" si="3">SUM(C19:H19)</f>
        <v>1920268.2389270002</v>
      </c>
      <c r="J19" s="34">
        <f t="shared" ref="J19:J30" si="4">+I19/$I$30</f>
        <v>0.97994605084887842</v>
      </c>
      <c r="N19"/>
      <c r="O19"/>
    </row>
    <row r="20" spans="2:15" x14ac:dyDescent="0.25">
      <c r="B20" s="186" t="s">
        <v>658</v>
      </c>
      <c r="C20" s="6">
        <f>SUMIFS(PRESUPUESTO!$R$8:$R$142,PRESUPUESTO!$O$8:$O$142,IMPLEMENTACION!C$17,PRESUPUESTO!$N$8:$N$142,IMPLEMENTACION!$B20)</f>
        <v>0</v>
      </c>
      <c r="D20" s="6">
        <f>SUMIFS(PRESUPUESTO!$R$8:$R$142,PRESUPUESTO!$O$8:$O$142,IMPLEMENTACION!D$17,PRESUPUESTO!$N$8:$N$142,IMPLEMENTACION!$B20)</f>
        <v>9995.18</v>
      </c>
      <c r="E20" s="6">
        <f>SUMIFS(PRESUPUESTO!$R$8:$R$142,PRESUPUESTO!$O$8:$O$142,IMPLEMENTACION!E$17,PRESUPUESTO!$N$8:$N$142,IMPLEMENTACION!$B20)</f>
        <v>0</v>
      </c>
      <c r="F20" s="6">
        <f>SUMIFS(PRESUPUESTO!$R$8:$R$142,PRESUPUESTO!$O$8:$O$142,IMPLEMENTACION!F$17,PRESUPUESTO!$N$8:$N$142,IMPLEMENTACION!$B20)</f>
        <v>0</v>
      </c>
      <c r="G20" s="6">
        <f>SUMIFS(PRESUPUESTO!$R$8:$R$142,PRESUPUESTO!$O$8:$O$142,IMPLEMENTACION!G$17,PRESUPUESTO!$N$8:$N$142,IMPLEMENTACION!$B20)</f>
        <v>0</v>
      </c>
      <c r="H20" s="6">
        <f>SUMIFS(PRESUPUESTO!$R$8:$R$142,PRESUPUESTO!$O$8:$O$142,IMPLEMENTACION!H$17,PRESUPUESTO!$N$8:$N$142,IMPLEMENTACION!$B20)</f>
        <v>0</v>
      </c>
      <c r="I20" s="6">
        <f t="shared" si="3"/>
        <v>9995.18</v>
      </c>
      <c r="J20" s="34">
        <f t="shared" si="4"/>
        <v>5.1007129993446941E-3</v>
      </c>
      <c r="N20"/>
      <c r="O20"/>
    </row>
    <row r="21" spans="2:15" x14ac:dyDescent="0.25">
      <c r="B21" s="186" t="s">
        <v>659</v>
      </c>
      <c r="C21" s="6">
        <f>SUMIFS(PRESUPUESTO!$R$8:$R$142,PRESUPUESTO!$O$8:$O$142,IMPLEMENTACION!C$17,PRESUPUESTO!$N$8:$N$142,IMPLEMENTACION!$B21)</f>
        <v>0</v>
      </c>
      <c r="D21" s="6">
        <f>SUMIFS(PRESUPUESTO!$R$8:$R$142,PRESUPUESTO!$O$8:$O$142,IMPLEMENTACION!D$17,PRESUPUESTO!$N$8:$N$142,IMPLEMENTACION!$B21)</f>
        <v>15232.100000000002</v>
      </c>
      <c r="E21" s="6">
        <f>SUMIFS(PRESUPUESTO!$R$8:$R$142,PRESUPUESTO!$O$8:$O$142,IMPLEMENTACION!E$17,PRESUPUESTO!$N$8:$N$142,IMPLEMENTACION!$B21)</f>
        <v>0</v>
      </c>
      <c r="F21" s="6">
        <f>SUMIFS(PRESUPUESTO!$R$8:$R$142,PRESUPUESTO!$O$8:$O$142,IMPLEMENTACION!F$17,PRESUPUESTO!$N$8:$N$142,IMPLEMENTACION!$B21)</f>
        <v>0</v>
      </c>
      <c r="G21" s="6">
        <f>SUMIFS(PRESUPUESTO!$R$8:$R$142,PRESUPUESTO!$O$8:$O$142,IMPLEMENTACION!G$17,PRESUPUESTO!$N$8:$N$142,IMPLEMENTACION!$B21)</f>
        <v>0</v>
      </c>
      <c r="H21" s="6">
        <f>SUMIFS(PRESUPUESTO!$R$8:$R$142,PRESUPUESTO!$O$8:$O$142,IMPLEMENTACION!H$17,PRESUPUESTO!$N$8:$N$142,IMPLEMENTACION!$B21)</f>
        <v>0</v>
      </c>
      <c r="I21" s="6">
        <f t="shared" si="3"/>
        <v>15232.100000000002</v>
      </c>
      <c r="J21" s="34">
        <f t="shared" si="4"/>
        <v>7.7732037319306231E-3</v>
      </c>
      <c r="N21"/>
      <c r="O21"/>
    </row>
    <row r="22" spans="2:15" x14ac:dyDescent="0.25">
      <c r="B22" s="186" t="s">
        <v>703</v>
      </c>
      <c r="C22" s="6">
        <f>SUMIFS(PRESUPUESTO!$R$8:$R$142,PRESUPUESTO!$O$8:$O$142,IMPLEMENTACION!C$17,PRESUPUESTO!$N$8:$N$142,IMPLEMENTACION!$B22)</f>
        <v>0</v>
      </c>
      <c r="D22" s="6">
        <f>SUMIFS(PRESUPUESTO!$R$8:$R$142,PRESUPUESTO!$O$8:$O$142,IMPLEMENTACION!D$17,PRESUPUESTO!$N$8:$N$142,IMPLEMENTACION!$B22)</f>
        <v>1804.935103</v>
      </c>
      <c r="E22" s="6">
        <f>SUMIFS(PRESUPUESTO!$R$8:$R$142,PRESUPUESTO!$O$8:$O$142,IMPLEMENTACION!E$17,PRESUPUESTO!$N$8:$N$142,IMPLEMENTACION!$B22)</f>
        <v>0</v>
      </c>
      <c r="F22" s="6">
        <f>SUMIFS(PRESUPUESTO!$R$8:$R$142,PRESUPUESTO!$O$8:$O$142,IMPLEMENTACION!F$17,PRESUPUESTO!$N$8:$N$142,IMPLEMENTACION!$B22)</f>
        <v>0</v>
      </c>
      <c r="G22" s="6">
        <f>SUMIFS(PRESUPUESTO!$R$8:$R$142,PRESUPUESTO!$O$8:$O$142,IMPLEMENTACION!G$17,PRESUPUESTO!$N$8:$N$142,IMPLEMENTACION!$B22)</f>
        <v>0</v>
      </c>
      <c r="H22" s="6">
        <f>SUMIFS(PRESUPUESTO!$R$8:$R$142,PRESUPUESTO!$O$8:$O$142,IMPLEMENTACION!H$17,PRESUPUESTO!$N$8:$N$142,IMPLEMENTACION!$B22)</f>
        <v>0</v>
      </c>
      <c r="I22" s="6">
        <f t="shared" si="3"/>
        <v>1804.935103</v>
      </c>
      <c r="J22" s="34">
        <f t="shared" si="4"/>
        <v>9.2108955945222136E-4</v>
      </c>
      <c r="N22"/>
      <c r="O22"/>
    </row>
    <row r="23" spans="2:15" x14ac:dyDescent="0.25">
      <c r="B23" s="186" t="s">
        <v>722</v>
      </c>
      <c r="C23" s="6">
        <f>SUMIFS(PRESUPUESTO!$R$8:$R$142,PRESUPUESTO!$O$8:$O$142,IMPLEMENTACION!C$17,PRESUPUESTO!$N$8:$N$142,IMPLEMENTACION!$B23)</f>
        <v>500</v>
      </c>
      <c r="D23" s="6">
        <f>SUMIFS(PRESUPUESTO!$R$8:$R$142,PRESUPUESTO!$O$8:$O$142,IMPLEMENTACION!D$17,PRESUPUESTO!$N$8:$N$142,IMPLEMENTACION!$B23)</f>
        <v>0</v>
      </c>
      <c r="E23" s="6">
        <f>SUMIFS(PRESUPUESTO!$R$8:$R$142,PRESUPUESTO!$O$8:$O$142,IMPLEMENTACION!E$17,PRESUPUESTO!$N$8:$N$142,IMPLEMENTACION!$B23)</f>
        <v>0</v>
      </c>
      <c r="F23" s="6">
        <f>SUMIFS(PRESUPUESTO!$R$8:$R$142,PRESUPUESTO!$O$8:$O$142,IMPLEMENTACION!F$17,PRESUPUESTO!$N$8:$N$142,IMPLEMENTACION!$B23)</f>
        <v>0</v>
      </c>
      <c r="G23" s="6">
        <f>SUMIFS(PRESUPUESTO!$R$8:$R$142,PRESUPUESTO!$O$8:$O$142,IMPLEMENTACION!G$17,PRESUPUESTO!$N$8:$N$142,IMPLEMENTACION!$B23)</f>
        <v>0</v>
      </c>
      <c r="H23" s="6">
        <f>SUMIFS(PRESUPUESTO!$R$8:$R$142,PRESUPUESTO!$O$8:$O$142,IMPLEMENTACION!H$17,PRESUPUESTO!$N$8:$N$142,IMPLEMENTACION!$B23)</f>
        <v>0</v>
      </c>
      <c r="I23" s="6">
        <f t="shared" si="3"/>
        <v>500</v>
      </c>
      <c r="J23" s="34">
        <f t="shared" si="4"/>
        <v>2.5515863642999395E-4</v>
      </c>
      <c r="N23"/>
      <c r="O23"/>
    </row>
    <row r="24" spans="2:15" x14ac:dyDescent="0.25">
      <c r="B24" s="186" t="s">
        <v>720</v>
      </c>
      <c r="C24" s="6">
        <f>SUMIFS(PRESUPUESTO!$R$8:$R$142,PRESUPUESTO!$O$8:$O$142,IMPLEMENTACION!C$17,PRESUPUESTO!$N$8:$N$142,IMPLEMENTACION!$B24)</f>
        <v>0</v>
      </c>
      <c r="D24" s="6">
        <f>SUMIFS(PRESUPUESTO!$R$8:$R$142,PRESUPUESTO!$O$8:$O$142,IMPLEMENTACION!D$17,PRESUPUESTO!$N$8:$N$142,IMPLEMENTACION!$B24)</f>
        <v>0</v>
      </c>
      <c r="E24" s="6">
        <f>SUMIFS(PRESUPUESTO!$R$8:$R$142,PRESUPUESTO!$O$8:$O$142,IMPLEMENTACION!E$17,PRESUPUESTO!$N$8:$N$142,IMPLEMENTACION!$B24)</f>
        <v>0</v>
      </c>
      <c r="F24" s="6">
        <f>SUMIFS(PRESUPUESTO!$R$8:$R$142,PRESUPUESTO!$O$8:$O$142,IMPLEMENTACION!F$17,PRESUPUESTO!$N$8:$N$142,IMPLEMENTACION!$B24)</f>
        <v>0</v>
      </c>
      <c r="G24" s="6">
        <f>SUMIFS(PRESUPUESTO!$R$8:$R$142,PRESUPUESTO!$O$8:$O$142,IMPLEMENTACION!G$17,PRESUPUESTO!$N$8:$N$142,IMPLEMENTACION!$B24)</f>
        <v>0</v>
      </c>
      <c r="H24" s="6">
        <f>SUMIFS(PRESUPUESTO!$R$8:$R$142,PRESUPUESTO!$O$8:$O$142,IMPLEMENTACION!H$17,PRESUPUESTO!$N$8:$N$142,IMPLEMENTACION!$B24)</f>
        <v>0</v>
      </c>
      <c r="I24" s="6">
        <f t="shared" si="3"/>
        <v>0</v>
      </c>
      <c r="J24" s="34">
        <f t="shared" si="4"/>
        <v>0</v>
      </c>
      <c r="N24"/>
      <c r="O24"/>
    </row>
    <row r="25" spans="2:15" x14ac:dyDescent="0.25">
      <c r="B25" s="186" t="s">
        <v>740</v>
      </c>
      <c r="C25" s="6">
        <f>SUMIFS(PRESUPUESTO!$R$8:$R$142,PRESUPUESTO!$O$8:$O$142,IMPLEMENTACION!C$17,PRESUPUESTO!$N$8:$N$142,IMPLEMENTACION!$B25)</f>
        <v>0</v>
      </c>
      <c r="D25" s="6">
        <f>SUMIFS(PRESUPUESTO!$R$8:$R$142,PRESUPUESTO!$O$8:$O$142,IMPLEMENTACION!D$17,PRESUPUESTO!$N$8:$N$142,IMPLEMENTACION!$B25)</f>
        <v>0</v>
      </c>
      <c r="E25" s="6">
        <f>SUMIFS(PRESUPUESTO!$R$8:$R$142,PRESUPUESTO!$O$8:$O$142,IMPLEMENTACION!E$17,PRESUPUESTO!$N$8:$N$142,IMPLEMENTACION!$B25)</f>
        <v>0</v>
      </c>
      <c r="F25" s="6">
        <f>SUMIFS(PRESUPUESTO!$R$8:$R$142,PRESUPUESTO!$O$8:$O$142,IMPLEMENTACION!F$17,PRESUPUESTO!$N$8:$N$142,IMPLEMENTACION!$B25)</f>
        <v>198.91665</v>
      </c>
      <c r="G25" s="6">
        <f>SUMIFS(PRESUPUESTO!$R$8:$R$142,PRESUPUESTO!$O$8:$O$142,IMPLEMENTACION!G$17,PRESUPUESTO!$N$8:$N$142,IMPLEMENTACION!$B25)</f>
        <v>0</v>
      </c>
      <c r="H25" s="6">
        <f>SUMIFS(PRESUPUESTO!$R$8:$R$142,PRESUPUESTO!$O$8:$O$142,IMPLEMENTACION!H$17,PRESUPUESTO!$N$8:$N$142,IMPLEMENTACION!$B25)</f>
        <v>0</v>
      </c>
      <c r="I25" s="6">
        <f t="shared" si="3"/>
        <v>198.91665</v>
      </c>
      <c r="J25" s="34">
        <f t="shared" si="4"/>
        <v>1.0151060235444471E-4</v>
      </c>
      <c r="K25" s="169"/>
      <c r="N25"/>
      <c r="O25"/>
    </row>
    <row r="26" spans="2:15" x14ac:dyDescent="0.25">
      <c r="B26" s="186" t="s">
        <v>721</v>
      </c>
      <c r="C26" s="6">
        <f>SUMIFS(PRESUPUESTO!$R$8:$R$142,PRESUPUESTO!$O$8:$O$142,IMPLEMENTACION!C$17,PRESUPUESTO!$N$8:$N$142,IMPLEMENTACION!$B26)</f>
        <v>0</v>
      </c>
      <c r="D26" s="6">
        <f>SUMIFS(PRESUPUESTO!$R$8:$R$142,PRESUPUESTO!$O$8:$O$142,IMPLEMENTACION!D$17,PRESUPUESTO!$N$8:$N$142,IMPLEMENTACION!$B26)</f>
        <v>651.11664999999994</v>
      </c>
      <c r="E26" s="6">
        <f>SUMIFS(PRESUPUESTO!$R$8:$R$142,PRESUPUESTO!$O$8:$O$142,IMPLEMENTACION!E$17,PRESUPUESTO!$N$8:$N$142,IMPLEMENTACION!$B26)</f>
        <v>0</v>
      </c>
      <c r="F26" s="6">
        <f>SUMIFS(PRESUPUESTO!$R$8:$R$142,PRESUPUESTO!$O$8:$O$142,IMPLEMENTACION!F$17,PRESUPUESTO!$N$8:$N$142,IMPLEMENTACION!$B26)</f>
        <v>0</v>
      </c>
      <c r="G26" s="6">
        <f>SUMIFS(PRESUPUESTO!$R$8:$R$142,PRESUPUESTO!$O$8:$O$142,IMPLEMENTACION!G$17,PRESUPUESTO!$N$8:$N$142,IMPLEMENTACION!$B26)</f>
        <v>0</v>
      </c>
      <c r="H26" s="6">
        <f>SUMIFS(PRESUPUESTO!$R$8:$R$142,PRESUPUESTO!$O$8:$O$142,IMPLEMENTACION!H$17,PRESUPUESTO!$N$8:$N$142,IMPLEMENTACION!$B26)</f>
        <v>0</v>
      </c>
      <c r="I26" s="6">
        <f t="shared" si="3"/>
        <v>651.11664999999994</v>
      </c>
      <c r="J26" s="34">
        <f t="shared" si="4"/>
        <v>3.3227607314173123E-4</v>
      </c>
      <c r="N26"/>
      <c r="O26"/>
    </row>
    <row r="27" spans="2:15" x14ac:dyDescent="0.25">
      <c r="B27" s="186" t="s">
        <v>723</v>
      </c>
      <c r="C27" s="6">
        <f>SUMIFS(PRESUPUESTO!$R$8:$R$142,PRESUPUESTO!$O$8:$O$142,IMPLEMENTACION!C$17,PRESUPUESTO!$N$8:$N$142,IMPLEMENTACION!$B27)</f>
        <v>0</v>
      </c>
      <c r="D27" s="6">
        <f>SUMIFS(PRESUPUESTO!$R$8:$R$142,PRESUPUESTO!$O$8:$O$142,IMPLEMENTACION!D$17,PRESUPUESTO!$N$8:$N$142,IMPLEMENTACION!$B27)</f>
        <v>0</v>
      </c>
      <c r="E27" s="6">
        <f>SUMIFS(PRESUPUESTO!$R$8:$R$142,PRESUPUESTO!$O$8:$O$142,IMPLEMENTACION!E$17,PRESUPUESTO!$N$8:$N$142,IMPLEMENTACION!$B27)</f>
        <v>0</v>
      </c>
      <c r="F27" s="6">
        <f>SUMIFS(PRESUPUESTO!$R$8:$R$142,PRESUPUESTO!$O$8:$O$142,IMPLEMENTACION!F$17,PRESUPUESTO!$N$8:$N$142,IMPLEMENTACION!$B27)</f>
        <v>0</v>
      </c>
      <c r="G27" s="6">
        <f>SUMIFS(PRESUPUESTO!$R$8:$R$142,PRESUPUESTO!$O$8:$O$142,IMPLEMENTACION!G$17,PRESUPUESTO!$N$8:$N$142,IMPLEMENTACION!$B27)</f>
        <v>1569.6773000000001</v>
      </c>
      <c r="H27" s="6">
        <f>SUMIFS(PRESUPUESTO!$R$8:$R$142,PRESUPUESTO!$O$8:$O$142,IMPLEMENTACION!H$17,PRESUPUESTO!$N$8:$N$142,IMPLEMENTACION!$B27)</f>
        <v>0</v>
      </c>
      <c r="I27" s="6">
        <f t="shared" si="3"/>
        <v>1569.6773000000001</v>
      </c>
      <c r="J27" s="34">
        <f t="shared" si="4"/>
        <v>8.0103343900622909E-4</v>
      </c>
      <c r="N27"/>
      <c r="O27"/>
    </row>
    <row r="28" spans="2:15" x14ac:dyDescent="0.25">
      <c r="B28" s="186" t="s">
        <v>735</v>
      </c>
      <c r="C28" s="6">
        <f>SUMIFS(PRESUPUESTO!$R$8:$R$142,PRESUPUESTO!$O$8:$O$142,IMPLEMENTACION!C$17,PRESUPUESTO!$N$8:$N$142,IMPLEMENTACION!$B28)</f>
        <v>0</v>
      </c>
      <c r="D28" s="6">
        <f>SUMIFS(PRESUPUESTO!$R$8:$R$142,PRESUPUESTO!$O$8:$O$142,IMPLEMENTACION!D$17,PRESUPUESTO!$N$8:$N$142,IMPLEMENTACION!$B28)</f>
        <v>0</v>
      </c>
      <c r="E28" s="6">
        <f>SUMIFS(PRESUPUESTO!$R$8:$R$142,PRESUPUESTO!$O$8:$O$142,IMPLEMENTACION!E$17,PRESUPUESTO!$N$8:$N$142,IMPLEMENTACION!$B28)</f>
        <v>0</v>
      </c>
      <c r="F28" s="6">
        <f>SUMIFS(PRESUPUESTO!$R$8:$R$142,PRESUPUESTO!$O$8:$O$142,IMPLEMENTACION!F$17,PRESUPUESTO!$N$8:$N$142,IMPLEMENTACION!$B28)</f>
        <v>0</v>
      </c>
      <c r="G28" s="6">
        <f>SUMIFS(PRESUPUESTO!$R$8:$R$142,PRESUPUESTO!$O$8:$O$142,IMPLEMENTACION!G$17,PRESUPUESTO!$N$8:$N$142,IMPLEMENTACION!$B28)</f>
        <v>0</v>
      </c>
      <c r="H28" s="6">
        <f>SUMIFS(PRESUPUESTO!$R$8:$R$142,PRESUPUESTO!$O$8:$O$142,IMPLEMENTACION!H$17,PRESUPUESTO!$N$8:$N$142,IMPLEMENTACION!$B28)</f>
        <v>240</v>
      </c>
      <c r="I28" s="6">
        <f t="shared" si="3"/>
        <v>240</v>
      </c>
      <c r="J28" s="34">
        <f t="shared" si="4"/>
        <v>1.224761454863971E-4</v>
      </c>
      <c r="N28"/>
      <c r="O28"/>
    </row>
    <row r="29" spans="2:15" x14ac:dyDescent="0.25">
      <c r="B29" s="186" t="s">
        <v>736</v>
      </c>
      <c r="C29" s="6">
        <f>SUMIFS(PRESUPUESTO!$R$8:$R$142,PRESUPUESTO!$O$8:$O$142,IMPLEMENTACION!C$17,PRESUPUESTO!$N$8:$N$142,IMPLEMENTACION!$B29)</f>
        <v>0</v>
      </c>
      <c r="D29" s="6">
        <f>SUMIFS(PRESUPUESTO!$R$8:$R$142,PRESUPUESTO!$O$8:$O$142,IMPLEMENTACION!D$17,PRESUPUESTO!$N$8:$N$142,IMPLEMENTACION!$B29)</f>
        <v>452.2</v>
      </c>
      <c r="E29" s="6">
        <f>SUMIFS(PRESUPUESTO!$R$8:$R$142,PRESUPUESTO!$O$8:$O$142,IMPLEMENTACION!E$17,PRESUPUESTO!$N$8:$N$142,IMPLEMENTACION!$B29)</f>
        <v>0</v>
      </c>
      <c r="F29" s="6">
        <f>SUMIFS(PRESUPUESTO!$R$8:$R$142,PRESUPUESTO!$O$8:$O$142,IMPLEMENTACION!F$17,PRESUPUESTO!$N$8:$N$142,IMPLEMENTACION!$B29)</f>
        <v>0</v>
      </c>
      <c r="G29" s="6">
        <f>SUMIFS(PRESUPUESTO!$R$8:$R$142,PRESUPUESTO!$O$8:$O$142,IMPLEMENTACION!G$17,PRESUPUESTO!$N$8:$N$142,IMPLEMENTACION!$B29)</f>
        <v>0</v>
      </c>
      <c r="H29" s="6">
        <f>SUMIFS(PRESUPUESTO!$R$8:$R$142,PRESUPUESTO!$O$8:$O$142,IMPLEMENTACION!H$17,PRESUPUESTO!$N$8:$N$142,IMPLEMENTACION!$B29)</f>
        <v>266</v>
      </c>
      <c r="I29" s="6">
        <f t="shared" si="3"/>
        <v>718.2</v>
      </c>
      <c r="J29" s="34">
        <f t="shared" si="4"/>
        <v>3.6650986536804333E-4</v>
      </c>
      <c r="N29"/>
      <c r="O29"/>
    </row>
    <row r="30" spans="2:15" x14ac:dyDescent="0.25">
      <c r="B30" s="186" t="s">
        <v>2</v>
      </c>
      <c r="C30" s="6">
        <f>SUM(C18:C29)</f>
        <v>1929155.1353270002</v>
      </c>
      <c r="D30" s="6">
        <f t="shared" ref="D30:I30" si="5">SUM(D18:D29)</f>
        <v>28135.531753000003</v>
      </c>
      <c r="E30" s="6">
        <f t="shared" si="5"/>
        <v>0</v>
      </c>
      <c r="F30" s="6">
        <f t="shared" si="5"/>
        <v>198.91665</v>
      </c>
      <c r="G30" s="6">
        <f t="shared" si="5"/>
        <v>1569.6773000000001</v>
      </c>
      <c r="H30" s="6">
        <f t="shared" si="5"/>
        <v>506</v>
      </c>
      <c r="I30" s="6">
        <f t="shared" si="5"/>
        <v>1959565.2610300002</v>
      </c>
      <c r="J30" s="34">
        <f t="shared" si="4"/>
        <v>1</v>
      </c>
      <c r="N30"/>
      <c r="O30"/>
    </row>
    <row r="31" spans="2:15" x14ac:dyDescent="0.25">
      <c r="B31" s="186" t="s">
        <v>79</v>
      </c>
      <c r="C31" s="34">
        <f>+C30/$I$30</f>
        <v>0.98448118758391567</v>
      </c>
      <c r="D31" s="34">
        <f t="shared" ref="D31:I31" si="6">+D30/$I$30</f>
        <v>1.4358047834656556E-2</v>
      </c>
      <c r="E31" s="34">
        <f t="shared" si="6"/>
        <v>0</v>
      </c>
      <c r="F31" s="34">
        <f t="shared" si="6"/>
        <v>1.0151060235444471E-4</v>
      </c>
      <c r="G31" s="34">
        <f t="shared" si="6"/>
        <v>8.0103343900622909E-4</v>
      </c>
      <c r="H31" s="34">
        <f t="shared" si="6"/>
        <v>2.582205400671539E-4</v>
      </c>
      <c r="I31" s="34">
        <f t="shared" si="6"/>
        <v>1</v>
      </c>
      <c r="N31"/>
      <c r="O31"/>
    </row>
    <row r="43" spans="2:10" ht="34.5" x14ac:dyDescent="0.25">
      <c r="B43" s="186" t="s">
        <v>569</v>
      </c>
      <c r="C43" s="186" t="s">
        <v>743</v>
      </c>
      <c r="D43" s="186" t="s">
        <v>737</v>
      </c>
      <c r="E43" s="186" t="s">
        <v>741</v>
      </c>
      <c r="F43" s="186" t="s">
        <v>780</v>
      </c>
      <c r="G43" s="186" t="s">
        <v>742</v>
      </c>
      <c r="H43" s="186" t="s">
        <v>738</v>
      </c>
      <c r="I43" s="208" t="s">
        <v>121</v>
      </c>
      <c r="J43" s="208" t="s">
        <v>79</v>
      </c>
    </row>
    <row r="44" spans="2:10" x14ac:dyDescent="0.25">
      <c r="B44" s="186" t="s">
        <v>744</v>
      </c>
      <c r="C44" s="6">
        <f>SUMIFS(PRESUPUESTO!$R$8:$R$142,PRESUPUESTO!$M$8:$M$142,IMPLEMENTACION!$B44,PRESUPUESTO!$O$8:$O$142,IMPLEMENTACION!C$43)</f>
        <v>1935.75</v>
      </c>
      <c r="D44" s="6">
        <f>SUMIFS(PRESUPUESTO!$R$8:$R$142,PRESUPUESTO!$M$8:$M$142,IMPLEMENTACION!$B44,PRESUPUESTO!$O$8:$O$142,IMPLEMENTACION!D$43)</f>
        <v>0</v>
      </c>
      <c r="E44" s="6">
        <f>SUMIFS(PRESUPUESTO!$R$8:$R$142,PRESUPUESTO!$M$8:$M$142,IMPLEMENTACION!$B44,PRESUPUESTO!$O$8:$O$142,IMPLEMENTACION!E$43)</f>
        <v>0</v>
      </c>
      <c r="F44" s="6">
        <f>SUMIFS(PRESUPUESTO!$R$8:$R$142,PRESUPUESTO!$M$8:$M$142,IMPLEMENTACION!$B44,PRESUPUESTO!$O$8:$O$142,IMPLEMENTACION!F$43)</f>
        <v>0</v>
      </c>
      <c r="G44" s="6">
        <f>SUMIFS(PRESUPUESTO!$R$8:$R$142,PRESUPUESTO!$M$8:$M$142,IMPLEMENTACION!$B44,PRESUPUESTO!$O$8:$O$142,IMPLEMENTACION!G$43)</f>
        <v>0</v>
      </c>
      <c r="H44" s="6">
        <f>SUMIFS(PRESUPUESTO!$R$8:$R$142,PRESUPUESTO!$M$8:$M$142,IMPLEMENTACION!$B44,PRESUPUESTO!$O$8:$O$142,IMPLEMENTACION!H$43)</f>
        <v>0</v>
      </c>
      <c r="I44" s="6">
        <f>SUM(C44:H44)</f>
        <v>1935.75</v>
      </c>
      <c r="J44" s="34">
        <f>+I44/$I$55</f>
        <v>9.8784666093872163E-4</v>
      </c>
    </row>
    <row r="45" spans="2:10" x14ac:dyDescent="0.25">
      <c r="B45" s="186" t="s">
        <v>580</v>
      </c>
      <c r="C45" s="6">
        <f>SUMIFS(PRESUPUESTO!$R$8:$R$142,PRESUPUESTO!$M$8:$M$142,IMPLEMENTACION!$B45,PRESUPUESTO!$O$8:$O$142,IMPLEMENTACION!C$43)</f>
        <v>1663373.1575520001</v>
      </c>
      <c r="D45" s="6">
        <f>SUMIFS(PRESUPUESTO!$R$8:$R$142,PRESUPUESTO!$M$8:$M$142,IMPLEMENTACION!$B45,PRESUPUESTO!$O$8:$O$142,IMPLEMENTACION!D$43)</f>
        <v>20555.351752999999</v>
      </c>
      <c r="E45" s="6">
        <f>SUMIFS(PRESUPUESTO!$R$8:$R$142,PRESUPUESTO!$M$8:$M$142,IMPLEMENTACION!$B45,PRESUPUESTO!$O$8:$O$142,IMPLEMENTACION!E$43)</f>
        <v>0</v>
      </c>
      <c r="F45" s="6">
        <f>SUMIFS(PRESUPUESTO!$R$8:$R$142,PRESUPUESTO!$M$8:$M$142,IMPLEMENTACION!$B45,PRESUPUESTO!$O$8:$O$142,IMPLEMENTACION!F$43)</f>
        <v>0</v>
      </c>
      <c r="G45" s="6">
        <f>SUMIFS(PRESUPUESTO!$R$8:$R$142,PRESUPUESTO!$M$8:$M$142,IMPLEMENTACION!$B45,PRESUPUESTO!$O$8:$O$142,IMPLEMENTACION!G$43)</f>
        <v>0</v>
      </c>
      <c r="H45" s="6">
        <f>SUMIFS(PRESUPUESTO!$R$8:$R$142,PRESUPUESTO!$M$8:$M$142,IMPLEMENTACION!$B45,PRESUPUESTO!$O$8:$O$142,IMPLEMENTACION!H$43)</f>
        <v>0</v>
      </c>
      <c r="I45" s="6">
        <f t="shared" ref="I45:I54" si="7">SUM(C45:H45)</f>
        <v>1683928.5093050001</v>
      </c>
      <c r="J45" s="34">
        <f t="shared" ref="J45:J55" si="8">+I45/$I$55</f>
        <v>0.85933780455971243</v>
      </c>
    </row>
    <row r="46" spans="2:10" ht="34.5" x14ac:dyDescent="0.25">
      <c r="B46" s="186" t="s">
        <v>618</v>
      </c>
      <c r="C46" s="6">
        <f>SUMIFS(PRESUPUESTO!$R$8:$R$142,PRESUPUESTO!$M$8:$M$142,IMPLEMENTACION!$B46,PRESUPUESTO!$O$8:$O$142,IMPLEMENTACION!C$43)</f>
        <v>1000</v>
      </c>
      <c r="D46" s="6">
        <f>SUMIFS(PRESUPUESTO!$R$8:$R$142,PRESUPUESTO!$M$8:$M$142,IMPLEMENTACION!$B46,PRESUPUESTO!$O$8:$O$142,IMPLEMENTACION!D$43)</f>
        <v>7580.18</v>
      </c>
      <c r="E46" s="6">
        <f>SUMIFS(PRESUPUESTO!$R$8:$R$142,PRESUPUESTO!$M$8:$M$142,IMPLEMENTACION!$B46,PRESUPUESTO!$O$8:$O$142,IMPLEMENTACION!E$43)</f>
        <v>0</v>
      </c>
      <c r="F46" s="6">
        <f>SUMIFS(PRESUPUESTO!$R$8:$R$142,PRESUPUESTO!$M$8:$M$142,IMPLEMENTACION!$B46,PRESUPUESTO!$O$8:$O$142,IMPLEMENTACION!F$43)</f>
        <v>0</v>
      </c>
      <c r="G46" s="6">
        <f>SUMIFS(PRESUPUESTO!$R$8:$R$142,PRESUPUESTO!$M$8:$M$142,IMPLEMENTACION!$B46,PRESUPUESTO!$O$8:$O$142,IMPLEMENTACION!G$43)</f>
        <v>0</v>
      </c>
      <c r="H46" s="6">
        <f>SUMIFS(PRESUPUESTO!$R$8:$R$142,PRESUPUESTO!$M$8:$M$142,IMPLEMENTACION!$B46,PRESUPUESTO!$O$8:$O$142,IMPLEMENTACION!H$43)</f>
        <v>266</v>
      </c>
      <c r="I46" s="6">
        <f t="shared" si="7"/>
        <v>8846.18</v>
      </c>
      <c r="J46" s="34">
        <f t="shared" si="8"/>
        <v>4.5143584528285676E-3</v>
      </c>
    </row>
    <row r="47" spans="2:10" ht="23.25" x14ac:dyDescent="0.25">
      <c r="B47" s="186" t="s">
        <v>745</v>
      </c>
      <c r="C47" s="6">
        <f>SUMIFS(PRESUPUESTO!$R$8:$R$142,PRESUPUESTO!$M$8:$M$142,IMPLEMENTACION!$B47,PRESUPUESTO!$O$8:$O$142,IMPLEMENTACION!C$43)</f>
        <v>213.60000000000002</v>
      </c>
      <c r="D47" s="6">
        <f>SUMIFS(PRESUPUESTO!$R$8:$R$142,PRESUPUESTO!$M$8:$M$142,IMPLEMENTACION!$B47,PRESUPUESTO!$O$8:$O$142,IMPLEMENTACION!D$43)</f>
        <v>0</v>
      </c>
      <c r="E47" s="6">
        <f>SUMIFS(PRESUPUESTO!$R$8:$R$142,PRESUPUESTO!$M$8:$M$142,IMPLEMENTACION!$B47,PRESUPUESTO!$O$8:$O$142,IMPLEMENTACION!E$43)</f>
        <v>0</v>
      </c>
      <c r="F47" s="6">
        <f>SUMIFS(PRESUPUESTO!$R$8:$R$142,PRESUPUESTO!$M$8:$M$142,IMPLEMENTACION!$B47,PRESUPUESTO!$O$8:$O$142,IMPLEMENTACION!F$43)</f>
        <v>0</v>
      </c>
      <c r="G47" s="6">
        <f>SUMIFS(PRESUPUESTO!$R$8:$R$142,PRESUPUESTO!$M$8:$M$142,IMPLEMENTACION!$B47,PRESUPUESTO!$O$8:$O$142,IMPLEMENTACION!G$43)</f>
        <v>1569.6773000000001</v>
      </c>
      <c r="H47" s="6">
        <f>SUMIFS(PRESUPUESTO!$R$8:$R$142,PRESUPUESTO!$M$8:$M$142,IMPLEMENTACION!$B47,PRESUPUESTO!$O$8:$O$142,IMPLEMENTACION!H$43)</f>
        <v>240</v>
      </c>
      <c r="I47" s="6">
        <f t="shared" si="7"/>
        <v>2023.2773000000002</v>
      </c>
      <c r="J47" s="34">
        <f t="shared" si="8"/>
        <v>1.0325133539755198E-3</v>
      </c>
    </row>
    <row r="48" spans="2:10" ht="23.25" x14ac:dyDescent="0.25">
      <c r="B48" s="186" t="s">
        <v>572</v>
      </c>
      <c r="C48" s="6">
        <f>SUMIFS(PRESUPUESTO!$R$8:$R$142,PRESUPUESTO!$M$8:$M$142,IMPLEMENTACION!$B48,PRESUPUESTO!$O$8:$O$142,IMPLEMENTACION!C$43)</f>
        <v>2216.1</v>
      </c>
      <c r="D48" s="6">
        <f>SUMIFS(PRESUPUESTO!$R$8:$R$142,PRESUPUESTO!$M$8:$M$142,IMPLEMENTACION!$B48,PRESUPUESTO!$O$8:$O$142,IMPLEMENTACION!D$43)</f>
        <v>0</v>
      </c>
      <c r="E48" s="6">
        <f>SUMIFS(PRESUPUESTO!$R$8:$R$142,PRESUPUESTO!$M$8:$M$142,IMPLEMENTACION!$B48,PRESUPUESTO!$O$8:$O$142,IMPLEMENTACION!E$43)</f>
        <v>0</v>
      </c>
      <c r="F48" s="6">
        <f>SUMIFS(PRESUPUESTO!$R$8:$R$142,PRESUPUESTO!$M$8:$M$142,IMPLEMENTACION!$B48,PRESUPUESTO!$O$8:$O$142,IMPLEMENTACION!F$43)</f>
        <v>0</v>
      </c>
      <c r="G48" s="6">
        <f>SUMIFS(PRESUPUESTO!$R$8:$R$142,PRESUPUESTO!$M$8:$M$142,IMPLEMENTACION!$B48,PRESUPUESTO!$O$8:$O$142,IMPLEMENTACION!G$43)</f>
        <v>0</v>
      </c>
      <c r="H48" s="6">
        <f>SUMIFS(PRESUPUESTO!$R$8:$R$142,PRESUPUESTO!$M$8:$M$142,IMPLEMENTACION!$B48,PRESUPUESTO!$O$8:$O$142,IMPLEMENTACION!H$43)</f>
        <v>0</v>
      </c>
      <c r="I48" s="6">
        <f t="shared" si="7"/>
        <v>2216.1</v>
      </c>
      <c r="J48" s="34">
        <f t="shared" si="8"/>
        <v>1.1309141083850191E-3</v>
      </c>
    </row>
    <row r="49" spans="2:10" x14ac:dyDescent="0.25">
      <c r="B49" s="186" t="s">
        <v>614</v>
      </c>
      <c r="C49" s="6">
        <f>SUMIFS(PRESUPUESTO!$R$8:$R$142,PRESUPUESTO!$M$8:$M$142,IMPLEMENTACION!$B49,PRESUPUESTO!$O$8:$O$142,IMPLEMENTACION!C$43)</f>
        <v>256395.08137500007</v>
      </c>
      <c r="D49" s="6">
        <f>SUMIFS(PRESUPUESTO!$R$8:$R$142,PRESUPUESTO!$M$8:$M$142,IMPLEMENTACION!$B49,PRESUPUESTO!$O$8:$O$142,IMPLEMENTACION!D$43)</f>
        <v>0</v>
      </c>
      <c r="E49" s="6">
        <f>SUMIFS(PRESUPUESTO!$R$8:$R$142,PRESUPUESTO!$M$8:$M$142,IMPLEMENTACION!$B49,PRESUPUESTO!$O$8:$O$142,IMPLEMENTACION!E$43)</f>
        <v>0</v>
      </c>
      <c r="F49" s="6">
        <f>SUMIFS(PRESUPUESTO!$R$8:$R$142,PRESUPUESTO!$M$8:$M$142,IMPLEMENTACION!$B49,PRESUPUESTO!$O$8:$O$142,IMPLEMENTACION!F$43)</f>
        <v>0</v>
      </c>
      <c r="G49" s="6">
        <f>SUMIFS(PRESUPUESTO!$R$8:$R$142,PRESUPUESTO!$M$8:$M$142,IMPLEMENTACION!$B49,PRESUPUESTO!$O$8:$O$142,IMPLEMENTACION!G$43)</f>
        <v>0</v>
      </c>
      <c r="H49" s="6">
        <f>SUMIFS(PRESUPUESTO!$R$8:$R$142,PRESUPUESTO!$M$8:$M$142,IMPLEMENTACION!$B49,PRESUPUESTO!$O$8:$O$142,IMPLEMENTACION!H$43)</f>
        <v>0</v>
      </c>
      <c r="I49" s="6">
        <f t="shared" si="7"/>
        <v>256395.08137500007</v>
      </c>
      <c r="J49" s="34">
        <f t="shared" si="8"/>
        <v>0.13084283870200472</v>
      </c>
    </row>
    <row r="50" spans="2:10" x14ac:dyDescent="0.25">
      <c r="B50" s="186" t="s">
        <v>615</v>
      </c>
      <c r="C50" s="6">
        <f>SUMIFS(PRESUPUESTO!$R$8:$R$142,PRESUPUESTO!$M$8:$M$142,IMPLEMENTACION!$B50,PRESUPUESTO!$O$8:$O$142,IMPLEMENTACION!C$43)</f>
        <v>0</v>
      </c>
      <c r="D50" s="6">
        <f>SUMIFS(PRESUPUESTO!$R$8:$R$142,PRESUPUESTO!$M$8:$M$142,IMPLEMENTACION!$B50,PRESUPUESTO!$O$8:$O$142,IMPLEMENTACION!D$43)</f>
        <v>0</v>
      </c>
      <c r="E50" s="6">
        <f>SUMIFS(PRESUPUESTO!$R$8:$R$142,PRESUPUESTO!$M$8:$M$142,IMPLEMENTACION!$B50,PRESUPUESTO!$O$8:$O$142,IMPLEMENTACION!E$43)</f>
        <v>0</v>
      </c>
      <c r="F50" s="6">
        <f>SUMIFS(PRESUPUESTO!$R$8:$R$142,PRESUPUESTO!$M$8:$M$142,IMPLEMENTACION!$B50,PRESUPUESTO!$O$8:$O$142,IMPLEMENTACION!F$43)</f>
        <v>0</v>
      </c>
      <c r="G50" s="6">
        <f>SUMIFS(PRESUPUESTO!$R$8:$R$142,PRESUPUESTO!$M$8:$M$142,IMPLEMENTACION!$B50,PRESUPUESTO!$O$8:$O$142,IMPLEMENTACION!G$43)</f>
        <v>0</v>
      </c>
      <c r="H50" s="6">
        <f>SUMIFS(PRESUPUESTO!$R$8:$R$142,PRESUPUESTO!$M$8:$M$142,IMPLEMENTACION!$B50,PRESUPUESTO!$O$8:$O$142,IMPLEMENTACION!H$43)</f>
        <v>0</v>
      </c>
      <c r="I50" s="6">
        <f t="shared" si="7"/>
        <v>0</v>
      </c>
      <c r="J50" s="34">
        <f t="shared" si="8"/>
        <v>0</v>
      </c>
    </row>
    <row r="51" spans="2:10" x14ac:dyDescent="0.25">
      <c r="B51" s="186" t="s">
        <v>616</v>
      </c>
      <c r="C51" s="6">
        <f>SUMIFS(PRESUPUESTO!$R$8:$R$142,PRESUPUESTO!$M$8:$M$142,IMPLEMENTACION!$B51,PRESUPUESTO!$O$8:$O$142,IMPLEMENTACION!C$43)</f>
        <v>0</v>
      </c>
      <c r="D51" s="6">
        <f>SUMIFS(PRESUPUESTO!$R$8:$R$142,PRESUPUESTO!$M$8:$M$142,IMPLEMENTACION!$B51,PRESUPUESTO!$O$8:$O$142,IMPLEMENTACION!D$43)</f>
        <v>0</v>
      </c>
      <c r="E51" s="6">
        <f>SUMIFS(PRESUPUESTO!$R$8:$R$142,PRESUPUESTO!$M$8:$M$142,IMPLEMENTACION!$B51,PRESUPUESTO!$O$8:$O$142,IMPLEMENTACION!E$43)</f>
        <v>0</v>
      </c>
      <c r="F51" s="6">
        <f>SUMIFS(PRESUPUESTO!$R$8:$R$142,PRESUPUESTO!$M$8:$M$142,IMPLEMENTACION!$B51,PRESUPUESTO!$O$8:$O$142,IMPLEMENTACION!F$43)</f>
        <v>198.91665</v>
      </c>
      <c r="G51" s="6">
        <f>SUMIFS(PRESUPUESTO!$R$8:$R$142,PRESUPUESTO!$M$8:$M$142,IMPLEMENTACION!$B51,PRESUPUESTO!$O$8:$O$142,IMPLEMENTACION!G$43)</f>
        <v>0</v>
      </c>
      <c r="H51" s="6">
        <f>SUMIFS(PRESUPUESTO!$R$8:$R$142,PRESUPUESTO!$M$8:$M$142,IMPLEMENTACION!$B51,PRESUPUESTO!$O$8:$O$142,IMPLEMENTACION!H$43)</f>
        <v>0</v>
      </c>
      <c r="I51" s="6">
        <f t="shared" si="7"/>
        <v>198.91665</v>
      </c>
      <c r="J51" s="34">
        <f t="shared" si="8"/>
        <v>1.0151060235444471E-4</v>
      </c>
    </row>
    <row r="52" spans="2:10" ht="23.25" x14ac:dyDescent="0.25">
      <c r="B52" s="186" t="s">
        <v>617</v>
      </c>
      <c r="C52" s="6">
        <f>SUMIFS(PRESUPUESTO!$R$8:$R$142,PRESUPUESTO!$M$8:$M$142,IMPLEMENTACION!$B52,PRESUPUESTO!$O$8:$O$142,IMPLEMENTACION!C$43)</f>
        <v>0</v>
      </c>
      <c r="D52" s="6">
        <f>SUMIFS(PRESUPUESTO!$R$8:$R$142,PRESUPUESTO!$M$8:$M$142,IMPLEMENTACION!$B52,PRESUPUESTO!$O$8:$O$142,IMPLEMENTACION!D$43)</f>
        <v>0</v>
      </c>
      <c r="E52" s="6">
        <f>SUMIFS(PRESUPUESTO!$R$8:$R$142,PRESUPUESTO!$M$8:$M$142,IMPLEMENTACION!$B52,PRESUPUESTO!$O$8:$O$142,IMPLEMENTACION!E$43)</f>
        <v>0</v>
      </c>
      <c r="F52" s="6">
        <f>SUMIFS(PRESUPUESTO!$R$8:$R$142,PRESUPUESTO!$M$8:$M$142,IMPLEMENTACION!$B52,PRESUPUESTO!$O$8:$O$142,IMPLEMENTACION!F$43)</f>
        <v>0</v>
      </c>
      <c r="G52" s="6">
        <f>SUMIFS(PRESUPUESTO!$R$8:$R$142,PRESUPUESTO!$M$8:$M$142,IMPLEMENTACION!$B52,PRESUPUESTO!$O$8:$O$142,IMPLEMENTACION!G$43)</f>
        <v>0</v>
      </c>
      <c r="H52" s="6">
        <f>SUMIFS(PRESUPUESTO!$R$8:$R$142,PRESUPUESTO!$M$8:$M$142,IMPLEMENTACION!$B52,PRESUPUESTO!$O$8:$O$142,IMPLEMENTACION!H$43)</f>
        <v>0</v>
      </c>
      <c r="I52" s="6">
        <f t="shared" si="7"/>
        <v>0</v>
      </c>
      <c r="J52" s="34">
        <f t="shared" si="8"/>
        <v>0</v>
      </c>
    </row>
    <row r="53" spans="2:10" x14ac:dyDescent="0.25">
      <c r="B53" s="186" t="s">
        <v>803</v>
      </c>
      <c r="C53" s="6">
        <f>SUMIFS(PRESUPUESTO!$R$8:$R$142,PRESUPUESTO!$M$8:$M$142,IMPLEMENTACION!$B53,PRESUPUESTO!$O$8:$O$142,IMPLEMENTACION!C$43)</f>
        <v>1547.3520000000001</v>
      </c>
      <c r="D53" s="6">
        <f>SUMIFS(PRESUPUESTO!$R$8:$R$142,PRESUPUESTO!$M$8:$M$142,IMPLEMENTACION!$B53,PRESUPUESTO!$O$8:$O$142,IMPLEMENTACION!D$43)</f>
        <v>0</v>
      </c>
      <c r="E53" s="6">
        <f>SUMIFS(PRESUPUESTO!$R$8:$R$142,PRESUPUESTO!$M$8:$M$142,IMPLEMENTACION!$B53,PRESUPUESTO!$O$8:$O$142,IMPLEMENTACION!E$43)</f>
        <v>0</v>
      </c>
      <c r="F53" s="6">
        <f>SUMIFS(PRESUPUESTO!$R$8:$R$142,PRESUPUESTO!$M$8:$M$142,IMPLEMENTACION!$B53,PRESUPUESTO!$O$8:$O$142,IMPLEMENTACION!F$43)</f>
        <v>0</v>
      </c>
      <c r="G53" s="6">
        <f>SUMIFS(PRESUPUESTO!$R$8:$R$142,PRESUPUESTO!$M$8:$M$142,IMPLEMENTACION!$B53,PRESUPUESTO!$O$8:$O$142,IMPLEMENTACION!G$43)</f>
        <v>0</v>
      </c>
      <c r="H53" s="6">
        <f>SUMIFS(PRESUPUESTO!$R$8:$R$142,PRESUPUESTO!$M$8:$M$142,IMPLEMENTACION!$B53,PRESUPUESTO!$O$8:$O$142,IMPLEMENTACION!H$43)</f>
        <v>0</v>
      </c>
      <c r="I53" s="6">
        <f t="shared" si="7"/>
        <v>1547.3520000000001</v>
      </c>
      <c r="J53" s="34">
        <f t="shared" si="8"/>
        <v>7.8964045279444808E-4</v>
      </c>
    </row>
    <row r="54" spans="2:10" x14ac:dyDescent="0.25">
      <c r="B54" s="186" t="s">
        <v>624</v>
      </c>
      <c r="C54" s="6">
        <f>SUMIFS(PRESUPUESTO!$R$8:$R$142,PRESUPUESTO!$M$8:$M$142,IMPLEMENTACION!$B54,PRESUPUESTO!$O$8:$O$142,IMPLEMENTACION!C$43)</f>
        <v>2474.0944</v>
      </c>
      <c r="D54" s="6">
        <f>SUMIFS(PRESUPUESTO!$R$8:$R$142,PRESUPUESTO!$M$8:$M$142,IMPLEMENTACION!$B54,PRESUPUESTO!$O$8:$O$142,IMPLEMENTACION!D$43)</f>
        <v>0</v>
      </c>
      <c r="E54" s="6">
        <f>SUMIFS(PRESUPUESTO!$R$8:$R$142,PRESUPUESTO!$M$8:$M$142,IMPLEMENTACION!$B54,PRESUPUESTO!$O$8:$O$142,IMPLEMENTACION!E$43)</f>
        <v>0</v>
      </c>
      <c r="F54" s="6">
        <f>SUMIFS(PRESUPUESTO!$R$8:$R$142,PRESUPUESTO!$M$8:$M$142,IMPLEMENTACION!$B54,PRESUPUESTO!$O$8:$O$142,IMPLEMENTACION!F$43)</f>
        <v>0</v>
      </c>
      <c r="G54" s="6">
        <f>SUMIFS(PRESUPUESTO!$R$8:$R$142,PRESUPUESTO!$M$8:$M$142,IMPLEMENTACION!$B54,PRESUPUESTO!$O$8:$O$142,IMPLEMENTACION!G$43)</f>
        <v>0</v>
      </c>
      <c r="H54" s="6">
        <f>SUMIFS(PRESUPUESTO!$R$8:$R$142,PRESUPUESTO!$M$8:$M$142,IMPLEMENTACION!$B54,PRESUPUESTO!$O$8:$O$142,IMPLEMENTACION!H$43)</f>
        <v>0</v>
      </c>
      <c r="I54" s="6">
        <f t="shared" si="7"/>
        <v>2474.0944</v>
      </c>
      <c r="J54" s="34">
        <f t="shared" si="8"/>
        <v>1.2625731070061679E-3</v>
      </c>
    </row>
    <row r="55" spans="2:10" x14ac:dyDescent="0.25">
      <c r="B55" s="208" t="s">
        <v>2</v>
      </c>
      <c r="C55" s="6">
        <f>SUM(C44:C54)</f>
        <v>1929155.1353270004</v>
      </c>
      <c r="D55" s="6">
        <f t="shared" ref="D55:H55" si="9">SUM(D44:D54)</f>
        <v>28135.531752999999</v>
      </c>
      <c r="E55" s="6">
        <f t="shared" si="9"/>
        <v>0</v>
      </c>
      <c r="F55" s="6">
        <f t="shared" si="9"/>
        <v>198.91665</v>
      </c>
      <c r="G55" s="6">
        <f t="shared" si="9"/>
        <v>1569.6773000000001</v>
      </c>
      <c r="H55" s="6">
        <f t="shared" si="9"/>
        <v>506</v>
      </c>
      <c r="I55" s="6">
        <f>SUM(I44:I54)</f>
        <v>1959565.2610300002</v>
      </c>
      <c r="J55" s="34">
        <f t="shared" si="8"/>
        <v>1</v>
      </c>
    </row>
    <row r="56" spans="2:10" x14ac:dyDescent="0.25">
      <c r="B56" s="208" t="s">
        <v>79</v>
      </c>
      <c r="C56" s="34">
        <f>+C55/$I$55</f>
        <v>0.98448118758391578</v>
      </c>
      <c r="D56" s="34">
        <f t="shared" ref="D56:I56" si="10">+D55/$I$55</f>
        <v>1.4358047834656554E-2</v>
      </c>
      <c r="E56" s="34">
        <f t="shared" si="10"/>
        <v>0</v>
      </c>
      <c r="F56" s="34">
        <f t="shared" si="10"/>
        <v>1.0151060235444471E-4</v>
      </c>
      <c r="G56" s="34">
        <f t="shared" si="10"/>
        <v>8.0103343900622909E-4</v>
      </c>
      <c r="H56" s="34">
        <f t="shared" si="10"/>
        <v>2.582205400671539E-4</v>
      </c>
      <c r="I56" s="34">
        <f t="shared" si="10"/>
        <v>1</v>
      </c>
    </row>
  </sheetData>
  <mergeCells count="7">
    <mergeCell ref="D14:G14"/>
    <mergeCell ref="I14:L14"/>
    <mergeCell ref="B2:B4"/>
    <mergeCell ref="D6:G6"/>
    <mergeCell ref="I6:L6"/>
    <mergeCell ref="D13:G13"/>
    <mergeCell ref="I13:L1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63489" r:id="rId4">
          <objectPr defaultSize="0" autoPict="0" r:id="rId5">
            <anchor moveWithCells="1" sizeWithCells="1">
              <from>
                <xdr:col>1</xdr:col>
                <xdr:colOff>104775</xdr:colOff>
                <xdr:row>1</xdr:row>
                <xdr:rowOff>19050</xdr:rowOff>
              </from>
              <to>
                <xdr:col>1</xdr:col>
                <xdr:colOff>657225</xdr:colOff>
                <xdr:row>3</xdr:row>
                <xdr:rowOff>161925</xdr:rowOff>
              </to>
            </anchor>
          </objectPr>
        </oleObject>
      </mc:Choice>
      <mc:Fallback>
        <oleObject progId="PBrush" shapeId="63489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2:Y55"/>
  <sheetViews>
    <sheetView showGridLines="0" workbookViewId="0">
      <pane xSplit="8" ySplit="11" topLeftCell="I18" activePane="bottomRight" state="frozen"/>
      <selection activeCell="F25" sqref="F25"/>
      <selection pane="topRight" activeCell="F25" sqref="F25"/>
      <selection pane="bottomLeft" activeCell="F25" sqref="F25"/>
      <selection pane="bottomRight" activeCell="G20" sqref="G20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5.5" customHeight="1" x14ac:dyDescent="0.25">
      <c r="B6" s="306" t="s">
        <v>81</v>
      </c>
      <c r="C6" s="306"/>
      <c r="D6" s="307" t="s">
        <v>163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06"/>
      <c r="C7" s="306"/>
      <c r="D7" s="307" t="s">
        <v>164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165</v>
      </c>
      <c r="C8" s="309"/>
      <c r="D8" s="309"/>
      <c r="E8" s="309"/>
      <c r="F8" s="309"/>
      <c r="G8" s="18" t="s">
        <v>362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1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ht="15" customHeight="1" x14ac:dyDescent="0.25">
      <c r="B11" s="19" t="s">
        <v>3</v>
      </c>
      <c r="C11" s="20" t="s">
        <v>165</v>
      </c>
      <c r="D11" s="21"/>
      <c r="E11" s="21"/>
      <c r="F11" s="22" t="s">
        <v>1</v>
      </c>
      <c r="G11" s="22" t="s">
        <v>43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IN17</v>
      </c>
      <c r="J12" s="5" t="s">
        <v>101</v>
      </c>
      <c r="K12" s="6">
        <f>SUM(L12:S12)</f>
        <v>213.60000000000002</v>
      </c>
      <c r="L12" s="6"/>
      <c r="M12" s="6">
        <f>+G18</f>
        <v>213.60000000000002</v>
      </c>
      <c r="N12" s="6"/>
      <c r="O12" s="6"/>
      <c r="P12" s="6"/>
      <c r="Q12" s="6"/>
      <c r="R12" s="6"/>
      <c r="S12" s="6"/>
    </row>
    <row r="13" spans="2:19" x14ac:dyDescent="0.25">
      <c r="B13" s="5" t="s">
        <v>645</v>
      </c>
      <c r="C13" s="5"/>
      <c r="D13" s="5" t="s">
        <v>611</v>
      </c>
      <c r="E13" s="6">
        <v>3000</v>
      </c>
      <c r="F13" s="147">
        <f>26700/1000000</f>
        <v>2.6700000000000002E-2</v>
      </c>
      <c r="G13" s="6">
        <f>+F13*E13</f>
        <v>80.100000000000009</v>
      </c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646</v>
      </c>
      <c r="C14" s="5"/>
      <c r="D14" s="5" t="s">
        <v>611</v>
      </c>
      <c r="E14" s="6">
        <v>5000</v>
      </c>
      <c r="F14" s="147">
        <f>26700/1000000</f>
        <v>2.6700000000000002E-2</v>
      </c>
      <c r="G14" s="6">
        <f>+F14*E14</f>
        <v>133.5</v>
      </c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30"/>
      <c r="F15" s="6"/>
      <c r="G15" s="6">
        <f>+F15*E15</f>
        <v>0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25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25" x14ac:dyDescent="0.25">
      <c r="B18" s="10" t="s">
        <v>2</v>
      </c>
      <c r="C18" s="11"/>
      <c r="D18" s="11"/>
      <c r="E18" s="12"/>
      <c r="F18" s="7"/>
      <c r="G18" s="24">
        <f>SUM(G13:G17)</f>
        <v>213.60000000000002</v>
      </c>
      <c r="I18" s="5"/>
      <c r="J18" s="5"/>
      <c r="K18" s="6">
        <f>SUM(L18:S18)</f>
        <v>0</v>
      </c>
      <c r="L18" s="5"/>
      <c r="M18" s="5"/>
      <c r="N18" s="5"/>
      <c r="O18" s="5"/>
      <c r="P18" s="5"/>
      <c r="Q18" s="5"/>
      <c r="R18" s="5"/>
      <c r="S18" s="5"/>
    </row>
    <row r="19" spans="2:25" x14ac:dyDescent="0.25">
      <c r="I19" s="5"/>
      <c r="J19" s="5"/>
      <c r="K19" s="6">
        <f>SUM(L19:S19)</f>
        <v>0</v>
      </c>
      <c r="L19" s="5"/>
      <c r="M19" s="5"/>
      <c r="N19" s="5"/>
      <c r="O19" s="5"/>
      <c r="P19" s="5"/>
      <c r="Q19" s="5"/>
      <c r="R19" s="5"/>
      <c r="S19" s="5"/>
    </row>
    <row r="20" spans="2:25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213.60000000000002</v>
      </c>
      <c r="L20" s="16">
        <f t="shared" ref="L20:S20" si="0">SUM(L12:L19)</f>
        <v>0</v>
      </c>
      <c r="M20" s="16">
        <f t="shared" si="0"/>
        <v>213.60000000000002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25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2:25" x14ac:dyDescent="0.25">
      <c r="B22" s="67"/>
      <c r="C22" s="67"/>
      <c r="D22" s="67"/>
      <c r="E22" s="145"/>
      <c r="F22" s="66"/>
      <c r="G22" s="66"/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  <c r="S22" s="110"/>
      <c r="T22" s="110"/>
    </row>
    <row r="23" spans="2:25" x14ac:dyDescent="0.25">
      <c r="B23" s="67"/>
      <c r="C23" s="67"/>
      <c r="D23" s="67"/>
      <c r="E23" s="145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  <c r="S23" s="111">
        <v>4</v>
      </c>
      <c r="T23" s="111">
        <v>5</v>
      </c>
      <c r="U23" s="111">
        <v>6</v>
      </c>
      <c r="V23" s="111">
        <v>7</v>
      </c>
      <c r="W23" s="111">
        <v>8</v>
      </c>
      <c r="X23" s="111">
        <v>9</v>
      </c>
      <c r="Y23" s="111">
        <v>10</v>
      </c>
    </row>
    <row r="24" spans="2:25" x14ac:dyDescent="0.25">
      <c r="B24" s="67"/>
      <c r="C24" s="67"/>
      <c r="D24" s="67"/>
      <c r="E24" s="145"/>
      <c r="F24" s="66"/>
      <c r="G24" s="66"/>
      <c r="I24" s="15" t="str">
        <f>+G11</f>
        <v>IN17</v>
      </c>
      <c r="J24" s="15">
        <v>1</v>
      </c>
      <c r="K24" s="109"/>
      <c r="L24" s="6"/>
      <c r="M24" s="6">
        <f>NPV($L$8,P24:Y24)+O24</f>
        <v>201.88679245283018</v>
      </c>
      <c r="N24" s="6">
        <f>-PMT($L$8,$N$8,M24)</f>
        <v>214</v>
      </c>
      <c r="O24" s="112">
        <v>0</v>
      </c>
      <c r="P24" s="112">
        <v>214</v>
      </c>
      <c r="Q24" s="112"/>
      <c r="R24" s="112">
        <f>+Q24</f>
        <v>0</v>
      </c>
      <c r="S24" s="112"/>
      <c r="T24" s="112"/>
      <c r="U24" s="112"/>
      <c r="V24" s="112"/>
      <c r="W24" s="112"/>
      <c r="X24" s="112"/>
      <c r="Y24" s="112"/>
    </row>
    <row r="25" spans="2:25" x14ac:dyDescent="0.25">
      <c r="B25" s="67"/>
      <c r="C25" s="67"/>
      <c r="D25" s="67"/>
      <c r="E25" s="145"/>
      <c r="F25" s="66"/>
      <c r="G25" s="66"/>
      <c r="I25" s="15"/>
      <c r="J25" s="15"/>
      <c r="K25" s="5"/>
      <c r="L25" s="6"/>
      <c r="M25" s="6"/>
      <c r="N25" s="6"/>
      <c r="O25" s="112">
        <v>0</v>
      </c>
      <c r="P25" s="112"/>
      <c r="Q25" s="112"/>
      <c r="R25" s="112"/>
      <c r="S25" s="112"/>
      <c r="T25" s="112"/>
    </row>
    <row r="26" spans="2:25" x14ac:dyDescent="0.25">
      <c r="B26" s="67"/>
      <c r="C26" s="67"/>
      <c r="D26" s="67"/>
      <c r="E26" s="145"/>
      <c r="F26" s="66"/>
      <c r="G26" s="66"/>
    </row>
    <row r="27" spans="2:25" x14ac:dyDescent="0.25">
      <c r="B27" s="67"/>
      <c r="C27" s="67"/>
      <c r="D27" s="67"/>
      <c r="E27" s="66"/>
      <c r="F27" s="66"/>
      <c r="G27" s="146"/>
    </row>
    <row r="28" spans="2:25" x14ac:dyDescent="0.25">
      <c r="B28" s="72"/>
      <c r="C28" s="72"/>
      <c r="D28" s="72"/>
      <c r="E28" s="72"/>
      <c r="F28" s="72"/>
      <c r="G28" s="72"/>
    </row>
    <row r="29" spans="2:25" x14ac:dyDescent="0.25">
      <c r="B29" s="65"/>
      <c r="C29" s="142"/>
      <c r="D29" s="142"/>
      <c r="E29" s="142"/>
      <c r="F29" s="142"/>
      <c r="G29" s="142"/>
    </row>
    <row r="30" spans="2:25" x14ac:dyDescent="0.25">
      <c r="B30" s="143"/>
      <c r="C30" s="144"/>
      <c r="D30" s="144"/>
      <c r="E30" s="144"/>
      <c r="F30" s="144"/>
      <c r="G30" s="144"/>
    </row>
    <row r="31" spans="2:25" x14ac:dyDescent="0.25">
      <c r="B31" s="67"/>
      <c r="C31" s="67"/>
      <c r="D31" s="67"/>
      <c r="E31" s="66"/>
      <c r="F31" s="66"/>
      <c r="G31" s="66"/>
    </row>
    <row r="32" spans="2:25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72"/>
      <c r="C55" s="72"/>
      <c r="D55" s="72"/>
      <c r="E55" s="72"/>
      <c r="F55" s="72"/>
      <c r="G55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3209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32097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2:S45"/>
  <sheetViews>
    <sheetView showGridLines="0" workbookViewId="0">
      <pane xSplit="8" ySplit="11" topLeftCell="I17" activePane="bottomRight" state="frozen"/>
      <selection activeCell="F25" sqref="F25"/>
      <selection pane="topRight" activeCell="F25" sqref="F25"/>
      <selection pane="bottomLeft" activeCell="F25" sqref="F25"/>
      <selection pane="bottomRight" activeCell="Q14" sqref="Q14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4" customHeight="1" x14ac:dyDescent="0.25">
      <c r="B6" s="316" t="s">
        <v>81</v>
      </c>
      <c r="C6" s="316"/>
      <c r="D6" s="307" t="s">
        <v>163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164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166</v>
      </c>
      <c r="C8" s="309"/>
      <c r="D8" s="309"/>
      <c r="E8" s="309"/>
      <c r="F8" s="309"/>
      <c r="G8" s="18" t="s">
        <v>364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647</v>
      </c>
      <c r="D11" s="21"/>
      <c r="E11" s="21"/>
      <c r="F11" s="22" t="s">
        <v>1</v>
      </c>
      <c r="G11" s="22" t="s">
        <v>44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IN18</v>
      </c>
      <c r="J12" s="5" t="s">
        <v>118</v>
      </c>
      <c r="K12" s="6">
        <f>SUM(L12:S12)</f>
        <v>427.20000000000005</v>
      </c>
      <c r="L12" s="6"/>
      <c r="M12" s="6"/>
      <c r="N12" s="6"/>
      <c r="O12" s="6">
        <f>+G18*0.5</f>
        <v>213.60000000000002</v>
      </c>
      <c r="P12" s="6">
        <f>+O12</f>
        <v>213.60000000000002</v>
      </c>
      <c r="Q12" s="6"/>
      <c r="R12" s="6"/>
      <c r="S12" s="6"/>
    </row>
    <row r="13" spans="2:19" x14ac:dyDescent="0.25">
      <c r="B13" s="141" t="s">
        <v>644</v>
      </c>
      <c r="C13" s="5"/>
      <c r="D13" s="5" t="s">
        <v>611</v>
      </c>
      <c r="E13" s="6">
        <v>4000</v>
      </c>
      <c r="F13" s="129">
        <f>26700/1000000</f>
        <v>2.6700000000000002E-2</v>
      </c>
      <c r="G13" s="6">
        <f>+F13*E13</f>
        <v>106.80000000000001</v>
      </c>
      <c r="I13" s="5" t="str">
        <f>+G20</f>
        <v>IN19</v>
      </c>
      <c r="J13" s="5" t="s">
        <v>118</v>
      </c>
      <c r="K13" s="6">
        <f t="shared" ref="K13:K19" si="0">SUM(L13:S13)</f>
        <v>480.6</v>
      </c>
      <c r="L13" s="6"/>
      <c r="M13" s="6"/>
      <c r="N13" s="6">
        <f>+G27*0.5</f>
        <v>240.3</v>
      </c>
      <c r="O13" s="6">
        <f>+N13</f>
        <v>240.3</v>
      </c>
      <c r="P13" s="6"/>
      <c r="Q13" s="6"/>
      <c r="R13" s="6"/>
      <c r="S13" s="6"/>
    </row>
    <row r="14" spans="2:19" ht="21.75" x14ac:dyDescent="0.25">
      <c r="B14" s="141" t="s">
        <v>642</v>
      </c>
      <c r="C14" s="5"/>
      <c r="D14" s="5" t="s">
        <v>611</v>
      </c>
      <c r="E14" s="6">
        <v>8000</v>
      </c>
      <c r="F14" s="129">
        <f>26700/1000000</f>
        <v>2.6700000000000002E-2</v>
      </c>
      <c r="G14" s="6">
        <f>+F14*E14</f>
        <v>213.60000000000002</v>
      </c>
      <c r="I14" s="5" t="str">
        <f>+G29</f>
        <v>IN20</v>
      </c>
      <c r="J14" s="5" t="s">
        <v>118</v>
      </c>
      <c r="K14" s="6">
        <f t="shared" si="0"/>
        <v>427.20000000000005</v>
      </c>
      <c r="L14" s="6"/>
      <c r="M14" s="6"/>
      <c r="N14" s="6"/>
      <c r="O14" s="6">
        <f>+G36*0.5</f>
        <v>213.60000000000002</v>
      </c>
      <c r="P14" s="6">
        <f>+O14</f>
        <v>213.60000000000002</v>
      </c>
      <c r="Q14" s="6"/>
      <c r="R14" s="6"/>
      <c r="S14" s="6"/>
    </row>
    <row r="15" spans="2:19" ht="21.75" x14ac:dyDescent="0.25">
      <c r="B15" s="141" t="s">
        <v>643</v>
      </c>
      <c r="C15" s="5"/>
      <c r="D15" s="5" t="s">
        <v>611</v>
      </c>
      <c r="E15" s="6">
        <v>4000</v>
      </c>
      <c r="F15" s="129">
        <f>26700/1000000</f>
        <v>2.6700000000000002E-2</v>
      </c>
      <c r="G15" s="6">
        <f>+F15*E15</f>
        <v>106.80000000000001</v>
      </c>
      <c r="I15" s="5" t="str">
        <f>+G38</f>
        <v>IN21</v>
      </c>
      <c r="J15" s="5" t="s">
        <v>118</v>
      </c>
      <c r="K15" s="6">
        <f t="shared" si="0"/>
        <v>427.20000000000005</v>
      </c>
      <c r="L15" s="6"/>
      <c r="M15" s="6"/>
      <c r="N15" s="6"/>
      <c r="O15" s="6"/>
      <c r="P15" s="6"/>
      <c r="Q15" s="6">
        <f>+G45</f>
        <v>427.20000000000005</v>
      </c>
      <c r="R15" s="6"/>
      <c r="S15" s="6"/>
    </row>
    <row r="16" spans="2:19" x14ac:dyDescent="0.25">
      <c r="B16" s="141"/>
      <c r="C16" s="5"/>
      <c r="D16" s="5"/>
      <c r="E16" s="30"/>
      <c r="F16" s="129"/>
      <c r="G16" s="6">
        <f>+F16*E16</f>
        <v>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427.20000000000005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648</v>
      </c>
      <c r="D20" s="21"/>
      <c r="E20" s="21"/>
      <c r="F20" s="22" t="s">
        <v>1</v>
      </c>
      <c r="G20" s="22" t="s">
        <v>45</v>
      </c>
      <c r="I20" s="17" t="s">
        <v>2</v>
      </c>
      <c r="J20" s="14"/>
      <c r="K20" s="16">
        <f>SUM(K12:K19)</f>
        <v>1762.2</v>
      </c>
      <c r="L20" s="16">
        <f t="shared" ref="L20:S20" si="1">SUM(L12:L19)</f>
        <v>0</v>
      </c>
      <c r="M20" s="16">
        <f t="shared" si="1"/>
        <v>0</v>
      </c>
      <c r="N20" s="16">
        <f t="shared" si="1"/>
        <v>240.3</v>
      </c>
      <c r="O20" s="16">
        <f t="shared" si="1"/>
        <v>667.5</v>
      </c>
      <c r="P20" s="16">
        <f t="shared" si="1"/>
        <v>427.20000000000005</v>
      </c>
      <c r="Q20" s="16">
        <f t="shared" si="1"/>
        <v>427.20000000000005</v>
      </c>
      <c r="R20" s="16">
        <f t="shared" si="1"/>
        <v>0</v>
      </c>
      <c r="S20" s="16">
        <f t="shared" si="1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104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141" t="s">
        <v>644</v>
      </c>
      <c r="C22" s="5"/>
      <c r="D22" s="5" t="s">
        <v>611</v>
      </c>
      <c r="E22" s="6">
        <v>4000</v>
      </c>
      <c r="F22" s="129">
        <f>26700/1000000</f>
        <v>2.6700000000000002E-2</v>
      </c>
      <c r="G22" s="6">
        <f>+F22*E22</f>
        <v>106.80000000000001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</row>
    <row r="23" spans="2:19" ht="21.75" x14ac:dyDescent="0.25">
      <c r="B23" s="141" t="s">
        <v>642</v>
      </c>
      <c r="C23" s="5"/>
      <c r="D23" s="5" t="s">
        <v>611</v>
      </c>
      <c r="E23" s="6">
        <v>8000</v>
      </c>
      <c r="F23" s="129">
        <f>26700/1000000</f>
        <v>2.6700000000000002E-2</v>
      </c>
      <c r="G23" s="6">
        <f>+F23*E23</f>
        <v>213.60000000000002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</row>
    <row r="24" spans="2:19" ht="21.75" x14ac:dyDescent="0.25">
      <c r="B24" s="141" t="s">
        <v>643</v>
      </c>
      <c r="C24" s="5"/>
      <c r="D24" s="5" t="s">
        <v>611</v>
      </c>
      <c r="E24" s="6">
        <v>6000</v>
      </c>
      <c r="F24" s="129">
        <f>26700/1000000</f>
        <v>2.6700000000000002E-2</v>
      </c>
      <c r="G24" s="6">
        <f>+F24*E24</f>
        <v>160.20000000000002</v>
      </c>
      <c r="I24" s="15" t="str">
        <f>+I12</f>
        <v>IN18</v>
      </c>
      <c r="J24" s="15"/>
      <c r="K24" s="109"/>
      <c r="L24" s="6"/>
      <c r="M24" s="6">
        <f>NPV($L$8,P24:Y24)+O24</f>
        <v>403.01886792452831</v>
      </c>
      <c r="N24" s="6">
        <f>-PMT($L$8,$N$8,M24)</f>
        <v>219.82135922330099</v>
      </c>
      <c r="O24" s="112">
        <v>0</v>
      </c>
      <c r="P24" s="112">
        <f>+G18</f>
        <v>427.20000000000005</v>
      </c>
      <c r="Q24" s="112"/>
    </row>
    <row r="25" spans="2:19" x14ac:dyDescent="0.25">
      <c r="B25" s="5"/>
      <c r="C25" s="5"/>
      <c r="D25" s="5"/>
      <c r="E25" s="30"/>
      <c r="F25" s="6"/>
      <c r="G25" s="6">
        <f>+F25*E25</f>
        <v>0</v>
      </c>
      <c r="I25" s="15" t="str">
        <f>+I13</f>
        <v>IN19</v>
      </c>
      <c r="J25" s="15"/>
      <c r="K25" s="109"/>
      <c r="L25" s="6"/>
      <c r="M25" s="6">
        <f>NPV($L$8,P25:Y25)+O25</f>
        <v>453.39622641509436</v>
      </c>
      <c r="N25" s="6">
        <f>-PMT($L$8,$N$8,M25)</f>
        <v>247.29902912621364</v>
      </c>
      <c r="O25" s="112">
        <v>0</v>
      </c>
      <c r="P25" s="112">
        <f>+G27</f>
        <v>480.6</v>
      </c>
      <c r="Q25" s="112"/>
    </row>
    <row r="26" spans="2:19" x14ac:dyDescent="0.25">
      <c r="B26" s="5"/>
      <c r="C26" s="5"/>
      <c r="D26" s="8"/>
      <c r="E26" s="31"/>
      <c r="F26" s="9"/>
      <c r="G26" s="6"/>
      <c r="I26" s="15" t="str">
        <f>+I14</f>
        <v>IN20</v>
      </c>
      <c r="J26" s="15"/>
      <c r="K26" s="109"/>
      <c r="L26" s="6"/>
      <c r="M26" s="6">
        <f>NPV($L$8,P26:Y26)+O26</f>
        <v>403.01886792452831</v>
      </c>
      <c r="N26" s="6">
        <f>-PMT($L$8,$N$8,M26)</f>
        <v>219.82135922330099</v>
      </c>
      <c r="O26" s="112">
        <v>0</v>
      </c>
      <c r="P26" s="112">
        <f>+G36</f>
        <v>427.20000000000005</v>
      </c>
      <c r="Q26" s="112"/>
    </row>
    <row r="27" spans="2:19" x14ac:dyDescent="0.25">
      <c r="B27" s="10" t="s">
        <v>2</v>
      </c>
      <c r="C27" s="11"/>
      <c r="D27" s="11"/>
      <c r="E27" s="12"/>
      <c r="F27" s="7"/>
      <c r="G27" s="24">
        <f>SUM(G22:G26)</f>
        <v>480.6</v>
      </c>
      <c r="I27" s="15" t="str">
        <f>+I15</f>
        <v>IN21</v>
      </c>
      <c r="J27" s="15"/>
      <c r="K27" s="109"/>
      <c r="L27" s="6"/>
      <c r="M27" s="6">
        <f>NPV($L$8,P27:Y27)+O27</f>
        <v>403.01886792452831</v>
      </c>
      <c r="N27" s="6">
        <f>-PMT($L$8,$N$8,M27)</f>
        <v>219.82135922330099</v>
      </c>
      <c r="O27" s="112">
        <v>0</v>
      </c>
      <c r="P27" s="112">
        <f>+G45</f>
        <v>427.20000000000005</v>
      </c>
      <c r="Q27" s="112"/>
    </row>
    <row r="29" spans="2:19" x14ac:dyDescent="0.25">
      <c r="B29" s="19" t="s">
        <v>3</v>
      </c>
      <c r="C29" s="20" t="s">
        <v>649</v>
      </c>
      <c r="D29" s="21"/>
      <c r="E29" s="21"/>
      <c r="F29" s="22" t="s">
        <v>1</v>
      </c>
      <c r="G29" s="22" t="s">
        <v>46</v>
      </c>
    </row>
    <row r="30" spans="2:19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</row>
    <row r="31" spans="2:19" x14ac:dyDescent="0.25">
      <c r="B31" s="141" t="s">
        <v>644</v>
      </c>
      <c r="C31" s="5"/>
      <c r="D31" s="5" t="s">
        <v>611</v>
      </c>
      <c r="E31" s="6">
        <v>4000</v>
      </c>
      <c r="F31" s="129">
        <f>26700/1000000</f>
        <v>2.6700000000000002E-2</v>
      </c>
      <c r="G31" s="6">
        <f>+F31*E31</f>
        <v>106.80000000000001</v>
      </c>
    </row>
    <row r="32" spans="2:19" ht="21.75" x14ac:dyDescent="0.25">
      <c r="B32" s="141" t="s">
        <v>642</v>
      </c>
      <c r="C32" s="5"/>
      <c r="D32" s="5" t="s">
        <v>611</v>
      </c>
      <c r="E32" s="6">
        <v>8000</v>
      </c>
      <c r="F32" s="129">
        <f>26700/1000000</f>
        <v>2.6700000000000002E-2</v>
      </c>
      <c r="G32" s="6">
        <f>+F32*E32</f>
        <v>213.60000000000002</v>
      </c>
    </row>
    <row r="33" spans="2:7" ht="21.75" x14ac:dyDescent="0.25">
      <c r="B33" s="141" t="s">
        <v>643</v>
      </c>
      <c r="C33" s="5"/>
      <c r="D33" s="5" t="s">
        <v>611</v>
      </c>
      <c r="E33" s="6">
        <v>4000</v>
      </c>
      <c r="F33" s="129">
        <f>26700/1000000</f>
        <v>2.6700000000000002E-2</v>
      </c>
      <c r="G33" s="6">
        <f>+F33*E33</f>
        <v>106.80000000000001</v>
      </c>
    </row>
    <row r="34" spans="2:7" x14ac:dyDescent="0.25">
      <c r="B34" s="5"/>
      <c r="C34" s="5"/>
      <c r="D34" s="5"/>
      <c r="E34" s="6"/>
      <c r="F34" s="6"/>
      <c r="G34" s="6">
        <f>+F34*E34</f>
        <v>0</v>
      </c>
    </row>
    <row r="35" spans="2:7" x14ac:dyDescent="0.25">
      <c r="B35" s="8"/>
      <c r="C35" s="8"/>
      <c r="D35" s="8"/>
      <c r="E35" s="9"/>
      <c r="F35" s="9"/>
      <c r="G35" s="6">
        <f>+F35*E35</f>
        <v>0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427.20000000000005</v>
      </c>
    </row>
    <row r="38" spans="2:7" x14ac:dyDescent="0.25">
      <c r="B38" s="19" t="s">
        <v>3</v>
      </c>
      <c r="C38" s="20" t="s">
        <v>650</v>
      </c>
      <c r="D38" s="21"/>
      <c r="E38" s="21"/>
      <c r="F38" s="22" t="s">
        <v>1</v>
      </c>
      <c r="G38" s="22" t="s">
        <v>47</v>
      </c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141" t="s">
        <v>644</v>
      </c>
      <c r="C40" s="5"/>
      <c r="D40" s="5" t="s">
        <v>611</v>
      </c>
      <c r="E40" s="6">
        <v>4000</v>
      </c>
      <c r="F40" s="129">
        <f>26700/1000000</f>
        <v>2.6700000000000002E-2</v>
      </c>
      <c r="G40" s="6">
        <f>+F40*E40</f>
        <v>106.80000000000001</v>
      </c>
    </row>
    <row r="41" spans="2:7" ht="21.75" x14ac:dyDescent="0.25">
      <c r="B41" s="141" t="s">
        <v>642</v>
      </c>
      <c r="C41" s="5"/>
      <c r="D41" s="5" t="s">
        <v>611</v>
      </c>
      <c r="E41" s="6">
        <v>8000</v>
      </c>
      <c r="F41" s="129">
        <f>26700/1000000</f>
        <v>2.6700000000000002E-2</v>
      </c>
      <c r="G41" s="6">
        <f>+F41*E41</f>
        <v>213.60000000000002</v>
      </c>
    </row>
    <row r="42" spans="2:7" ht="21.75" x14ac:dyDescent="0.25">
      <c r="B42" s="141" t="s">
        <v>643</v>
      </c>
      <c r="C42" s="5"/>
      <c r="D42" s="5" t="s">
        <v>611</v>
      </c>
      <c r="E42" s="6">
        <v>4000</v>
      </c>
      <c r="F42" s="129">
        <f>26700/1000000</f>
        <v>2.6700000000000002E-2</v>
      </c>
      <c r="G42" s="6">
        <f>+F42*E42</f>
        <v>106.80000000000001</v>
      </c>
    </row>
    <row r="43" spans="2:7" x14ac:dyDescent="0.25">
      <c r="B43" s="5"/>
      <c r="C43" s="5"/>
      <c r="D43" s="5"/>
      <c r="E43" s="6"/>
      <c r="F43" s="6"/>
      <c r="G43" s="6">
        <f>+F43*E43</f>
        <v>0</v>
      </c>
    </row>
    <row r="44" spans="2:7" x14ac:dyDescent="0.25">
      <c r="B44" s="8"/>
      <c r="C44" s="8"/>
      <c r="D44" s="8"/>
      <c r="E44" s="9"/>
      <c r="F44" s="9"/>
      <c r="G44" s="6">
        <f>+F44*E44</f>
        <v>0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427.20000000000005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769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7697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2:S55"/>
  <sheetViews>
    <sheetView showGridLines="0" workbookViewId="0">
      <pane xSplit="8" ySplit="11" topLeftCell="I15" activePane="bottomRight" state="frozen"/>
      <selection activeCell="F25" sqref="F25"/>
      <selection pane="topRight" activeCell="F25" sqref="F25"/>
      <selection pane="bottomLeft" activeCell="F25" sqref="F25"/>
      <selection pane="bottomRight" activeCell="E19" sqref="E19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2.5" customHeight="1" x14ac:dyDescent="0.25">
      <c r="B6" s="306" t="s">
        <v>81</v>
      </c>
      <c r="C6" s="306"/>
      <c r="D6" s="307" t="s">
        <v>163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06"/>
      <c r="C7" s="306"/>
      <c r="D7" s="306" t="s">
        <v>168</v>
      </c>
      <c r="E7" s="306"/>
      <c r="F7" s="306"/>
      <c r="G7" s="306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167</v>
      </c>
      <c r="C8" s="309"/>
      <c r="D8" s="309"/>
      <c r="E8" s="309"/>
      <c r="F8" s="309"/>
      <c r="G8" s="18" t="s">
        <v>369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48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IN22</v>
      </c>
      <c r="J12" s="5" t="s">
        <v>118</v>
      </c>
      <c r="K12" s="6">
        <f>SUM(L12:S12)</f>
        <v>453.9</v>
      </c>
      <c r="L12" s="6"/>
      <c r="M12" s="6">
        <f>+G19*0.5</f>
        <v>226.95</v>
      </c>
      <c r="N12" s="6">
        <f>+M12</f>
        <v>226.95</v>
      </c>
      <c r="O12" s="6"/>
      <c r="P12" s="6"/>
      <c r="Q12" s="6"/>
      <c r="R12" s="6"/>
      <c r="S12" s="6"/>
    </row>
    <row r="13" spans="2:19" x14ac:dyDescent="0.25">
      <c r="B13" s="5" t="s">
        <v>652</v>
      </c>
      <c r="C13" s="5"/>
      <c r="D13" s="5" t="s">
        <v>611</v>
      </c>
      <c r="E13" s="6">
        <v>3000</v>
      </c>
      <c r="F13" s="129">
        <f t="shared" ref="F13:F18" si="0">26700/1000000</f>
        <v>2.6700000000000002E-2</v>
      </c>
      <c r="G13" s="6">
        <f t="shared" ref="G13:G18" si="1">+F13*E13</f>
        <v>80.100000000000009</v>
      </c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653</v>
      </c>
      <c r="C14" s="5"/>
      <c r="D14" s="5" t="s">
        <v>611</v>
      </c>
      <c r="E14" s="6">
        <v>2000</v>
      </c>
      <c r="F14" s="129">
        <f t="shared" si="0"/>
        <v>2.6700000000000002E-2</v>
      </c>
      <c r="G14" s="6">
        <f t="shared" si="1"/>
        <v>53.400000000000006</v>
      </c>
      <c r="I14" s="5"/>
      <c r="J14" s="5"/>
      <c r="K14" s="6">
        <f t="shared" ref="K14:K19" si="2">SUM(L14:S14)</f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654</v>
      </c>
      <c r="C15" s="5"/>
      <c r="D15" s="5" t="s">
        <v>611</v>
      </c>
      <c r="E15" s="6">
        <v>4000</v>
      </c>
      <c r="F15" s="129">
        <f t="shared" si="0"/>
        <v>2.6700000000000002E-2</v>
      </c>
      <c r="G15" s="6">
        <f t="shared" si="1"/>
        <v>106.80000000000001</v>
      </c>
      <c r="I15" s="5"/>
      <c r="J15" s="5"/>
      <c r="K15" s="6">
        <f t="shared" si="2"/>
        <v>0</v>
      </c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655</v>
      </c>
      <c r="C16" s="5"/>
      <c r="D16" s="5" t="s">
        <v>611</v>
      </c>
      <c r="E16" s="6">
        <v>4000</v>
      </c>
      <c r="F16" s="129">
        <f t="shared" si="0"/>
        <v>2.6700000000000002E-2</v>
      </c>
      <c r="G16" s="6">
        <f t="shared" si="1"/>
        <v>106.80000000000001</v>
      </c>
      <c r="I16" s="5"/>
      <c r="J16" s="5"/>
      <c r="K16" s="6">
        <f t="shared" si="2"/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5" t="s">
        <v>657</v>
      </c>
      <c r="C17" s="5"/>
      <c r="D17" s="5" t="s">
        <v>611</v>
      </c>
      <c r="E17" s="6">
        <v>2000</v>
      </c>
      <c r="F17" s="129">
        <f t="shared" si="0"/>
        <v>2.6700000000000002E-2</v>
      </c>
      <c r="G17" s="6">
        <f t="shared" si="1"/>
        <v>53.400000000000006</v>
      </c>
      <c r="I17" s="5"/>
      <c r="J17" s="5"/>
      <c r="K17" s="6">
        <f t="shared" si="2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5" t="s">
        <v>656</v>
      </c>
      <c r="C18" s="5"/>
      <c r="D18" s="5" t="s">
        <v>611</v>
      </c>
      <c r="E18" s="6">
        <v>2000</v>
      </c>
      <c r="F18" s="129">
        <f t="shared" si="0"/>
        <v>2.6700000000000002E-2</v>
      </c>
      <c r="G18" s="6">
        <f t="shared" si="1"/>
        <v>53.400000000000006</v>
      </c>
      <c r="I18" s="5"/>
      <c r="J18" s="5"/>
      <c r="K18" s="6">
        <f t="shared" si="2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79" t="s">
        <v>121</v>
      </c>
      <c r="C19" s="2"/>
      <c r="D19" s="2"/>
      <c r="E19" s="192">
        <f>SUM(E13:E18)</f>
        <v>17000</v>
      </c>
      <c r="F19" s="2"/>
      <c r="G19" s="6">
        <f>SUM(G13:G18)</f>
        <v>453.9</v>
      </c>
      <c r="I19" s="5"/>
      <c r="J19" s="5"/>
      <c r="K19" s="6">
        <f t="shared" si="2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453.9</v>
      </c>
      <c r="L20" s="16">
        <f t="shared" ref="L20:S20" si="3">SUM(L12:L19)</f>
        <v>0</v>
      </c>
      <c r="M20" s="16">
        <f t="shared" si="3"/>
        <v>226.95</v>
      </c>
      <c r="N20" s="16">
        <f t="shared" si="3"/>
        <v>226.95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f t="shared" si="3"/>
        <v>0</v>
      </c>
      <c r="S20" s="16">
        <f t="shared" si="3"/>
        <v>0</v>
      </c>
    </row>
    <row r="21" spans="2:19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67"/>
      <c r="C22" s="67"/>
      <c r="D22" s="67"/>
      <c r="E22" s="145"/>
      <c r="F22" s="66"/>
      <c r="G22" s="66"/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</row>
    <row r="23" spans="2:19" x14ac:dyDescent="0.25">
      <c r="B23" s="67"/>
      <c r="C23" s="67"/>
      <c r="D23" s="67"/>
      <c r="E23" s="145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</row>
    <row r="24" spans="2:19" x14ac:dyDescent="0.25">
      <c r="B24" s="67"/>
      <c r="C24" s="67"/>
      <c r="D24" s="67"/>
      <c r="E24" s="145"/>
      <c r="F24" s="66"/>
      <c r="G24" s="66"/>
      <c r="I24" s="15" t="str">
        <f>+I12</f>
        <v>IN22</v>
      </c>
      <c r="J24" s="15"/>
      <c r="K24" s="109"/>
      <c r="L24" s="6"/>
      <c r="M24" s="6">
        <f>NPV($L$8,P24:Y24)+O24</f>
        <v>428.20754716981128</v>
      </c>
      <c r="N24" s="6">
        <f>-PMT($L$8,$N$8,M24)</f>
        <v>233.5601941747573</v>
      </c>
      <c r="O24" s="112">
        <v>0</v>
      </c>
      <c r="P24" s="112">
        <f>+G19</f>
        <v>453.9</v>
      </c>
      <c r="Q24" s="112"/>
    </row>
    <row r="25" spans="2:19" x14ac:dyDescent="0.25">
      <c r="B25" s="67"/>
      <c r="C25" s="67"/>
      <c r="D25" s="67"/>
      <c r="E25" s="145"/>
      <c r="F25" s="66"/>
      <c r="G25" s="66"/>
      <c r="I25" s="15"/>
      <c r="J25" s="15"/>
      <c r="K25" s="109"/>
      <c r="L25" s="6"/>
      <c r="M25" s="6"/>
      <c r="N25" s="6"/>
      <c r="O25" s="112"/>
      <c r="P25" s="112"/>
      <c r="Q25" s="112"/>
    </row>
    <row r="26" spans="2:19" x14ac:dyDescent="0.25">
      <c r="B26" s="67"/>
      <c r="C26" s="67"/>
      <c r="D26" s="67"/>
      <c r="E26" s="145"/>
      <c r="F26" s="66"/>
      <c r="G26" s="66"/>
      <c r="I26" s="15"/>
      <c r="J26" s="15"/>
      <c r="K26" s="109"/>
      <c r="L26" s="6"/>
      <c r="M26" s="6"/>
      <c r="N26" s="6"/>
      <c r="O26" s="112"/>
      <c r="P26" s="112"/>
      <c r="Q26" s="112"/>
    </row>
    <row r="27" spans="2:19" x14ac:dyDescent="0.25">
      <c r="B27" s="67"/>
      <c r="C27" s="67"/>
      <c r="D27" s="67"/>
      <c r="E27" s="66"/>
      <c r="F27" s="66"/>
      <c r="G27" s="146"/>
      <c r="I27" s="15"/>
      <c r="J27" s="15"/>
      <c r="K27" s="109"/>
      <c r="L27" s="6"/>
      <c r="M27" s="6"/>
      <c r="N27" s="6"/>
      <c r="O27" s="112"/>
      <c r="P27" s="112"/>
      <c r="Q27" s="112"/>
    </row>
    <row r="28" spans="2:19" x14ac:dyDescent="0.25">
      <c r="B28" s="72"/>
      <c r="C28" s="72"/>
      <c r="D28" s="72"/>
      <c r="E28" s="72"/>
      <c r="F28" s="72"/>
      <c r="G28" s="72"/>
    </row>
    <row r="29" spans="2:19" x14ac:dyDescent="0.25">
      <c r="B29" s="65"/>
      <c r="C29" s="142"/>
      <c r="D29" s="142"/>
      <c r="E29" s="142"/>
      <c r="F29" s="142"/>
      <c r="G29" s="142"/>
    </row>
    <row r="30" spans="2:19" x14ac:dyDescent="0.25">
      <c r="B30" s="143"/>
      <c r="C30" s="144"/>
      <c r="D30" s="144"/>
      <c r="E30" s="144"/>
      <c r="F30" s="144"/>
      <c r="G30" s="144"/>
    </row>
    <row r="31" spans="2:19" x14ac:dyDescent="0.25">
      <c r="B31" s="67"/>
      <c r="C31" s="67"/>
      <c r="D31" s="67"/>
      <c r="E31" s="66"/>
      <c r="F31" s="66"/>
      <c r="G31" s="66"/>
    </row>
    <row r="32" spans="2:19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72"/>
      <c r="C55" s="72"/>
      <c r="D55" s="72"/>
      <c r="E55" s="72"/>
      <c r="F55" s="72"/>
      <c r="G55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3516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35169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S72"/>
  <sheetViews>
    <sheetView showGridLines="0" workbookViewId="0">
      <pane xSplit="8" ySplit="11" topLeftCell="L18" activePane="bottomRight" state="frozen"/>
      <selection activeCell="F25" sqref="F25"/>
      <selection pane="topRight" activeCell="F25" sqref="F25"/>
      <selection pane="bottomLeft" activeCell="F25" sqref="F25"/>
      <selection pane="bottomRight" activeCell="Q18" sqref="Q18"/>
    </sheetView>
  </sheetViews>
  <sheetFormatPr baseColWidth="10" defaultRowHeight="15" x14ac:dyDescent="0.25"/>
  <cols>
    <col min="1" max="1" width="4" customWidth="1"/>
    <col min="2" max="2" width="22.85546875" customWidth="1"/>
    <col min="6" max="6" width="14.28515625" customWidth="1"/>
    <col min="8" max="8" width="2.85546875" customWidth="1"/>
    <col min="9" max="9" width="12.57031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81</v>
      </c>
      <c r="C6" s="306"/>
      <c r="D6" s="307" t="s">
        <v>171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170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169</v>
      </c>
      <c r="C8" s="309"/>
      <c r="D8" s="309"/>
      <c r="E8" s="309"/>
      <c r="F8" s="309"/>
      <c r="G8" s="18" t="s">
        <v>370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 t="s">
        <v>384</v>
      </c>
      <c r="D11" s="21"/>
      <c r="E11" s="21"/>
      <c r="F11" s="22" t="s">
        <v>268</v>
      </c>
      <c r="G11" s="22" t="s">
        <v>760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661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77" t="s">
        <v>355</v>
      </c>
      <c r="J12" s="5" t="s">
        <v>118</v>
      </c>
      <c r="K12" s="6">
        <f>SUM(L12:S12)</f>
        <v>220</v>
      </c>
      <c r="L12" s="6"/>
      <c r="M12" s="6"/>
      <c r="N12" s="6">
        <v>110</v>
      </c>
      <c r="O12" s="6">
        <v>110</v>
      </c>
      <c r="P12" s="6"/>
      <c r="Q12" s="6"/>
      <c r="R12" s="6"/>
      <c r="S12" s="6"/>
    </row>
    <row r="13" spans="1:19" ht="45.75" x14ac:dyDescent="0.25">
      <c r="A13" s="5" t="s">
        <v>762</v>
      </c>
      <c r="B13" s="82" t="s">
        <v>373</v>
      </c>
      <c r="C13" s="5"/>
      <c r="D13" s="5" t="s">
        <v>90</v>
      </c>
      <c r="E13" s="6">
        <v>1</v>
      </c>
      <c r="F13" s="30">
        <v>230</v>
      </c>
      <c r="G13" s="30">
        <f t="shared" ref="G13:G16" si="0">+F13*E13</f>
        <v>230</v>
      </c>
      <c r="I13" s="77" t="s">
        <v>356</v>
      </c>
      <c r="J13" s="5" t="s">
        <v>118</v>
      </c>
      <c r="K13" s="6">
        <f t="shared" ref="K13:K19" si="1">SUM(L13:S13)</f>
        <v>220</v>
      </c>
      <c r="L13" s="6"/>
      <c r="M13" s="6"/>
      <c r="N13" s="6"/>
      <c r="O13" s="6">
        <v>110</v>
      </c>
      <c r="P13" s="6">
        <v>110</v>
      </c>
      <c r="Q13" s="6"/>
      <c r="R13" s="6"/>
      <c r="S13" s="6">
        <f>+Q13</f>
        <v>0</v>
      </c>
    </row>
    <row r="14" spans="1:19" ht="34.5" x14ac:dyDescent="0.25">
      <c r="A14" s="5" t="s">
        <v>763</v>
      </c>
      <c r="B14" s="82" t="s">
        <v>376</v>
      </c>
      <c r="C14" s="5"/>
      <c r="D14" s="5" t="s">
        <v>90</v>
      </c>
      <c r="E14" s="6">
        <v>1</v>
      </c>
      <c r="F14" s="30">
        <v>230</v>
      </c>
      <c r="G14" s="30">
        <f t="shared" si="0"/>
        <v>230</v>
      </c>
      <c r="I14" s="77" t="s">
        <v>359</v>
      </c>
      <c r="J14" s="5" t="s">
        <v>118</v>
      </c>
      <c r="K14" s="6">
        <f t="shared" si="1"/>
        <v>220</v>
      </c>
      <c r="L14" s="6"/>
      <c r="M14" s="6"/>
      <c r="N14" s="6"/>
      <c r="O14" s="6"/>
      <c r="P14" s="6">
        <v>110</v>
      </c>
      <c r="Q14" s="6">
        <v>110</v>
      </c>
      <c r="R14" s="6"/>
      <c r="S14" s="6"/>
    </row>
    <row r="15" spans="1:19" ht="45.75" x14ac:dyDescent="0.25">
      <c r="A15" s="5" t="s">
        <v>764</v>
      </c>
      <c r="B15" s="82" t="s">
        <v>379</v>
      </c>
      <c r="C15" s="5"/>
      <c r="D15" s="5" t="s">
        <v>90</v>
      </c>
      <c r="E15" s="6">
        <v>1</v>
      </c>
      <c r="F15" s="30">
        <v>230</v>
      </c>
      <c r="G15" s="30">
        <f t="shared" si="0"/>
        <v>230</v>
      </c>
      <c r="I15" s="77" t="s">
        <v>371</v>
      </c>
      <c r="J15" s="5" t="s">
        <v>118</v>
      </c>
      <c r="K15" s="6">
        <f t="shared" si="1"/>
        <v>220</v>
      </c>
      <c r="L15" s="6"/>
      <c r="M15" s="6"/>
      <c r="N15" s="6"/>
      <c r="O15" s="6"/>
      <c r="P15" s="6"/>
      <c r="Q15" s="6">
        <v>220</v>
      </c>
      <c r="R15" s="6"/>
      <c r="S15" s="6"/>
    </row>
    <row r="16" spans="1:19" ht="90.75" x14ac:dyDescent="0.25">
      <c r="A16" s="5" t="s">
        <v>765</v>
      </c>
      <c r="B16" s="82" t="s">
        <v>382</v>
      </c>
      <c r="C16" s="5"/>
      <c r="D16" s="5" t="s">
        <v>90</v>
      </c>
      <c r="E16" s="6">
        <v>1</v>
      </c>
      <c r="F16" s="30">
        <v>230</v>
      </c>
      <c r="G16" s="30">
        <f t="shared" si="0"/>
        <v>230</v>
      </c>
      <c r="I16" s="77" t="s">
        <v>372</v>
      </c>
      <c r="J16" s="5" t="s">
        <v>118</v>
      </c>
      <c r="K16" s="6">
        <f t="shared" si="1"/>
        <v>200</v>
      </c>
      <c r="L16" s="6">
        <v>150</v>
      </c>
      <c r="M16" s="6">
        <v>50</v>
      </c>
      <c r="N16" s="6"/>
      <c r="O16" s="6"/>
      <c r="P16" s="6"/>
      <c r="Q16" s="6"/>
      <c r="R16" s="6"/>
      <c r="S16" s="6">
        <f>+Q16</f>
        <v>0</v>
      </c>
    </row>
    <row r="17" spans="2:19" x14ac:dyDescent="0.25">
      <c r="B17" s="10" t="s">
        <v>2</v>
      </c>
      <c r="C17" s="11"/>
      <c r="D17" s="11"/>
      <c r="E17" s="12"/>
      <c r="F17" s="7"/>
      <c r="G17" s="40">
        <f>SUM(G10:G16)</f>
        <v>920</v>
      </c>
      <c r="I17" s="5" t="str">
        <f>+G21</f>
        <v>IN23</v>
      </c>
      <c r="J17" s="5" t="s">
        <v>118</v>
      </c>
      <c r="K17" s="6">
        <f t="shared" si="1"/>
        <v>230</v>
      </c>
      <c r="L17" s="5"/>
      <c r="M17" s="16"/>
      <c r="N17" s="5"/>
      <c r="O17" s="5"/>
      <c r="P17" s="5"/>
      <c r="Q17" s="204">
        <f>+G30</f>
        <v>230</v>
      </c>
      <c r="R17" s="204"/>
      <c r="S17" s="5"/>
    </row>
    <row r="18" spans="2:19" x14ac:dyDescent="0.25">
      <c r="B18" s="73"/>
      <c r="C18" s="73"/>
      <c r="D18" s="73"/>
      <c r="E18" s="73"/>
      <c r="F18" s="73"/>
      <c r="G18" s="73"/>
      <c r="I18" s="5" t="str">
        <f>+G32</f>
        <v>IN24</v>
      </c>
      <c r="J18" s="5" t="s">
        <v>118</v>
      </c>
      <c r="K18" s="6">
        <f t="shared" si="1"/>
        <v>230</v>
      </c>
      <c r="L18" s="5"/>
      <c r="M18" s="5"/>
      <c r="N18" s="5"/>
      <c r="O18" s="5">
        <f>+P18</f>
        <v>115</v>
      </c>
      <c r="P18" s="5">
        <f>+G41*0.5</f>
        <v>115</v>
      </c>
      <c r="Q18" s="204"/>
      <c r="R18" s="5"/>
      <c r="S18" s="5"/>
    </row>
    <row r="19" spans="2:19" x14ac:dyDescent="0.25">
      <c r="B19" s="73"/>
      <c r="C19" s="73"/>
      <c r="D19" s="73"/>
      <c r="E19" s="73"/>
      <c r="F19" s="73"/>
      <c r="G19" s="73"/>
      <c r="I19" s="5"/>
      <c r="J19" s="5"/>
      <c r="K19" s="6">
        <f t="shared" si="1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73"/>
      <c r="C20" s="73"/>
      <c r="D20" s="73"/>
      <c r="E20" s="73"/>
      <c r="F20" s="73"/>
      <c r="G20" s="73"/>
      <c r="I20" s="17" t="s">
        <v>2</v>
      </c>
      <c r="J20" s="14"/>
      <c r="K20" s="16">
        <f>SUM(K12:K19)</f>
        <v>1540</v>
      </c>
      <c r="L20" s="16">
        <f t="shared" ref="L20:S20" si="2">SUM(L12:L19)</f>
        <v>150</v>
      </c>
      <c r="M20" s="16">
        <f t="shared" si="2"/>
        <v>50</v>
      </c>
      <c r="N20" s="16">
        <f t="shared" si="2"/>
        <v>110</v>
      </c>
      <c r="O20" s="16">
        <f t="shared" si="2"/>
        <v>335</v>
      </c>
      <c r="P20" s="16">
        <f t="shared" si="2"/>
        <v>335</v>
      </c>
      <c r="Q20" s="16">
        <f t="shared" si="2"/>
        <v>560</v>
      </c>
      <c r="R20" s="16">
        <f t="shared" si="2"/>
        <v>0</v>
      </c>
      <c r="S20" s="16">
        <f t="shared" si="2"/>
        <v>0</v>
      </c>
    </row>
    <row r="21" spans="2:19" x14ac:dyDescent="0.25">
      <c r="B21" s="187" t="s">
        <v>3</v>
      </c>
      <c r="C21" s="188" t="s">
        <v>384</v>
      </c>
      <c r="D21" s="189"/>
      <c r="E21" s="189"/>
      <c r="F21" s="190" t="s">
        <v>268</v>
      </c>
      <c r="G21" s="190" t="s">
        <v>49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ht="23.25" x14ac:dyDescent="0.25">
      <c r="B22" s="3" t="s">
        <v>661</v>
      </c>
      <c r="C22" s="4" t="s">
        <v>11</v>
      </c>
      <c r="D22" s="4" t="s">
        <v>9</v>
      </c>
      <c r="E22" s="4" t="s">
        <v>10</v>
      </c>
      <c r="F22" s="4" t="s">
        <v>14</v>
      </c>
      <c r="G22" s="4" t="s">
        <v>12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</row>
    <row r="23" spans="2:19" x14ac:dyDescent="0.25">
      <c r="B23" s="5" t="s">
        <v>662</v>
      </c>
      <c r="C23" s="5"/>
      <c r="D23" s="5" t="s">
        <v>128</v>
      </c>
      <c r="E23" s="6">
        <v>24</v>
      </c>
      <c r="F23" s="30">
        <v>2</v>
      </c>
      <c r="G23" s="30">
        <f t="shared" ref="G23:G29" si="3">+F23*E23</f>
        <v>48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</row>
    <row r="24" spans="2:19" x14ac:dyDescent="0.25">
      <c r="B24" s="5" t="s">
        <v>663</v>
      </c>
      <c r="C24" s="5"/>
      <c r="D24" s="5" t="s">
        <v>128</v>
      </c>
      <c r="E24" s="6">
        <v>24</v>
      </c>
      <c r="F24" s="30">
        <v>2</v>
      </c>
      <c r="G24" s="30">
        <f t="shared" si="3"/>
        <v>48</v>
      </c>
      <c r="I24" s="15" t="str">
        <f>+I12</f>
        <v>CA25</v>
      </c>
      <c r="J24" s="15"/>
      <c r="K24" s="109"/>
      <c r="L24" s="6"/>
      <c r="M24" s="6">
        <f>NPV($L$8,P24:Y24)+O24</f>
        <v>201.67319330722674</v>
      </c>
      <c r="N24" s="6">
        <f>-PMT($L$8,$N$8,M24)</f>
        <v>109.99999999999999</v>
      </c>
      <c r="O24" s="112">
        <v>0</v>
      </c>
      <c r="P24" s="112">
        <v>110</v>
      </c>
      <c r="Q24" s="112">
        <v>110</v>
      </c>
    </row>
    <row r="25" spans="2:19" x14ac:dyDescent="0.25">
      <c r="B25" s="5" t="s">
        <v>664</v>
      </c>
      <c r="C25" s="5"/>
      <c r="D25" s="5" t="s">
        <v>128</v>
      </c>
      <c r="E25" s="6">
        <v>24</v>
      </c>
      <c r="F25" s="30">
        <v>1</v>
      </c>
      <c r="G25" s="30">
        <f t="shared" si="3"/>
        <v>24</v>
      </c>
      <c r="I25" s="15" t="str">
        <f t="shared" ref="I25:I29" si="4">+I13</f>
        <v>CA26</v>
      </c>
      <c r="J25" s="15"/>
      <c r="K25" s="109"/>
      <c r="L25" s="6"/>
      <c r="M25" s="6">
        <f>NPV($L$8,P25:Y25)+O25</f>
        <v>201.67319330722674</v>
      </c>
      <c r="N25" s="6">
        <f>-PMT($L$8,$N$8,M25)</f>
        <v>109.99999999999999</v>
      </c>
      <c r="O25" s="112">
        <v>0</v>
      </c>
      <c r="P25" s="112">
        <v>110</v>
      </c>
      <c r="Q25" s="112">
        <v>110</v>
      </c>
    </row>
    <row r="26" spans="2:19" x14ac:dyDescent="0.25">
      <c r="B26" s="5" t="s">
        <v>665</v>
      </c>
      <c r="C26" s="5"/>
      <c r="D26" s="5" t="s">
        <v>128</v>
      </c>
      <c r="E26" s="6">
        <v>24</v>
      </c>
      <c r="F26" s="30">
        <v>1</v>
      </c>
      <c r="G26" s="30">
        <f t="shared" si="3"/>
        <v>24</v>
      </c>
      <c r="I26" s="15" t="str">
        <f t="shared" si="4"/>
        <v>CA27</v>
      </c>
      <c r="J26" s="15"/>
      <c r="K26" s="109"/>
      <c r="L26" s="6"/>
      <c r="M26" s="6">
        <f t="shared" ref="M26:M30" si="5">NPV($L$8,P26:Y26)+O26</f>
        <v>201.67319330722674</v>
      </c>
      <c r="N26" s="6">
        <f t="shared" ref="N26:N30" si="6">-PMT($L$8,$N$8,M26)</f>
        <v>109.99999999999999</v>
      </c>
      <c r="O26" s="112">
        <v>0</v>
      </c>
      <c r="P26" s="112">
        <v>110</v>
      </c>
      <c r="Q26" s="112">
        <v>110</v>
      </c>
    </row>
    <row r="27" spans="2:19" x14ac:dyDescent="0.25">
      <c r="B27" s="8" t="s">
        <v>666</v>
      </c>
      <c r="C27" s="8"/>
      <c r="D27" s="5" t="s">
        <v>128</v>
      </c>
      <c r="E27" s="6">
        <v>24</v>
      </c>
      <c r="F27" s="30">
        <v>0.6</v>
      </c>
      <c r="G27" s="30">
        <f t="shared" si="3"/>
        <v>14.399999999999999</v>
      </c>
      <c r="I27" s="15" t="str">
        <f t="shared" si="4"/>
        <v>CA28</v>
      </c>
      <c r="J27" s="15"/>
      <c r="K27" s="109"/>
      <c r="L27" s="6"/>
      <c r="M27" s="6">
        <f t="shared" si="5"/>
        <v>201.67319330722674</v>
      </c>
      <c r="N27" s="6">
        <f t="shared" si="6"/>
        <v>109.99999999999999</v>
      </c>
      <c r="O27" s="112">
        <v>0</v>
      </c>
      <c r="P27" s="112">
        <v>110</v>
      </c>
      <c r="Q27" s="112">
        <v>110</v>
      </c>
    </row>
    <row r="28" spans="2:19" x14ac:dyDescent="0.25">
      <c r="B28" s="8" t="s">
        <v>667</v>
      </c>
      <c r="C28" s="8"/>
      <c r="D28" s="5" t="s">
        <v>128</v>
      </c>
      <c r="E28" s="6">
        <v>24</v>
      </c>
      <c r="F28" s="30">
        <v>1.5</v>
      </c>
      <c r="G28" s="30">
        <f t="shared" si="3"/>
        <v>36</v>
      </c>
      <c r="I28" s="15" t="str">
        <f t="shared" si="4"/>
        <v>CA29</v>
      </c>
      <c r="J28" s="2"/>
      <c r="K28" s="2"/>
      <c r="L28" s="2"/>
      <c r="M28" s="6">
        <f t="shared" si="5"/>
        <v>186.00925596297614</v>
      </c>
      <c r="N28" s="6">
        <f t="shared" si="6"/>
        <v>101.45631067961166</v>
      </c>
      <c r="O28" s="112">
        <v>0</v>
      </c>
      <c r="P28" s="112">
        <v>150</v>
      </c>
      <c r="Q28" s="112">
        <v>50</v>
      </c>
    </row>
    <row r="29" spans="2:19" x14ac:dyDescent="0.25">
      <c r="B29" s="8" t="s">
        <v>113</v>
      </c>
      <c r="C29" s="8"/>
      <c r="D29" s="8" t="s">
        <v>90</v>
      </c>
      <c r="E29" s="9">
        <v>1</v>
      </c>
      <c r="F29" s="30">
        <v>35.6</v>
      </c>
      <c r="G29" s="30">
        <f t="shared" si="3"/>
        <v>35.6</v>
      </c>
      <c r="I29" s="15" t="str">
        <f t="shared" si="4"/>
        <v>IN23</v>
      </c>
      <c r="J29" s="2"/>
      <c r="K29" s="2"/>
      <c r="L29" s="2"/>
      <c r="M29" s="6">
        <f t="shared" si="5"/>
        <v>210.84015663937342</v>
      </c>
      <c r="N29" s="6">
        <f t="shared" si="6"/>
        <v>115</v>
      </c>
      <c r="O29" s="112">
        <v>0</v>
      </c>
      <c r="P29" s="112">
        <v>115</v>
      </c>
      <c r="Q29" s="112">
        <f t="shared" ref="Q29:Q30" si="7">+P29</f>
        <v>115</v>
      </c>
    </row>
    <row r="30" spans="2:19" x14ac:dyDescent="0.25">
      <c r="B30" s="10" t="s">
        <v>2</v>
      </c>
      <c r="C30" s="11"/>
      <c r="D30" s="11"/>
      <c r="E30" s="12"/>
      <c r="F30" s="7"/>
      <c r="G30" s="40">
        <f>SUM(G23:G29)</f>
        <v>230</v>
      </c>
      <c r="I30" s="15" t="str">
        <f>+I18</f>
        <v>IN24</v>
      </c>
      <c r="J30" s="2"/>
      <c r="K30" s="2"/>
      <c r="L30" s="2"/>
      <c r="M30" s="6">
        <f t="shared" si="5"/>
        <v>210.84015663937342</v>
      </c>
      <c r="N30" s="6">
        <f t="shared" si="6"/>
        <v>115</v>
      </c>
      <c r="O30" s="112">
        <v>0</v>
      </c>
      <c r="P30" s="112">
        <v>115</v>
      </c>
      <c r="Q30" s="112">
        <f t="shared" si="7"/>
        <v>115</v>
      </c>
    </row>
    <row r="32" spans="2:19" x14ac:dyDescent="0.25">
      <c r="B32" s="19" t="s">
        <v>3</v>
      </c>
      <c r="C32" s="20" t="s">
        <v>82</v>
      </c>
      <c r="D32" s="21"/>
      <c r="E32" s="21"/>
      <c r="F32" s="22" t="s">
        <v>268</v>
      </c>
      <c r="G32" s="22" t="s">
        <v>50</v>
      </c>
    </row>
    <row r="33" spans="2:7" ht="23.25" x14ac:dyDescent="0.25">
      <c r="B33" s="3" t="s">
        <v>13</v>
      </c>
      <c r="C33" s="4" t="s">
        <v>11</v>
      </c>
      <c r="D33" s="4" t="s">
        <v>9</v>
      </c>
      <c r="E33" s="4" t="s">
        <v>104</v>
      </c>
      <c r="F33" s="4" t="s">
        <v>14</v>
      </c>
      <c r="G33" s="4" t="s">
        <v>12</v>
      </c>
    </row>
    <row r="34" spans="2:7" x14ac:dyDescent="0.25">
      <c r="B34" s="5" t="s">
        <v>662</v>
      </c>
      <c r="C34" s="5"/>
      <c r="D34" s="5" t="s">
        <v>128</v>
      </c>
      <c r="E34" s="6">
        <v>24</v>
      </c>
      <c r="F34" s="30">
        <v>2</v>
      </c>
      <c r="G34" s="30">
        <f>+F34*E34</f>
        <v>48</v>
      </c>
    </row>
    <row r="35" spans="2:7" x14ac:dyDescent="0.25">
      <c r="B35" s="5" t="s">
        <v>663</v>
      </c>
      <c r="C35" s="5"/>
      <c r="D35" s="5" t="s">
        <v>128</v>
      </c>
      <c r="E35" s="6">
        <v>24</v>
      </c>
      <c r="F35" s="30">
        <v>2</v>
      </c>
      <c r="G35" s="30">
        <f t="shared" ref="G35:G40" si="8">+F35*E35</f>
        <v>48</v>
      </c>
    </row>
    <row r="36" spans="2:7" x14ac:dyDescent="0.25">
      <c r="B36" s="5" t="s">
        <v>664</v>
      </c>
      <c r="C36" s="5"/>
      <c r="D36" s="5" t="s">
        <v>128</v>
      </c>
      <c r="E36" s="6">
        <v>24</v>
      </c>
      <c r="F36" s="30">
        <v>1</v>
      </c>
      <c r="G36" s="30">
        <f t="shared" si="8"/>
        <v>24</v>
      </c>
    </row>
    <row r="37" spans="2:7" x14ac:dyDescent="0.25">
      <c r="B37" s="5" t="s">
        <v>665</v>
      </c>
      <c r="C37" s="5"/>
      <c r="D37" s="5" t="s">
        <v>128</v>
      </c>
      <c r="E37" s="6">
        <v>24</v>
      </c>
      <c r="F37" s="30">
        <v>1</v>
      </c>
      <c r="G37" s="30">
        <f t="shared" si="8"/>
        <v>24</v>
      </c>
    </row>
    <row r="38" spans="2:7" x14ac:dyDescent="0.25">
      <c r="B38" s="8" t="s">
        <v>666</v>
      </c>
      <c r="C38" s="8"/>
      <c r="D38" s="5" t="s">
        <v>128</v>
      </c>
      <c r="E38" s="6">
        <v>24</v>
      </c>
      <c r="F38" s="30">
        <v>0.6</v>
      </c>
      <c r="G38" s="30">
        <f t="shared" si="8"/>
        <v>14.399999999999999</v>
      </c>
    </row>
    <row r="39" spans="2:7" x14ac:dyDescent="0.25">
      <c r="B39" s="8" t="s">
        <v>667</v>
      </c>
      <c r="C39" s="8"/>
      <c r="D39" s="5" t="s">
        <v>128</v>
      </c>
      <c r="E39" s="6">
        <v>24</v>
      </c>
      <c r="F39" s="30">
        <v>1.5</v>
      </c>
      <c r="G39" s="30">
        <f t="shared" si="8"/>
        <v>36</v>
      </c>
    </row>
    <row r="40" spans="2:7" x14ac:dyDescent="0.25">
      <c r="B40" s="8" t="s">
        <v>113</v>
      </c>
      <c r="C40" s="8"/>
      <c r="D40" s="8" t="s">
        <v>90</v>
      </c>
      <c r="E40" s="9">
        <v>1</v>
      </c>
      <c r="F40" s="30">
        <v>35.6</v>
      </c>
      <c r="G40" s="30">
        <f t="shared" si="8"/>
        <v>35.6</v>
      </c>
    </row>
    <row r="41" spans="2:7" x14ac:dyDescent="0.25">
      <c r="B41" s="10" t="s">
        <v>2</v>
      </c>
      <c r="C41" s="11"/>
      <c r="D41" s="11"/>
      <c r="E41" s="12"/>
      <c r="F41" s="7"/>
      <c r="G41" s="40">
        <f>SUM(G34:G40)</f>
        <v>230</v>
      </c>
    </row>
    <row r="43" spans="2:7" x14ac:dyDescent="0.25">
      <c r="B43" s="65"/>
      <c r="C43" s="142"/>
      <c r="D43" s="142"/>
      <c r="E43" s="142"/>
      <c r="F43" s="142"/>
      <c r="G43" s="142"/>
    </row>
    <row r="44" spans="2:7" x14ac:dyDescent="0.25">
      <c r="B44" s="143"/>
      <c r="C44" s="144"/>
      <c r="D44" s="144"/>
      <c r="E44" s="144"/>
      <c r="F44" s="144"/>
      <c r="G44" s="144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67"/>
      <c r="C46" s="67"/>
      <c r="D46" s="67"/>
      <c r="E46" s="66"/>
      <c r="F46" s="66"/>
      <c r="G46" s="66"/>
    </row>
    <row r="47" spans="2:7" x14ac:dyDescent="0.25">
      <c r="B47" s="67"/>
      <c r="C47" s="67"/>
      <c r="D47" s="67"/>
      <c r="E47" s="66"/>
      <c r="F47" s="66"/>
      <c r="G47" s="66"/>
    </row>
    <row r="48" spans="2:7" x14ac:dyDescent="0.25">
      <c r="B48" s="67"/>
      <c r="C48" s="67"/>
      <c r="D48" s="67"/>
      <c r="E48" s="66"/>
      <c r="F48" s="66"/>
      <c r="G48" s="66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72"/>
      <c r="C51" s="72"/>
      <c r="D51" s="72"/>
      <c r="E51" s="72"/>
      <c r="F51" s="72"/>
      <c r="G51" s="72"/>
    </row>
    <row r="52" spans="2:7" x14ac:dyDescent="0.25">
      <c r="B52" s="65"/>
      <c r="C52" s="142"/>
      <c r="D52" s="142"/>
      <c r="E52" s="142"/>
      <c r="F52" s="142"/>
      <c r="G52" s="142"/>
    </row>
    <row r="53" spans="2:7" x14ac:dyDescent="0.25">
      <c r="B53" s="143"/>
      <c r="C53" s="144"/>
      <c r="D53" s="144"/>
      <c r="E53" s="144"/>
      <c r="F53" s="144"/>
      <c r="G53" s="144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67"/>
      <c r="C55" s="67"/>
      <c r="D55" s="67"/>
      <c r="E55" s="66"/>
      <c r="F55" s="66"/>
      <c r="G55" s="66"/>
    </row>
    <row r="56" spans="2:7" x14ac:dyDescent="0.25">
      <c r="B56" s="67"/>
      <c r="C56" s="67"/>
      <c r="D56" s="67"/>
      <c r="E56" s="66"/>
      <c r="F56" s="66"/>
      <c r="G56" s="66"/>
    </row>
    <row r="57" spans="2:7" x14ac:dyDescent="0.25">
      <c r="B57" s="67"/>
      <c r="C57" s="67"/>
      <c r="D57" s="67"/>
      <c r="E57" s="66"/>
      <c r="F57" s="66"/>
      <c r="G57" s="66"/>
    </row>
    <row r="58" spans="2:7" x14ac:dyDescent="0.25">
      <c r="B58" s="67"/>
      <c r="C58" s="67"/>
      <c r="D58" s="67"/>
      <c r="E58" s="66"/>
      <c r="F58" s="66"/>
      <c r="G58" s="66"/>
    </row>
    <row r="59" spans="2:7" x14ac:dyDescent="0.25">
      <c r="B59" s="67"/>
      <c r="C59" s="67"/>
      <c r="D59" s="67"/>
      <c r="E59" s="66"/>
      <c r="F59" s="66"/>
      <c r="G59" s="66"/>
    </row>
    <row r="60" spans="2:7" x14ac:dyDescent="0.25">
      <c r="B60" s="72"/>
      <c r="C60" s="72"/>
      <c r="D60" s="72"/>
      <c r="E60" s="72"/>
      <c r="F60" s="72"/>
      <c r="G60" s="72"/>
    </row>
    <row r="61" spans="2:7" x14ac:dyDescent="0.25">
      <c r="B61" s="65"/>
      <c r="C61" s="142"/>
      <c r="D61" s="142"/>
      <c r="E61" s="142"/>
      <c r="F61" s="142"/>
      <c r="G61" s="142"/>
    </row>
    <row r="62" spans="2:7" x14ac:dyDescent="0.25">
      <c r="B62" s="143"/>
      <c r="C62" s="144"/>
      <c r="D62" s="144"/>
      <c r="E62" s="144"/>
      <c r="F62" s="144"/>
      <c r="G62" s="144"/>
    </row>
    <row r="63" spans="2:7" x14ac:dyDescent="0.25">
      <c r="B63" s="67"/>
      <c r="C63" s="67"/>
      <c r="D63" s="67"/>
      <c r="E63" s="66"/>
      <c r="F63" s="66"/>
      <c r="G63" s="66"/>
    </row>
    <row r="64" spans="2:7" x14ac:dyDescent="0.25">
      <c r="B64" s="67"/>
      <c r="C64" s="67"/>
      <c r="D64" s="67"/>
      <c r="E64" s="66"/>
      <c r="F64" s="66"/>
      <c r="G64" s="66"/>
    </row>
    <row r="65" spans="2:7" x14ac:dyDescent="0.25">
      <c r="B65" s="67"/>
      <c r="C65" s="67"/>
      <c r="D65" s="67"/>
      <c r="E65" s="66"/>
      <c r="F65" s="66"/>
      <c r="G65" s="66"/>
    </row>
    <row r="66" spans="2:7" x14ac:dyDescent="0.25">
      <c r="B66" s="67"/>
      <c r="C66" s="67"/>
      <c r="D66" s="67"/>
      <c r="E66" s="66"/>
      <c r="F66" s="66"/>
      <c r="G66" s="66"/>
    </row>
    <row r="67" spans="2:7" x14ac:dyDescent="0.25">
      <c r="B67" s="67"/>
      <c r="C67" s="67"/>
      <c r="D67" s="67"/>
      <c r="E67" s="66"/>
      <c r="F67" s="66"/>
      <c r="G67" s="66"/>
    </row>
    <row r="68" spans="2:7" x14ac:dyDescent="0.25">
      <c r="B68" s="67"/>
      <c r="C68" s="67"/>
      <c r="D68" s="67"/>
      <c r="E68" s="66"/>
      <c r="F68" s="66"/>
      <c r="G68" s="66"/>
    </row>
    <row r="69" spans="2:7" x14ac:dyDescent="0.25">
      <c r="B69" s="72"/>
      <c r="C69" s="72"/>
      <c r="D69" s="72"/>
      <c r="E69" s="72"/>
      <c r="F69" s="72"/>
      <c r="G69" s="72"/>
    </row>
    <row r="70" spans="2:7" x14ac:dyDescent="0.25">
      <c r="B70" s="72"/>
      <c r="C70" s="72"/>
      <c r="D70" s="72"/>
      <c r="E70" s="72"/>
      <c r="F70" s="72"/>
      <c r="G70" s="72"/>
    </row>
    <row r="71" spans="2:7" x14ac:dyDescent="0.25">
      <c r="B71" s="72"/>
      <c r="C71" s="72"/>
      <c r="D71" s="72"/>
      <c r="E71" s="72"/>
      <c r="F71" s="72"/>
      <c r="G71" s="72"/>
    </row>
    <row r="72" spans="2:7" x14ac:dyDescent="0.25">
      <c r="B72" s="72"/>
      <c r="C72" s="72"/>
      <c r="D72" s="72"/>
      <c r="E72" s="72"/>
      <c r="F72" s="72"/>
      <c r="G72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872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8721" r:id="rId3"/>
      </mc:Fallback>
    </mc:AlternateContent>
    <mc:AlternateContent xmlns:mc="http://schemas.openxmlformats.org/markup-compatibility/2006">
      <mc:Choice Requires="x14">
        <oleObject progId="PBrush" shapeId="158722" r:id="rId5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8722" r:id="rId5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S54"/>
  <sheetViews>
    <sheetView showGridLines="0" workbookViewId="0">
      <pane xSplit="8" ySplit="11" topLeftCell="I21" activePane="bottomRight" state="frozen"/>
      <selection activeCell="J8" sqref="J8:O8"/>
      <selection pane="topRight" activeCell="J8" sqref="J8:O8"/>
      <selection pane="bottomLeft" activeCell="J8" sqref="J8:O8"/>
      <selection pane="bottomRight" activeCell="I16" sqref="I16"/>
    </sheetView>
  </sheetViews>
  <sheetFormatPr baseColWidth="10" defaultRowHeight="15" x14ac:dyDescent="0.25"/>
  <cols>
    <col min="1" max="1" width="4.85546875" customWidth="1"/>
    <col min="2" max="2" width="22.5703125" customWidth="1"/>
    <col min="6" max="6" width="14.28515625" customWidth="1"/>
    <col min="8" max="8" width="4.42578125" bestFit="1" customWidth="1"/>
    <col min="9" max="9" width="12.57031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81</v>
      </c>
      <c r="C6" s="306"/>
      <c r="D6" s="293" t="s">
        <v>171</v>
      </c>
      <c r="E6" s="293"/>
      <c r="F6" s="293"/>
      <c r="G6" s="293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173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150</v>
      </c>
      <c r="C8" s="309"/>
      <c r="D8" s="309"/>
      <c r="E8" s="309"/>
      <c r="F8" s="309"/>
      <c r="G8" s="18" t="s">
        <v>179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/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07">
        <v>162</v>
      </c>
      <c r="I12" s="77" t="s">
        <v>375</v>
      </c>
      <c r="J12" s="5" t="s">
        <v>118</v>
      </c>
      <c r="K12" s="6">
        <f>SUM(L12:S12)</f>
        <v>162</v>
      </c>
      <c r="L12" s="6"/>
      <c r="M12" s="6">
        <v>162</v>
      </c>
      <c r="N12" s="6"/>
      <c r="O12" s="6"/>
      <c r="P12" s="6"/>
      <c r="Q12" s="6"/>
      <c r="R12" s="6"/>
      <c r="S12" s="6"/>
    </row>
    <row r="13" spans="1:19" ht="23.25" x14ac:dyDescent="0.25">
      <c r="A13" s="160" t="s">
        <v>375</v>
      </c>
      <c r="B13" s="82" t="s">
        <v>389</v>
      </c>
      <c r="C13" s="5"/>
      <c r="D13" s="5" t="s">
        <v>90</v>
      </c>
      <c r="E13" s="6">
        <v>1</v>
      </c>
      <c r="F13" s="6">
        <f>+K12</f>
        <v>162</v>
      </c>
      <c r="G13" s="6">
        <f>+F13*E13</f>
        <v>162</v>
      </c>
      <c r="H13" s="107">
        <v>64</v>
      </c>
      <c r="I13" s="77" t="s">
        <v>378</v>
      </c>
      <c r="J13" s="5" t="s">
        <v>118</v>
      </c>
      <c r="K13" s="6">
        <f t="shared" ref="K13:K19" si="0">SUM(L13:S13)</f>
        <v>64</v>
      </c>
      <c r="L13" s="6">
        <v>64</v>
      </c>
      <c r="M13" s="6"/>
      <c r="N13" s="6"/>
      <c r="O13" s="6"/>
      <c r="P13" s="6"/>
      <c r="Q13" s="6"/>
      <c r="R13" s="6"/>
      <c r="S13" s="6"/>
    </row>
    <row r="14" spans="1:19" ht="34.5" x14ac:dyDescent="0.25">
      <c r="A14" s="160" t="s">
        <v>378</v>
      </c>
      <c r="B14" s="82" t="s">
        <v>392</v>
      </c>
      <c r="C14" s="5"/>
      <c r="D14" s="5" t="s">
        <v>90</v>
      </c>
      <c r="E14" s="6">
        <v>1</v>
      </c>
      <c r="F14" s="6">
        <f t="shared" ref="F14:F16" si="1">+K13</f>
        <v>64</v>
      </c>
      <c r="G14" s="6">
        <f>+F14*E14</f>
        <v>64</v>
      </c>
      <c r="H14" s="107">
        <v>700</v>
      </c>
      <c r="I14" s="77" t="s">
        <v>381</v>
      </c>
      <c r="J14" s="5" t="s">
        <v>118</v>
      </c>
      <c r="K14" s="6">
        <f t="shared" si="0"/>
        <v>700</v>
      </c>
      <c r="L14" s="6">
        <v>200</v>
      </c>
      <c r="M14" s="6">
        <v>300</v>
      </c>
      <c r="N14" s="6">
        <v>200</v>
      </c>
      <c r="O14" s="6"/>
      <c r="P14" s="6"/>
      <c r="Q14" s="6"/>
      <c r="R14" s="6"/>
      <c r="S14" s="6"/>
    </row>
    <row r="15" spans="1:19" ht="45.75" x14ac:dyDescent="0.25">
      <c r="A15" s="160" t="s">
        <v>381</v>
      </c>
      <c r="B15" s="82" t="s">
        <v>395</v>
      </c>
      <c r="C15" s="5"/>
      <c r="D15" s="5" t="s">
        <v>90</v>
      </c>
      <c r="E15" s="6">
        <v>1</v>
      </c>
      <c r="F15" s="6">
        <f t="shared" si="1"/>
        <v>700</v>
      </c>
      <c r="G15" s="6">
        <f>+F15*E15</f>
        <v>700</v>
      </c>
      <c r="H15" s="107">
        <v>350</v>
      </c>
      <c r="I15" s="77" t="s">
        <v>388</v>
      </c>
      <c r="J15" s="5" t="s">
        <v>118</v>
      </c>
      <c r="K15" s="6">
        <f t="shared" si="0"/>
        <v>350</v>
      </c>
      <c r="L15" s="6">
        <v>150</v>
      </c>
      <c r="M15" s="6">
        <v>100</v>
      </c>
      <c r="N15" s="6">
        <v>100</v>
      </c>
      <c r="O15" s="6"/>
      <c r="P15" s="6"/>
      <c r="Q15" s="6"/>
      <c r="R15" s="6"/>
      <c r="S15" s="6"/>
    </row>
    <row r="16" spans="1:19" ht="90.75" x14ac:dyDescent="0.25">
      <c r="A16" s="160" t="s">
        <v>388</v>
      </c>
      <c r="B16" s="82" t="s">
        <v>398</v>
      </c>
      <c r="C16" s="5"/>
      <c r="D16" s="5" t="s">
        <v>90</v>
      </c>
      <c r="E16" s="6">
        <v>1</v>
      </c>
      <c r="F16" s="6">
        <f t="shared" si="1"/>
        <v>350</v>
      </c>
      <c r="G16" s="6">
        <f>+F16*E16</f>
        <v>350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1276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1276</v>
      </c>
      <c r="L20" s="16">
        <f t="shared" ref="L20:S20" si="2">SUM(L12:L19)</f>
        <v>414</v>
      </c>
      <c r="M20" s="16">
        <f t="shared" si="2"/>
        <v>562</v>
      </c>
      <c r="N20" s="16">
        <f t="shared" si="2"/>
        <v>300</v>
      </c>
      <c r="O20" s="16">
        <f t="shared" si="2"/>
        <v>0</v>
      </c>
      <c r="P20" s="16">
        <f t="shared" si="2"/>
        <v>0</v>
      </c>
      <c r="Q20" s="16">
        <f t="shared" si="2"/>
        <v>0</v>
      </c>
      <c r="R20" s="16">
        <f t="shared" si="2"/>
        <v>0</v>
      </c>
      <c r="S20" s="16">
        <f t="shared" si="2"/>
        <v>0</v>
      </c>
    </row>
    <row r="21" spans="2:19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67"/>
      <c r="C22" s="67"/>
      <c r="D22" s="67"/>
      <c r="E22" s="66"/>
      <c r="F22" s="66"/>
      <c r="G22" s="66"/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2:19" x14ac:dyDescent="0.25">
      <c r="B23" s="67"/>
      <c r="C23" s="67"/>
      <c r="D23" s="67"/>
      <c r="E23" s="145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2:19" x14ac:dyDescent="0.25">
      <c r="B24" s="67"/>
      <c r="C24" s="67"/>
      <c r="D24" s="67"/>
      <c r="E24" s="145"/>
      <c r="F24" s="66"/>
      <c r="G24" s="66"/>
      <c r="I24" s="15" t="str">
        <f>+I12</f>
        <v>CA30</v>
      </c>
      <c r="J24" s="15"/>
      <c r="K24" s="109"/>
      <c r="L24" s="6"/>
      <c r="M24" s="6">
        <f>NPV($L$8,P24:Y24)+O24</f>
        <v>152.83018867924528</v>
      </c>
      <c r="N24" s="6">
        <f>-PMT($L$8,1,M24)</f>
        <v>162.00000000000003</v>
      </c>
      <c r="O24" s="112">
        <v>0</v>
      </c>
      <c r="P24" s="112">
        <v>162</v>
      </c>
      <c r="Q24" s="112"/>
      <c r="R24" s="112">
        <f t="shared" ref="Q24:R27" si="3">+N12</f>
        <v>0</v>
      </c>
    </row>
    <row r="25" spans="2:19" x14ac:dyDescent="0.25">
      <c r="B25" s="67"/>
      <c r="C25" s="67"/>
      <c r="D25" s="67"/>
      <c r="E25" s="145"/>
      <c r="F25" s="66"/>
      <c r="G25" s="66"/>
      <c r="I25" s="15" t="str">
        <f>+I13</f>
        <v>CA31</v>
      </c>
      <c r="J25" s="15"/>
      <c r="K25" s="109"/>
      <c r="L25" s="6"/>
      <c r="M25" s="6">
        <f>NPV($L$8,P25:Y25)+O25</f>
        <v>60.377358490566031</v>
      </c>
      <c r="N25" s="6">
        <f>-PMT($L$8,1,M25)</f>
        <v>64</v>
      </c>
      <c r="O25" s="112">
        <v>0</v>
      </c>
      <c r="P25" s="112">
        <f>+L13</f>
        <v>64</v>
      </c>
      <c r="Q25" s="112">
        <f t="shared" si="3"/>
        <v>0</v>
      </c>
      <c r="R25" s="112">
        <f t="shared" si="3"/>
        <v>0</v>
      </c>
    </row>
    <row r="26" spans="2:19" x14ac:dyDescent="0.25">
      <c r="B26" s="67"/>
      <c r="C26" s="67"/>
      <c r="D26" s="67"/>
      <c r="E26" s="145"/>
      <c r="F26" s="66"/>
      <c r="G26" s="66"/>
      <c r="I26" s="15" t="str">
        <f>+I14</f>
        <v>CA32</v>
      </c>
      <c r="J26" s="15"/>
      <c r="K26" s="109"/>
      <c r="L26" s="6"/>
      <c r="M26" s="6">
        <f>NPV($L$8,P26:Y26)+O26</f>
        <v>623.60203389375113</v>
      </c>
      <c r="N26" s="6">
        <f>-PMT($L$8,3,M26)</f>
        <v>233.29564015579851</v>
      </c>
      <c r="O26" s="112">
        <v>0</v>
      </c>
      <c r="P26" s="112">
        <f>+L14</f>
        <v>200</v>
      </c>
      <c r="Q26" s="112">
        <f t="shared" si="3"/>
        <v>300</v>
      </c>
      <c r="R26" s="112">
        <f t="shared" si="3"/>
        <v>200</v>
      </c>
    </row>
    <row r="27" spans="2:19" x14ac:dyDescent="0.25">
      <c r="B27" s="67"/>
      <c r="C27" s="67"/>
      <c r="D27" s="67"/>
      <c r="E27" s="66"/>
      <c r="F27" s="66"/>
      <c r="G27" s="146"/>
      <c r="I27" s="15" t="str">
        <f>+I15</f>
        <v>CA33</v>
      </c>
      <c r="J27" s="15"/>
      <c r="K27" s="109"/>
      <c r="L27" s="6"/>
      <c r="M27" s="6">
        <f>NPV($L$8,P27:Y27)+O27</f>
        <v>314.47100626691832</v>
      </c>
      <c r="N27" s="6">
        <f>-PMT($L$8,3,M27)</f>
        <v>117.64668928257322</v>
      </c>
      <c r="O27" s="112">
        <v>0</v>
      </c>
      <c r="P27" s="112">
        <f>+L15</f>
        <v>150</v>
      </c>
      <c r="Q27" s="112">
        <f t="shared" si="3"/>
        <v>100</v>
      </c>
      <c r="R27" s="112">
        <f t="shared" si="3"/>
        <v>100</v>
      </c>
    </row>
    <row r="28" spans="2:19" x14ac:dyDescent="0.25">
      <c r="B28" s="72"/>
      <c r="C28" s="72"/>
      <c r="D28" s="72"/>
      <c r="E28" s="72"/>
      <c r="F28" s="72"/>
      <c r="G28" s="72"/>
    </row>
    <row r="29" spans="2:19" x14ac:dyDescent="0.25">
      <c r="B29" s="65"/>
      <c r="C29" s="142"/>
      <c r="D29" s="142"/>
      <c r="E29" s="142"/>
      <c r="F29" s="142"/>
      <c r="G29" s="142"/>
    </row>
    <row r="30" spans="2:19" x14ac:dyDescent="0.25">
      <c r="B30" s="143"/>
      <c r="C30" s="144"/>
      <c r="D30" s="144"/>
      <c r="E30" s="144"/>
      <c r="F30" s="144"/>
      <c r="G30" s="144"/>
    </row>
    <row r="31" spans="2:19" x14ac:dyDescent="0.25">
      <c r="B31" s="67"/>
      <c r="C31" s="67"/>
      <c r="D31" s="67"/>
      <c r="E31" s="66"/>
      <c r="F31" s="66"/>
      <c r="G31" s="66"/>
    </row>
    <row r="32" spans="2:19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974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9745" r:id="rId3"/>
      </mc:Fallback>
    </mc:AlternateContent>
    <mc:AlternateContent xmlns:mc="http://schemas.openxmlformats.org/markup-compatibility/2006">
      <mc:Choice Requires="x14">
        <oleObject progId="PBrush" shapeId="159746" r:id="rId5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9746" r:id="rId5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2:S57"/>
  <sheetViews>
    <sheetView showGridLines="0" workbookViewId="0">
      <pane xSplit="8" ySplit="11" topLeftCell="I18" activePane="bottomRight" state="frozen"/>
      <selection activeCell="K8" sqref="K8:O8"/>
      <selection pane="topRight" activeCell="K8" sqref="K8:O8"/>
      <selection pane="bottomLeft" activeCell="K8" sqref="K8:O8"/>
      <selection pane="bottomRight" activeCell="P26" sqref="P26"/>
    </sheetView>
  </sheetViews>
  <sheetFormatPr baseColWidth="10" defaultRowHeight="15" x14ac:dyDescent="0.25"/>
  <cols>
    <col min="1" max="1" width="4" customWidth="1"/>
    <col min="2" max="2" width="16.28515625" customWidth="1"/>
    <col min="6" max="6" width="14.28515625" customWidth="1"/>
    <col min="8" max="8" width="2.85546875" customWidth="1"/>
    <col min="9" max="9" width="12.5703125" bestFit="1" customWidth="1"/>
  </cols>
  <sheetData>
    <row r="2" spans="2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2:19" x14ac:dyDescent="0.25">
      <c r="B6" s="316" t="s">
        <v>92</v>
      </c>
      <c r="C6" s="316"/>
      <c r="D6" s="307" t="s">
        <v>174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x14ac:dyDescent="0.25">
      <c r="B7" s="316"/>
      <c r="C7" s="316"/>
      <c r="D7" s="307" t="s">
        <v>175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668</v>
      </c>
      <c r="C8" s="309"/>
      <c r="D8" s="309"/>
      <c r="E8" s="309"/>
      <c r="F8" s="309"/>
      <c r="G8" s="18" t="s">
        <v>402</v>
      </c>
      <c r="I8" s="25" t="s">
        <v>21</v>
      </c>
      <c r="J8" s="25"/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391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148" t="s">
        <v>13</v>
      </c>
      <c r="C12" s="149" t="s">
        <v>11</v>
      </c>
      <c r="D12" s="149" t="s">
        <v>9</v>
      </c>
      <c r="E12" s="149" t="s">
        <v>10</v>
      </c>
      <c r="F12" s="149" t="s">
        <v>14</v>
      </c>
      <c r="G12" s="149" t="s">
        <v>12</v>
      </c>
      <c r="H12" s="1"/>
      <c r="I12" s="15" t="str">
        <f>+G11</f>
        <v>CA34</v>
      </c>
      <c r="J12" s="5" t="s">
        <v>22</v>
      </c>
      <c r="K12" s="6">
        <f>SUM(L12:S12)</f>
        <v>3609.8416229999998</v>
      </c>
      <c r="L12" s="6">
        <f>+G20*0.25</f>
        <v>902.46040574999995</v>
      </c>
      <c r="M12" s="6">
        <f>+L12</f>
        <v>902.46040574999995</v>
      </c>
      <c r="N12" s="6">
        <f>+M12</f>
        <v>902.46040574999995</v>
      </c>
      <c r="O12" s="6">
        <f>+N12</f>
        <v>902.46040574999995</v>
      </c>
      <c r="P12" s="6"/>
      <c r="Q12" s="6"/>
      <c r="R12" s="6"/>
      <c r="S12" s="6"/>
    </row>
    <row r="13" spans="2:19" ht="21" x14ac:dyDescent="0.25">
      <c r="B13" s="153" t="s">
        <v>151</v>
      </c>
      <c r="C13" s="5"/>
      <c r="D13" s="5">
        <v>1</v>
      </c>
      <c r="E13" s="6">
        <v>1</v>
      </c>
      <c r="F13" s="154">
        <v>824.44465500000001</v>
      </c>
      <c r="G13" s="6">
        <f>+F13*E13</f>
        <v>824.44465500000001</v>
      </c>
      <c r="I13" s="5" t="str">
        <f>+G22</f>
        <v>IN25</v>
      </c>
      <c r="J13" s="5" t="s">
        <v>91</v>
      </c>
      <c r="K13" s="6">
        <f t="shared" ref="K13:K19" si="0">SUM(L13:S13)</f>
        <v>213.60000000000002</v>
      </c>
      <c r="L13" s="6"/>
      <c r="M13" s="6"/>
      <c r="N13" s="6"/>
      <c r="O13" s="6"/>
      <c r="P13" s="6"/>
      <c r="Q13" s="6">
        <f>+G29</f>
        <v>213.60000000000002</v>
      </c>
      <c r="R13" s="6"/>
      <c r="S13" s="6"/>
    </row>
    <row r="14" spans="2:19" ht="21" x14ac:dyDescent="0.25">
      <c r="B14" s="153" t="s">
        <v>152</v>
      </c>
      <c r="C14" s="5"/>
      <c r="D14" s="5">
        <v>1</v>
      </c>
      <c r="E14" s="6">
        <v>1</v>
      </c>
      <c r="F14" s="154">
        <v>420.20469500000002</v>
      </c>
      <c r="G14" s="6">
        <f t="shared" ref="G14:G19" si="1">+F14*E14</f>
        <v>420.20469500000002</v>
      </c>
      <c r="I14" s="5"/>
      <c r="J14" s="5"/>
      <c r="K14" s="6">
        <f t="shared" si="0"/>
        <v>0</v>
      </c>
      <c r="L14" s="6"/>
      <c r="M14" s="6"/>
      <c r="N14" s="6">
        <f>+G38</f>
        <v>0</v>
      </c>
      <c r="O14" s="6"/>
      <c r="P14" s="6"/>
      <c r="Q14" s="6"/>
      <c r="R14" s="6"/>
      <c r="S14" s="6"/>
    </row>
    <row r="15" spans="2:19" ht="21" x14ac:dyDescent="0.25">
      <c r="B15" s="153" t="s">
        <v>153</v>
      </c>
      <c r="C15" s="5"/>
      <c r="D15" s="5">
        <v>1</v>
      </c>
      <c r="E15" s="6">
        <v>1</v>
      </c>
      <c r="F15" s="154">
        <v>532.35515499999997</v>
      </c>
      <c r="G15" s="6">
        <f t="shared" si="1"/>
        <v>532.35515499999997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</row>
    <row r="16" spans="2:19" ht="21" x14ac:dyDescent="0.25">
      <c r="B16" s="153" t="s">
        <v>176</v>
      </c>
      <c r="C16" s="5"/>
      <c r="D16" s="5">
        <v>1</v>
      </c>
      <c r="E16" s="6">
        <v>1</v>
      </c>
      <c r="F16" s="154">
        <v>80.255463000000006</v>
      </c>
      <c r="G16" s="6">
        <f t="shared" si="1"/>
        <v>80.255463000000006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19" ht="21" x14ac:dyDescent="0.25">
      <c r="B17" s="153" t="s">
        <v>177</v>
      </c>
      <c r="C17" s="5"/>
      <c r="D17" s="5">
        <v>1</v>
      </c>
      <c r="E17" s="6">
        <v>1</v>
      </c>
      <c r="F17" s="154">
        <v>772.63684000000001</v>
      </c>
      <c r="G17" s="6">
        <f t="shared" si="1"/>
        <v>772.63684000000001</v>
      </c>
      <c r="I17" s="5"/>
      <c r="J17" s="5"/>
      <c r="K17" s="6">
        <f t="shared" si="0"/>
        <v>0</v>
      </c>
      <c r="L17" s="6"/>
      <c r="M17" s="6">
        <f>+G47</f>
        <v>0</v>
      </c>
      <c r="N17" s="6"/>
      <c r="O17" s="6"/>
      <c r="P17" s="6"/>
      <c r="Q17" s="6"/>
      <c r="R17" s="6"/>
      <c r="S17" s="6"/>
    </row>
    <row r="18" spans="2:19" ht="31.5" x14ac:dyDescent="0.25">
      <c r="B18" s="153" t="s">
        <v>178</v>
      </c>
      <c r="C18" s="5"/>
      <c r="D18" s="5">
        <v>1</v>
      </c>
      <c r="E18" s="6">
        <v>1</v>
      </c>
      <c r="F18" s="154">
        <v>979.94481499999995</v>
      </c>
      <c r="G18" s="6">
        <f t="shared" si="1"/>
        <v>979.94481499999995</v>
      </c>
      <c r="I18" s="5"/>
      <c r="J18" s="5"/>
      <c r="K18" s="6">
        <f t="shared" si="0"/>
        <v>0</v>
      </c>
      <c r="L18" s="6"/>
      <c r="M18" s="6"/>
      <c r="N18" s="6"/>
      <c r="O18" s="6">
        <f>+G56</f>
        <v>0</v>
      </c>
      <c r="P18" s="6"/>
      <c r="Q18" s="6"/>
      <c r="R18" s="6"/>
      <c r="S18" s="6"/>
    </row>
    <row r="19" spans="2:19" x14ac:dyDescent="0.25">
      <c r="B19" s="150"/>
      <c r="C19" s="150"/>
      <c r="D19" s="150"/>
      <c r="E19" s="151"/>
      <c r="F19" s="151"/>
      <c r="G19" s="152">
        <f t="shared" si="1"/>
        <v>0</v>
      </c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0" t="s">
        <v>2</v>
      </c>
      <c r="C20" s="11"/>
      <c r="D20" s="11"/>
      <c r="E20" s="12"/>
      <c r="F20" s="7"/>
      <c r="G20" s="24">
        <f>SUM(G13:G19)</f>
        <v>3609.8416229999998</v>
      </c>
      <c r="I20" s="17" t="s">
        <v>2</v>
      </c>
      <c r="J20" s="14"/>
      <c r="K20" s="16">
        <f t="shared" ref="K20:S20" si="2">SUM(K12:K19)</f>
        <v>3823.4416229999997</v>
      </c>
      <c r="L20" s="16">
        <f t="shared" si="2"/>
        <v>902.46040574999995</v>
      </c>
      <c r="M20" s="16">
        <f t="shared" si="2"/>
        <v>902.46040574999995</v>
      </c>
      <c r="N20" s="16">
        <f t="shared" si="2"/>
        <v>902.46040574999995</v>
      </c>
      <c r="O20" s="16">
        <f t="shared" si="2"/>
        <v>902.46040574999995</v>
      </c>
      <c r="P20" s="16">
        <f t="shared" si="2"/>
        <v>0</v>
      </c>
      <c r="Q20" s="16">
        <f t="shared" si="2"/>
        <v>213.60000000000002</v>
      </c>
      <c r="R20" s="16">
        <f t="shared" si="2"/>
        <v>0</v>
      </c>
      <c r="S20" s="16">
        <f t="shared" si="2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19" t="s">
        <v>3</v>
      </c>
      <c r="C22" s="20" t="s">
        <v>669</v>
      </c>
      <c r="D22" s="21"/>
      <c r="E22" s="21"/>
      <c r="F22" s="22" t="s">
        <v>1</v>
      </c>
      <c r="G22" s="22" t="s">
        <v>51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2:19" ht="23.25" x14ac:dyDescent="0.25">
      <c r="B23" s="3" t="s">
        <v>13</v>
      </c>
      <c r="C23" s="4" t="s">
        <v>11</v>
      </c>
      <c r="D23" s="4" t="s">
        <v>9</v>
      </c>
      <c r="E23" s="4" t="s">
        <v>104</v>
      </c>
      <c r="F23" s="4" t="s">
        <v>14</v>
      </c>
      <c r="G23" s="4" t="s">
        <v>12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2:19" x14ac:dyDescent="0.25">
      <c r="B24" s="5" t="s">
        <v>87</v>
      </c>
      <c r="C24" s="5"/>
      <c r="D24" s="5" t="s">
        <v>611</v>
      </c>
      <c r="E24" s="6">
        <v>2000</v>
      </c>
      <c r="F24" s="147">
        <f>26700/1000000</f>
        <v>2.6700000000000002E-2</v>
      </c>
      <c r="G24" s="6">
        <f>+F24*E24</f>
        <v>53.400000000000006</v>
      </c>
      <c r="I24" s="15" t="str">
        <f>+I12</f>
        <v>CA34</v>
      </c>
      <c r="J24" s="15"/>
      <c r="K24" s="109"/>
      <c r="L24" s="193">
        <v>0.06</v>
      </c>
      <c r="M24" s="6" t="s">
        <v>766</v>
      </c>
      <c r="N24" s="6"/>
      <c r="O24" s="112"/>
      <c r="P24" s="112"/>
      <c r="Q24" s="112"/>
      <c r="R24" s="112"/>
    </row>
    <row r="25" spans="2:19" x14ac:dyDescent="0.25">
      <c r="B25" s="5" t="s">
        <v>670</v>
      </c>
      <c r="C25" s="5"/>
      <c r="D25" s="5" t="s">
        <v>611</v>
      </c>
      <c r="E25" s="6">
        <v>3000</v>
      </c>
      <c r="F25" s="147">
        <f>26700/1000000</f>
        <v>2.6700000000000002E-2</v>
      </c>
      <c r="G25" s="6">
        <f>+F25*E25</f>
        <v>80.100000000000009</v>
      </c>
      <c r="I25" s="15" t="str">
        <f>+I13</f>
        <v>IN25</v>
      </c>
      <c r="J25" s="2"/>
      <c r="K25" s="2"/>
      <c r="L25" s="2"/>
      <c r="M25" s="6">
        <f>NPV($L$8,P25:Y25)+O25</f>
        <v>201.50943396226415</v>
      </c>
      <c r="N25" s="6">
        <f>-PMT($L$8,1,M25)</f>
        <v>213.60000000000002</v>
      </c>
      <c r="O25" s="2">
        <v>0</v>
      </c>
      <c r="P25" s="192">
        <f>+Q13</f>
        <v>213.60000000000002</v>
      </c>
      <c r="Q25" s="2"/>
      <c r="R25" s="2"/>
    </row>
    <row r="26" spans="2:19" x14ac:dyDescent="0.25">
      <c r="B26" s="5" t="s">
        <v>119</v>
      </c>
      <c r="C26" s="5"/>
      <c r="D26" s="5" t="s">
        <v>611</v>
      </c>
      <c r="E26" s="6">
        <v>3000</v>
      </c>
      <c r="F26" s="147">
        <f>26700/1000000</f>
        <v>2.6700000000000002E-2</v>
      </c>
      <c r="G26" s="6">
        <f>+F26*E26</f>
        <v>80.100000000000009</v>
      </c>
    </row>
    <row r="27" spans="2:19" x14ac:dyDescent="0.25">
      <c r="B27" s="5"/>
      <c r="C27" s="5"/>
      <c r="D27" s="5"/>
      <c r="E27" s="30"/>
      <c r="F27" s="6"/>
      <c r="G27" s="6">
        <f>+F27*E27</f>
        <v>0</v>
      </c>
    </row>
    <row r="28" spans="2:19" x14ac:dyDescent="0.25">
      <c r="B28" s="5"/>
      <c r="C28" s="5"/>
      <c r="D28" s="8"/>
      <c r="E28" s="31"/>
      <c r="F28" s="9"/>
      <c r="G28" s="6"/>
    </row>
    <row r="29" spans="2:19" x14ac:dyDescent="0.25">
      <c r="B29" s="10" t="s">
        <v>2</v>
      </c>
      <c r="C29" s="11"/>
      <c r="D29" s="11"/>
      <c r="E29" s="12"/>
      <c r="F29" s="7"/>
      <c r="G29" s="24">
        <f>SUM(G24:G28)</f>
        <v>213.60000000000002</v>
      </c>
    </row>
    <row r="31" spans="2:19" x14ac:dyDescent="0.25">
      <c r="B31" s="65"/>
      <c r="C31" s="142"/>
      <c r="D31" s="142"/>
      <c r="E31" s="142"/>
      <c r="F31" s="142"/>
      <c r="G31" s="142"/>
    </row>
    <row r="32" spans="2:19" x14ac:dyDescent="0.25">
      <c r="B32" s="143"/>
      <c r="C32" s="144"/>
      <c r="D32" s="144"/>
      <c r="E32" s="144"/>
      <c r="F32" s="144"/>
      <c r="G32" s="144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67"/>
      <c r="C37" s="67"/>
      <c r="D37" s="67"/>
      <c r="E37" s="66"/>
      <c r="F37" s="66"/>
      <c r="G37" s="66"/>
    </row>
    <row r="38" spans="2:7" x14ac:dyDescent="0.25">
      <c r="B38" s="67"/>
      <c r="C38" s="67"/>
      <c r="D38" s="67"/>
      <c r="E38" s="66"/>
      <c r="F38" s="66"/>
      <c r="G38" s="66"/>
    </row>
    <row r="39" spans="2:7" x14ac:dyDescent="0.25">
      <c r="B39" s="72"/>
      <c r="C39" s="72"/>
      <c r="D39" s="72"/>
      <c r="E39" s="72"/>
      <c r="F39" s="72"/>
      <c r="G39" s="72"/>
    </row>
    <row r="40" spans="2:7" x14ac:dyDescent="0.25">
      <c r="B40" s="65"/>
      <c r="C40" s="142"/>
      <c r="D40" s="142"/>
      <c r="E40" s="142"/>
      <c r="F40" s="142"/>
      <c r="G40" s="142"/>
    </row>
    <row r="41" spans="2:7" x14ac:dyDescent="0.25">
      <c r="B41" s="143"/>
      <c r="C41" s="144"/>
      <c r="D41" s="144"/>
      <c r="E41" s="144"/>
      <c r="F41" s="144"/>
      <c r="G41" s="144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67"/>
      <c r="C46" s="67"/>
      <c r="D46" s="67"/>
      <c r="E46" s="66"/>
      <c r="F46" s="66"/>
      <c r="G46" s="66"/>
    </row>
    <row r="47" spans="2:7" x14ac:dyDescent="0.25">
      <c r="B47" s="67"/>
      <c r="C47" s="67"/>
      <c r="D47" s="67"/>
      <c r="E47" s="66"/>
      <c r="F47" s="66"/>
      <c r="G47" s="66"/>
    </row>
    <row r="48" spans="2:7" x14ac:dyDescent="0.25">
      <c r="B48" s="72"/>
      <c r="C48" s="72"/>
      <c r="D48" s="72"/>
      <c r="E48" s="72"/>
      <c r="F48" s="72"/>
      <c r="G48" s="72"/>
    </row>
    <row r="49" spans="2:7" x14ac:dyDescent="0.25">
      <c r="B49" s="65"/>
      <c r="C49" s="142"/>
      <c r="D49" s="142"/>
      <c r="E49" s="142"/>
      <c r="F49" s="142"/>
      <c r="G49" s="142"/>
    </row>
    <row r="50" spans="2:7" x14ac:dyDescent="0.25">
      <c r="B50" s="143"/>
      <c r="C50" s="144"/>
      <c r="D50" s="144"/>
      <c r="E50" s="144"/>
      <c r="F50" s="144"/>
      <c r="G50" s="144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67"/>
      <c r="C55" s="67"/>
      <c r="D55" s="67"/>
      <c r="E55" s="66"/>
      <c r="F55" s="66"/>
      <c r="G55" s="66"/>
    </row>
    <row r="56" spans="2:7" x14ac:dyDescent="0.25">
      <c r="B56" s="67"/>
      <c r="C56" s="67"/>
      <c r="D56" s="67"/>
      <c r="E56" s="66"/>
      <c r="F56" s="66"/>
      <c r="G56" s="66"/>
    </row>
    <row r="57" spans="2:7" x14ac:dyDescent="0.25">
      <c r="B57" s="72"/>
      <c r="C57" s="72"/>
      <c r="D57" s="72"/>
      <c r="E57" s="72"/>
      <c r="F57" s="72"/>
      <c r="G57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64865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4865" r:id="rId4"/>
      </mc:Fallback>
    </mc:AlternateContent>
    <mc:AlternateContent xmlns:mc="http://schemas.openxmlformats.org/markup-compatibility/2006">
      <mc:Choice Requires="x14">
        <oleObject progId="PBrush" shapeId="164866" r:id="rId6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4866" r:id="rId6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2:S5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I11" sqref="I11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5.5" customHeight="1" x14ac:dyDescent="0.25">
      <c r="B6" s="316" t="s">
        <v>92</v>
      </c>
      <c r="C6" s="316"/>
      <c r="D6" s="307" t="s">
        <v>174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181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180</v>
      </c>
      <c r="C8" s="309"/>
      <c r="D8" s="309"/>
      <c r="E8" s="309"/>
      <c r="F8" s="309"/>
      <c r="G8" s="18" t="s">
        <v>405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52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IN26</v>
      </c>
      <c r="J12" s="5" t="s">
        <v>118</v>
      </c>
      <c r="K12" s="30">
        <f>SUM(L12:S12)</f>
        <v>250.5</v>
      </c>
      <c r="L12" s="6"/>
      <c r="M12" s="30">
        <f>+G18*0.5</f>
        <v>125.25</v>
      </c>
      <c r="N12" s="30">
        <f>+M12</f>
        <v>125.25</v>
      </c>
      <c r="O12" s="6"/>
      <c r="P12" s="6"/>
      <c r="Q12" s="6"/>
      <c r="R12" s="6"/>
      <c r="S12" s="6"/>
    </row>
    <row r="13" spans="2:19" x14ac:dyDescent="0.25">
      <c r="B13" s="5" t="s">
        <v>87</v>
      </c>
      <c r="C13" s="5"/>
      <c r="D13" s="5" t="s">
        <v>673</v>
      </c>
      <c r="E13" s="6">
        <v>285</v>
      </c>
      <c r="F13" s="32">
        <v>0.3</v>
      </c>
      <c r="G13" s="30">
        <f>+F13*E13</f>
        <v>85.5</v>
      </c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671</v>
      </c>
      <c r="C14" s="5"/>
      <c r="D14" s="5" t="s">
        <v>673</v>
      </c>
      <c r="E14" s="6">
        <v>150</v>
      </c>
      <c r="F14" s="32">
        <v>1</v>
      </c>
      <c r="G14" s="30">
        <f>+F14*E14</f>
        <v>150</v>
      </c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672</v>
      </c>
      <c r="C15" s="5"/>
      <c r="D15" s="5" t="s">
        <v>673</v>
      </c>
      <c r="E15" s="6">
        <v>150</v>
      </c>
      <c r="F15" s="32">
        <v>0.1</v>
      </c>
      <c r="G15" s="30">
        <f>+F15*E15</f>
        <v>15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30"/>
      <c r="F16" s="6"/>
      <c r="G16" s="30">
        <f>+F16*E16</f>
        <v>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30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40">
        <f>SUM(G13:G17)</f>
        <v>250.5</v>
      </c>
      <c r="I18" s="5"/>
      <c r="J18" s="5"/>
      <c r="K18" s="6">
        <f>SUM(L18:S18)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SUM(L19:S19)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82</v>
      </c>
      <c r="D20" s="21"/>
      <c r="E20" s="21"/>
      <c r="F20" s="22" t="s">
        <v>1</v>
      </c>
      <c r="G20" s="22"/>
      <c r="I20" s="17" t="s">
        <v>2</v>
      </c>
      <c r="J20" s="14"/>
      <c r="K20" s="16">
        <f>SUM(K12:K19)</f>
        <v>250.5</v>
      </c>
      <c r="L20" s="16">
        <f t="shared" ref="L20:S20" si="0">SUM(L12:L19)</f>
        <v>0</v>
      </c>
      <c r="M20" s="16">
        <f t="shared" si="0"/>
        <v>125.25</v>
      </c>
      <c r="N20" s="16">
        <f t="shared" si="0"/>
        <v>125.25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104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5"/>
      <c r="C22" s="5"/>
      <c r="D22" s="5"/>
      <c r="E22" s="6"/>
      <c r="F22" s="6"/>
      <c r="G22" s="6">
        <f>+F22*E22</f>
        <v>0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2:19" x14ac:dyDescent="0.25">
      <c r="B23" s="5"/>
      <c r="C23" s="5"/>
      <c r="D23" s="5"/>
      <c r="E23" s="30"/>
      <c r="F23" s="6"/>
      <c r="G23" s="6">
        <f>+F23*E23</f>
        <v>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2:19" x14ac:dyDescent="0.25">
      <c r="B24" s="5"/>
      <c r="C24" s="5"/>
      <c r="D24" s="5"/>
      <c r="E24" s="30"/>
      <c r="F24" s="6"/>
      <c r="G24" s="6">
        <f>+F24*E24</f>
        <v>0</v>
      </c>
      <c r="I24" s="15" t="str">
        <f>+I12</f>
        <v>IN26</v>
      </c>
      <c r="J24" s="15"/>
      <c r="K24" s="109"/>
      <c r="L24" s="6"/>
      <c r="M24" s="6">
        <f>NPV($L$8,P24:Y24)+O24</f>
        <v>229.6324314702741</v>
      </c>
      <c r="N24" s="6">
        <f>-PMT($L$8,2,M24)</f>
        <v>125.25</v>
      </c>
      <c r="O24" s="112">
        <v>0</v>
      </c>
      <c r="P24" s="112">
        <f>+M12</f>
        <v>125.25</v>
      </c>
      <c r="Q24" s="112">
        <f>+N12</f>
        <v>125.25</v>
      </c>
      <c r="R24" s="112"/>
    </row>
    <row r="25" spans="2:19" x14ac:dyDescent="0.25">
      <c r="B25" s="5"/>
      <c r="C25" s="5"/>
      <c r="D25" s="5"/>
      <c r="E25" s="30"/>
      <c r="F25" s="6"/>
      <c r="G25" s="6">
        <f>+F25*E25</f>
        <v>0</v>
      </c>
    </row>
    <row r="26" spans="2:19" x14ac:dyDescent="0.25">
      <c r="B26" s="5"/>
      <c r="C26" s="5"/>
      <c r="D26" s="8"/>
      <c r="E26" s="31"/>
      <c r="F26" s="9"/>
      <c r="G26" s="6"/>
    </row>
    <row r="27" spans="2:19" x14ac:dyDescent="0.25">
      <c r="B27" s="10" t="s">
        <v>2</v>
      </c>
      <c r="C27" s="11"/>
      <c r="D27" s="11"/>
      <c r="E27" s="12"/>
      <c r="F27" s="7"/>
      <c r="G27" s="24">
        <f>SUM(G22:G26)</f>
        <v>0</v>
      </c>
    </row>
    <row r="29" spans="2:19" x14ac:dyDescent="0.25">
      <c r="B29" s="19" t="s">
        <v>3</v>
      </c>
      <c r="C29" s="20" t="s">
        <v>83</v>
      </c>
      <c r="D29" s="21"/>
      <c r="E29" s="21"/>
      <c r="F29" s="22" t="s">
        <v>1</v>
      </c>
      <c r="G29" s="22"/>
    </row>
    <row r="30" spans="2:19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</row>
    <row r="31" spans="2:19" x14ac:dyDescent="0.25">
      <c r="B31" s="5"/>
      <c r="C31" s="5"/>
      <c r="D31" s="5"/>
      <c r="E31" s="6"/>
      <c r="F31" s="6"/>
      <c r="G31" s="6">
        <f>+F31*E31</f>
        <v>0</v>
      </c>
    </row>
    <row r="32" spans="2:19" x14ac:dyDescent="0.25">
      <c r="B32" s="5"/>
      <c r="C32" s="5"/>
      <c r="D32" s="5"/>
      <c r="E32" s="6"/>
      <c r="F32" s="6"/>
      <c r="G32" s="6">
        <f>+F32*E32</f>
        <v>0</v>
      </c>
    </row>
    <row r="33" spans="2:7" x14ac:dyDescent="0.25">
      <c r="B33" s="5"/>
      <c r="C33" s="5"/>
      <c r="D33" s="5"/>
      <c r="E33" s="6"/>
      <c r="F33" s="6"/>
      <c r="G33" s="6">
        <f>+F33*E33</f>
        <v>0</v>
      </c>
    </row>
    <row r="34" spans="2:7" x14ac:dyDescent="0.25">
      <c r="B34" s="5"/>
      <c r="C34" s="5"/>
      <c r="D34" s="5"/>
      <c r="E34" s="6"/>
      <c r="F34" s="6"/>
      <c r="G34" s="6">
        <f>+F34*E34</f>
        <v>0</v>
      </c>
    </row>
    <row r="35" spans="2:7" x14ac:dyDescent="0.25">
      <c r="B35" s="8"/>
      <c r="C35" s="8"/>
      <c r="D35" s="8"/>
      <c r="E35" s="9"/>
      <c r="F35" s="9"/>
      <c r="G35" s="6">
        <f>+F35*E35</f>
        <v>0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0</v>
      </c>
    </row>
    <row r="38" spans="2:7" x14ac:dyDescent="0.25">
      <c r="B38" s="19" t="s">
        <v>3</v>
      </c>
      <c r="C38" s="20" t="s">
        <v>85</v>
      </c>
      <c r="D38" s="21"/>
      <c r="E38" s="21"/>
      <c r="F38" s="22" t="s">
        <v>1</v>
      </c>
      <c r="G38" s="22"/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5"/>
      <c r="C40" s="5"/>
      <c r="D40" s="5"/>
      <c r="E40" s="6"/>
      <c r="F40" s="6"/>
      <c r="G40" s="6">
        <f>+F40*E40</f>
        <v>0</v>
      </c>
    </row>
    <row r="41" spans="2:7" x14ac:dyDescent="0.25">
      <c r="B41" s="5"/>
      <c r="C41" s="5"/>
      <c r="D41" s="5"/>
      <c r="E41" s="6"/>
      <c r="F41" s="6"/>
      <c r="G41" s="6">
        <f>+F41*E41</f>
        <v>0</v>
      </c>
    </row>
    <row r="42" spans="2:7" x14ac:dyDescent="0.25">
      <c r="B42" s="5"/>
      <c r="C42" s="5"/>
      <c r="D42" s="5"/>
      <c r="E42" s="6"/>
      <c r="F42" s="6"/>
      <c r="G42" s="6">
        <f>+F42*E42</f>
        <v>0</v>
      </c>
    </row>
    <row r="43" spans="2:7" x14ac:dyDescent="0.25">
      <c r="B43" s="5"/>
      <c r="C43" s="5"/>
      <c r="D43" s="5"/>
      <c r="E43" s="6"/>
      <c r="F43" s="6"/>
      <c r="G43" s="6">
        <f>+F43*E43</f>
        <v>0</v>
      </c>
    </row>
    <row r="44" spans="2:7" x14ac:dyDescent="0.25">
      <c r="B44" s="8"/>
      <c r="C44" s="8"/>
      <c r="D44" s="8"/>
      <c r="E44" s="9"/>
      <c r="F44" s="9"/>
      <c r="G44" s="6">
        <f>+F44*E44</f>
        <v>0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0</v>
      </c>
    </row>
    <row r="47" spans="2:7" x14ac:dyDescent="0.25">
      <c r="B47" s="19" t="s">
        <v>3</v>
      </c>
      <c r="C47" s="20" t="s">
        <v>84</v>
      </c>
      <c r="D47" s="21"/>
      <c r="E47" s="21"/>
      <c r="F47" s="22" t="s">
        <v>1</v>
      </c>
      <c r="G47" s="22"/>
    </row>
    <row r="48" spans="2:7" ht="23.25" x14ac:dyDescent="0.25">
      <c r="B48" s="3" t="s">
        <v>13</v>
      </c>
      <c r="C48" s="4" t="s">
        <v>11</v>
      </c>
      <c r="D48" s="4" t="s">
        <v>9</v>
      </c>
      <c r="E48" s="4" t="s">
        <v>10</v>
      </c>
      <c r="F48" s="4" t="s">
        <v>14</v>
      </c>
      <c r="G48" s="4" t="s">
        <v>12</v>
      </c>
    </row>
    <row r="49" spans="2:7" x14ac:dyDescent="0.25">
      <c r="B49" s="5"/>
      <c r="C49" s="5"/>
      <c r="D49" s="5"/>
      <c r="E49" s="6"/>
      <c r="F49" s="6"/>
      <c r="G49" s="6">
        <f>+F49*E49</f>
        <v>0</v>
      </c>
    </row>
    <row r="50" spans="2:7" x14ac:dyDescent="0.25">
      <c r="B50" s="5"/>
      <c r="C50" s="5"/>
      <c r="D50" s="5"/>
      <c r="E50" s="6"/>
      <c r="F50" s="6"/>
      <c r="G50" s="6">
        <f>+F50*E50</f>
        <v>0</v>
      </c>
    </row>
    <row r="51" spans="2:7" x14ac:dyDescent="0.25">
      <c r="B51" s="5"/>
      <c r="C51" s="5"/>
      <c r="D51" s="5"/>
      <c r="E51" s="6"/>
      <c r="F51" s="6"/>
      <c r="G51" s="6">
        <f>+F51*E51</f>
        <v>0</v>
      </c>
    </row>
    <row r="52" spans="2:7" x14ac:dyDescent="0.25">
      <c r="B52" s="5"/>
      <c r="C52" s="5"/>
      <c r="D52" s="5"/>
      <c r="E52" s="6"/>
      <c r="F52" s="6"/>
      <c r="G52" s="6">
        <f>+F52*E52</f>
        <v>0</v>
      </c>
    </row>
    <row r="53" spans="2:7" x14ac:dyDescent="0.25">
      <c r="B53" s="8"/>
      <c r="C53" s="8"/>
      <c r="D53" s="8"/>
      <c r="E53" s="9"/>
      <c r="F53" s="9"/>
      <c r="G53" s="6">
        <f>+F53*E53</f>
        <v>0</v>
      </c>
    </row>
    <row r="54" spans="2:7" x14ac:dyDescent="0.25">
      <c r="B54" s="10" t="s">
        <v>2</v>
      </c>
      <c r="C54" s="11"/>
      <c r="D54" s="11"/>
      <c r="E54" s="12"/>
      <c r="F54" s="7"/>
      <c r="G54" s="23">
        <f>SUM(G49:G53)</f>
        <v>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6793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7937" r:id="rId3"/>
      </mc:Fallback>
    </mc:AlternateContent>
    <mc:AlternateContent xmlns:mc="http://schemas.openxmlformats.org/markup-compatibility/2006">
      <mc:Choice Requires="x14">
        <oleObject progId="PBrush" shapeId="167938" r:id="rId5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7938" r:id="rId5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2:S54"/>
  <sheetViews>
    <sheetView showGridLines="0" workbookViewId="0">
      <pane xSplit="8" ySplit="11" topLeftCell="J16" activePane="bottomRight" state="frozen"/>
      <selection activeCell="K8" sqref="K8:O8"/>
      <selection pane="topRight" activeCell="K8" sqref="K8:O8"/>
      <selection pane="bottomLeft" activeCell="K8" sqref="K8:O8"/>
      <selection pane="bottomRight" activeCell="N24" sqref="N24"/>
    </sheetView>
  </sheetViews>
  <sheetFormatPr baseColWidth="10" defaultRowHeight="15" x14ac:dyDescent="0.25"/>
  <cols>
    <col min="1" max="1" width="4" customWidth="1"/>
    <col min="2" max="2" width="17" bestFit="1" customWidth="1"/>
    <col min="6" max="6" width="14.28515625" customWidth="1"/>
    <col min="8" max="8" width="2.85546875" customWidth="1"/>
    <col min="9" max="9" width="12.5703125" bestFit="1" customWidth="1"/>
    <col min="10" max="10" width="12.42578125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0" customHeight="1" x14ac:dyDescent="0.25">
      <c r="B6" s="316" t="s">
        <v>92</v>
      </c>
      <c r="C6" s="316"/>
      <c r="D6" s="307" t="s">
        <v>174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181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2.25" customHeight="1" x14ac:dyDescent="0.4">
      <c r="B8" s="309" t="s">
        <v>676</v>
      </c>
      <c r="C8" s="309"/>
      <c r="D8" s="309"/>
      <c r="E8" s="309"/>
      <c r="F8" s="309"/>
      <c r="G8" s="18" t="s">
        <v>406</v>
      </c>
      <c r="I8" s="25" t="s">
        <v>21</v>
      </c>
      <c r="J8" s="25" t="s">
        <v>22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675</v>
      </c>
      <c r="D11" s="21"/>
      <c r="E11" s="21"/>
      <c r="F11" s="22" t="s">
        <v>268</v>
      </c>
      <c r="G11" s="22" t="s">
        <v>53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IN27</v>
      </c>
      <c r="J12" s="5" t="s">
        <v>112</v>
      </c>
      <c r="K12" s="6">
        <f>SUM(L12:S12)</f>
        <v>2030.4</v>
      </c>
      <c r="L12" s="6"/>
      <c r="M12" s="6"/>
      <c r="N12" s="6"/>
      <c r="O12" s="6"/>
      <c r="P12" s="6"/>
      <c r="Q12" s="6">
        <f>+G18</f>
        <v>2030.4</v>
      </c>
      <c r="R12" s="6"/>
      <c r="S12" s="6"/>
    </row>
    <row r="13" spans="2:19" x14ac:dyDescent="0.25">
      <c r="B13" s="5" t="s">
        <v>678</v>
      </c>
      <c r="C13" s="5" t="s">
        <v>123</v>
      </c>
      <c r="D13" s="5" t="s">
        <v>124</v>
      </c>
      <c r="E13" s="6">
        <v>285</v>
      </c>
      <c r="F13" s="6">
        <v>3</v>
      </c>
      <c r="G13" s="6">
        <f>+F13*E13</f>
        <v>855</v>
      </c>
      <c r="I13" s="15" t="str">
        <f>+G20</f>
        <v>IN28</v>
      </c>
      <c r="J13" s="5" t="s">
        <v>112</v>
      </c>
      <c r="K13" s="6">
        <f t="shared" ref="K13:K19" si="0">SUM(L13:S13)</f>
        <v>267</v>
      </c>
      <c r="L13" s="6"/>
      <c r="M13" s="6">
        <f>+G27</f>
        <v>267</v>
      </c>
      <c r="N13" s="6"/>
      <c r="O13" s="6"/>
      <c r="P13" s="6"/>
      <c r="Q13" s="6"/>
      <c r="R13" s="6"/>
      <c r="S13" s="6"/>
    </row>
    <row r="14" spans="2:19" x14ac:dyDescent="0.25">
      <c r="B14" s="5" t="s">
        <v>677</v>
      </c>
      <c r="C14" s="5" t="s">
        <v>123</v>
      </c>
      <c r="D14" s="5" t="s">
        <v>124</v>
      </c>
      <c r="E14" s="6">
        <v>285</v>
      </c>
      <c r="F14" s="6">
        <v>3</v>
      </c>
      <c r="G14" s="6">
        <f>+F14*E14</f>
        <v>855</v>
      </c>
      <c r="I14" s="5"/>
      <c r="J14" s="5"/>
      <c r="K14" s="6">
        <f t="shared" si="0"/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122</v>
      </c>
      <c r="C15" s="5"/>
      <c r="D15" s="5" t="s">
        <v>611</v>
      </c>
      <c r="E15" s="6">
        <v>12000</v>
      </c>
      <c r="F15" s="147">
        <f>26700/1000000</f>
        <v>2.6700000000000002E-2</v>
      </c>
      <c r="G15" s="6">
        <f>+F15*E15</f>
        <v>320.40000000000003</v>
      </c>
      <c r="I15" s="5"/>
      <c r="J15" s="5"/>
      <c r="K15" s="6">
        <f t="shared" si="0"/>
        <v>0</v>
      </c>
      <c r="L15" s="6"/>
      <c r="M15" s="6"/>
      <c r="N15" s="6"/>
      <c r="O15" s="6"/>
      <c r="P15" s="6"/>
      <c r="Q15" s="6">
        <f>+P15*5</f>
        <v>0</v>
      </c>
      <c r="R15" s="6">
        <f>+Q15</f>
        <v>0</v>
      </c>
      <c r="S15" s="6">
        <f>+R15</f>
        <v>0</v>
      </c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5"/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2030.4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182</v>
      </c>
      <c r="D20" s="21"/>
      <c r="E20" s="21"/>
      <c r="F20" s="22" t="s">
        <v>268</v>
      </c>
      <c r="G20" s="22" t="s">
        <v>54</v>
      </c>
      <c r="I20" s="17" t="s">
        <v>2</v>
      </c>
      <c r="J20" s="14"/>
      <c r="K20" s="16">
        <f>SUM(K12:K19)</f>
        <v>2297.4</v>
      </c>
      <c r="L20" s="16">
        <f t="shared" ref="L20:S20" si="1">SUM(L12:L19)</f>
        <v>0</v>
      </c>
      <c r="M20" s="16">
        <f t="shared" si="1"/>
        <v>267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2030.4</v>
      </c>
      <c r="R20" s="16">
        <f t="shared" si="1"/>
        <v>0</v>
      </c>
      <c r="S20" s="16">
        <f t="shared" si="1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104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5" t="s">
        <v>119</v>
      </c>
      <c r="C22" s="5"/>
      <c r="D22" s="5" t="s">
        <v>611</v>
      </c>
      <c r="E22" s="6">
        <v>4000</v>
      </c>
      <c r="F22" s="147">
        <f>26700/1000000</f>
        <v>2.6700000000000002E-2</v>
      </c>
      <c r="G22" s="6">
        <f>+F22*E22</f>
        <v>106.80000000000001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2:19" x14ac:dyDescent="0.25">
      <c r="B23" s="5" t="s">
        <v>679</v>
      </c>
      <c r="C23" s="5"/>
      <c r="D23" s="5" t="s">
        <v>611</v>
      </c>
      <c r="E23" s="6">
        <v>6000</v>
      </c>
      <c r="F23" s="147">
        <f>26700/1000000</f>
        <v>2.6700000000000002E-2</v>
      </c>
      <c r="G23" s="6">
        <f>+F23*E23</f>
        <v>160.20000000000002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2:19" x14ac:dyDescent="0.25">
      <c r="B24" s="5"/>
      <c r="C24" s="5"/>
      <c r="D24" s="5"/>
      <c r="E24" s="30"/>
      <c r="F24" s="6"/>
      <c r="G24" s="6">
        <f>+F24*E24</f>
        <v>0</v>
      </c>
      <c r="I24" s="15" t="str">
        <f>+I12</f>
        <v>IN27</v>
      </c>
      <c r="J24" s="15"/>
      <c r="K24" s="109"/>
      <c r="L24" s="6"/>
      <c r="M24" s="6">
        <f>NPV($L$8,P24:Y24)+O24</f>
        <v>1861.26023495906</v>
      </c>
      <c r="N24" s="6">
        <f>-PMT($L$8,2,M24)</f>
        <v>1015.1999999999999</v>
      </c>
      <c r="O24" s="112">
        <v>0</v>
      </c>
      <c r="P24" s="112">
        <f>+Q12*0.5</f>
        <v>1015.2</v>
      </c>
      <c r="Q24" s="112">
        <f>+P24</f>
        <v>1015.2</v>
      </c>
      <c r="R24" s="112"/>
    </row>
    <row r="25" spans="2:19" x14ac:dyDescent="0.25">
      <c r="B25" s="5"/>
      <c r="C25" s="5"/>
      <c r="D25" s="5"/>
      <c r="E25" s="30"/>
      <c r="F25" s="6"/>
      <c r="G25" s="6">
        <f>+F25*E25</f>
        <v>0</v>
      </c>
      <c r="I25" s="15" t="str">
        <f>+I13</f>
        <v>IN28</v>
      </c>
      <c r="J25" s="15"/>
      <c r="K25" s="109"/>
      <c r="L25" s="6"/>
      <c r="M25" s="6">
        <f>NPV($L$8,P25:Y25)+O25</f>
        <v>251.88679245283018</v>
      </c>
      <c r="N25" s="6">
        <f>-PMT($L$8,1,M25)</f>
        <v>267</v>
      </c>
      <c r="O25" s="112">
        <v>0</v>
      </c>
      <c r="P25" s="112">
        <f>+M13</f>
        <v>267</v>
      </c>
      <c r="Q25" s="112">
        <f>+N13</f>
        <v>0</v>
      </c>
      <c r="R25" s="112"/>
    </row>
    <row r="26" spans="2:19" x14ac:dyDescent="0.25">
      <c r="B26" s="5"/>
      <c r="C26" s="5"/>
      <c r="D26" s="8"/>
      <c r="E26" s="31"/>
      <c r="F26" s="9"/>
      <c r="G26" s="6"/>
    </row>
    <row r="27" spans="2:19" x14ac:dyDescent="0.25">
      <c r="B27" s="10" t="s">
        <v>2</v>
      </c>
      <c r="C27" s="11"/>
      <c r="D27" s="11"/>
      <c r="E27" s="12"/>
      <c r="F27" s="7"/>
      <c r="G27" s="24">
        <f>SUM(G22:G26)</f>
        <v>267</v>
      </c>
    </row>
    <row r="29" spans="2:19" x14ac:dyDescent="0.25">
      <c r="B29" s="65"/>
      <c r="C29" s="142"/>
      <c r="D29" s="142"/>
      <c r="E29" s="142"/>
      <c r="F29" s="142"/>
      <c r="G29" s="142"/>
      <c r="H29" s="72"/>
      <c r="I29" s="72"/>
    </row>
    <row r="30" spans="2:19" x14ac:dyDescent="0.25">
      <c r="B30" s="143"/>
      <c r="C30" s="144"/>
      <c r="D30" s="144"/>
      <c r="E30" s="144"/>
      <c r="F30" s="144"/>
      <c r="G30" s="144"/>
      <c r="H30" s="72"/>
      <c r="I30" s="72"/>
    </row>
    <row r="31" spans="2:19" x14ac:dyDescent="0.25">
      <c r="B31" s="67"/>
      <c r="C31" s="67"/>
      <c r="D31" s="67"/>
      <c r="E31" s="66"/>
      <c r="F31" s="66"/>
      <c r="G31" s="66"/>
      <c r="H31" s="72"/>
      <c r="I31" s="72"/>
    </row>
    <row r="32" spans="2:19" x14ac:dyDescent="0.25">
      <c r="B32" s="67"/>
      <c r="C32" s="67"/>
      <c r="D32" s="67"/>
      <c r="E32" s="66"/>
      <c r="F32" s="66"/>
      <c r="G32" s="66"/>
      <c r="H32" s="72"/>
      <c r="I32" s="72"/>
    </row>
    <row r="33" spans="2:9" x14ac:dyDescent="0.25">
      <c r="B33" s="67"/>
      <c r="C33" s="67"/>
      <c r="D33" s="67"/>
      <c r="E33" s="66"/>
      <c r="F33" s="66"/>
      <c r="G33" s="66"/>
      <c r="H33" s="72"/>
      <c r="I33" s="72"/>
    </row>
    <row r="34" spans="2:9" x14ac:dyDescent="0.25">
      <c r="B34" s="67"/>
      <c r="C34" s="67"/>
      <c r="D34" s="67"/>
      <c r="E34" s="66"/>
      <c r="F34" s="66"/>
      <c r="G34" s="66"/>
      <c r="H34" s="72"/>
      <c r="I34" s="72"/>
    </row>
    <row r="35" spans="2:9" x14ac:dyDescent="0.25">
      <c r="B35" s="67"/>
      <c r="C35" s="67"/>
      <c r="D35" s="67"/>
      <c r="E35" s="66"/>
      <c r="F35" s="66"/>
      <c r="G35" s="66"/>
      <c r="H35" s="72"/>
      <c r="I35" s="72"/>
    </row>
    <row r="36" spans="2:9" x14ac:dyDescent="0.25">
      <c r="B36" s="67"/>
      <c r="C36" s="67"/>
      <c r="D36" s="67"/>
      <c r="E36" s="66"/>
      <c r="F36" s="66"/>
      <c r="G36" s="66"/>
      <c r="H36" s="72"/>
      <c r="I36" s="72"/>
    </row>
    <row r="37" spans="2:9" x14ac:dyDescent="0.25">
      <c r="B37" s="72"/>
      <c r="C37" s="72"/>
      <c r="D37" s="72"/>
      <c r="E37" s="72"/>
      <c r="F37" s="72"/>
      <c r="G37" s="72"/>
      <c r="H37" s="72"/>
      <c r="I37" s="72"/>
    </row>
    <row r="38" spans="2:9" x14ac:dyDescent="0.25">
      <c r="B38" s="65"/>
      <c r="C38" s="142"/>
      <c r="D38" s="142"/>
      <c r="E38" s="142"/>
      <c r="F38" s="142"/>
      <c r="G38" s="142"/>
      <c r="H38" s="72"/>
      <c r="I38" s="72"/>
    </row>
    <row r="39" spans="2:9" x14ac:dyDescent="0.25">
      <c r="B39" s="143"/>
      <c r="C39" s="144"/>
      <c r="D39" s="144"/>
      <c r="E39" s="144"/>
      <c r="F39" s="144"/>
      <c r="G39" s="144"/>
      <c r="H39" s="72"/>
      <c r="I39" s="72"/>
    </row>
    <row r="40" spans="2:9" x14ac:dyDescent="0.25">
      <c r="B40" s="67"/>
      <c r="C40" s="67"/>
      <c r="D40" s="67"/>
      <c r="E40" s="66"/>
      <c r="F40" s="66"/>
      <c r="G40" s="66"/>
      <c r="H40" s="72"/>
      <c r="I40" s="72"/>
    </row>
    <row r="41" spans="2:9" x14ac:dyDescent="0.25">
      <c r="B41" s="67"/>
      <c r="C41" s="67"/>
      <c r="D41" s="67"/>
      <c r="E41" s="66"/>
      <c r="F41" s="66"/>
      <c r="G41" s="66"/>
      <c r="H41" s="72"/>
      <c r="I41" s="72"/>
    </row>
    <row r="42" spans="2:9" x14ac:dyDescent="0.25">
      <c r="B42" s="67"/>
      <c r="C42" s="67"/>
      <c r="D42" s="67"/>
      <c r="E42" s="66"/>
      <c r="F42" s="66"/>
      <c r="G42" s="66"/>
      <c r="H42" s="72"/>
      <c r="I42" s="72"/>
    </row>
    <row r="43" spans="2:9" x14ac:dyDescent="0.25">
      <c r="B43" s="67"/>
      <c r="C43" s="67"/>
      <c r="D43" s="67"/>
      <c r="E43" s="66"/>
      <c r="F43" s="66"/>
      <c r="G43" s="66"/>
      <c r="H43" s="72"/>
      <c r="I43" s="72"/>
    </row>
    <row r="44" spans="2:9" x14ac:dyDescent="0.25">
      <c r="B44" s="67"/>
      <c r="C44" s="67"/>
      <c r="D44" s="67"/>
      <c r="E44" s="66"/>
      <c r="F44" s="66"/>
      <c r="G44" s="66"/>
      <c r="H44" s="72"/>
      <c r="I44" s="72"/>
    </row>
    <row r="45" spans="2:9" x14ac:dyDescent="0.25">
      <c r="B45" s="67"/>
      <c r="C45" s="67"/>
      <c r="D45" s="67"/>
      <c r="E45" s="66"/>
      <c r="F45" s="66"/>
      <c r="G45" s="66"/>
      <c r="H45" s="72"/>
      <c r="I45" s="72"/>
    </row>
    <row r="46" spans="2:9" x14ac:dyDescent="0.25">
      <c r="B46" s="72"/>
      <c r="C46" s="72"/>
      <c r="D46" s="72"/>
      <c r="E46" s="72"/>
      <c r="F46" s="72"/>
      <c r="G46" s="72"/>
      <c r="H46" s="72"/>
      <c r="I46" s="72"/>
    </row>
    <row r="47" spans="2:9" x14ac:dyDescent="0.25">
      <c r="B47" s="65"/>
      <c r="C47" s="142"/>
      <c r="D47" s="142"/>
      <c r="E47" s="142"/>
      <c r="F47" s="142"/>
      <c r="G47" s="142"/>
      <c r="H47" s="72"/>
      <c r="I47" s="72"/>
    </row>
    <row r="48" spans="2:9" x14ac:dyDescent="0.25">
      <c r="B48" s="143"/>
      <c r="C48" s="144"/>
      <c r="D48" s="144"/>
      <c r="E48" s="144"/>
      <c r="F48" s="144"/>
      <c r="G48" s="144"/>
      <c r="H48" s="72"/>
      <c r="I48" s="72"/>
    </row>
    <row r="49" spans="2:9" x14ac:dyDescent="0.25">
      <c r="B49" s="67"/>
      <c r="C49" s="67"/>
      <c r="D49" s="67"/>
      <c r="E49" s="66"/>
      <c r="F49" s="66"/>
      <c r="G49" s="66"/>
      <c r="H49" s="72"/>
      <c r="I49" s="72"/>
    </row>
    <row r="50" spans="2:9" x14ac:dyDescent="0.25">
      <c r="B50" s="67"/>
      <c r="C50" s="67"/>
      <c r="D50" s="67"/>
      <c r="E50" s="66"/>
      <c r="F50" s="66"/>
      <c r="G50" s="66"/>
      <c r="H50" s="72"/>
      <c r="I50" s="72"/>
    </row>
    <row r="51" spans="2:9" x14ac:dyDescent="0.25">
      <c r="B51" s="67"/>
      <c r="C51" s="67"/>
      <c r="D51" s="67"/>
      <c r="E51" s="66"/>
      <c r="F51" s="66"/>
      <c r="G51" s="66"/>
      <c r="H51" s="72"/>
      <c r="I51" s="72"/>
    </row>
    <row r="52" spans="2:9" x14ac:dyDescent="0.25">
      <c r="B52" s="67"/>
      <c r="C52" s="67"/>
      <c r="D52" s="67"/>
      <c r="E52" s="66"/>
      <c r="F52" s="66"/>
      <c r="G52" s="66"/>
      <c r="H52" s="72"/>
      <c r="I52" s="72"/>
    </row>
    <row r="53" spans="2:9" x14ac:dyDescent="0.25">
      <c r="B53" s="67"/>
      <c r="C53" s="67"/>
      <c r="D53" s="67"/>
      <c r="E53" s="66"/>
      <c r="F53" s="66"/>
      <c r="G53" s="66"/>
      <c r="H53" s="72"/>
      <c r="I53" s="72"/>
    </row>
    <row r="54" spans="2:9" x14ac:dyDescent="0.25">
      <c r="B54" s="67"/>
      <c r="C54" s="67"/>
      <c r="D54" s="67"/>
      <c r="E54" s="66"/>
      <c r="F54" s="66"/>
      <c r="G54" s="66"/>
      <c r="H54" s="72"/>
      <c r="I54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4745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47457" r:id="rId3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2:S70"/>
  <sheetViews>
    <sheetView showGridLines="0" workbookViewId="0">
      <pane xSplit="8" ySplit="11" topLeftCell="I18" activePane="bottomRight" state="frozen"/>
      <selection activeCell="K8" sqref="K8:O8"/>
      <selection pane="topRight" activeCell="K8" sqref="K8:O8"/>
      <selection pane="bottomLeft" activeCell="K8" sqref="K8:O8"/>
      <selection pane="bottomRight" activeCell="M24" sqref="M24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3.5" customHeight="1" x14ac:dyDescent="0.25">
      <c r="B6" s="316" t="s">
        <v>92</v>
      </c>
      <c r="C6" s="316"/>
      <c r="D6" s="307" t="s">
        <v>174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183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136</v>
      </c>
      <c r="C8" s="309"/>
      <c r="D8" s="309"/>
      <c r="E8" s="309"/>
      <c r="F8" s="309"/>
      <c r="G8" s="18" t="s">
        <v>407</v>
      </c>
      <c r="I8" s="25" t="s">
        <v>21</v>
      </c>
      <c r="J8" s="25" t="s">
        <v>22</v>
      </c>
      <c r="K8" s="25"/>
      <c r="L8" s="25"/>
      <c r="M8" s="25"/>
      <c r="N8" s="25"/>
      <c r="O8" s="25"/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394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CA35</v>
      </c>
      <c r="J12" s="5" t="s">
        <v>101</v>
      </c>
      <c r="K12" s="6">
        <f>SUM(L12:S12)</f>
        <v>248970.73975200005</v>
      </c>
      <c r="L12" s="6">
        <f>+G18*0.1</f>
        <v>24897.073975200004</v>
      </c>
      <c r="M12" s="6">
        <f t="shared" ref="M12:P16" si="0">+L12</f>
        <v>24897.073975200004</v>
      </c>
      <c r="N12" s="6">
        <f t="shared" si="0"/>
        <v>24897.073975200004</v>
      </c>
      <c r="O12" s="6">
        <f t="shared" si="0"/>
        <v>24897.073975200004</v>
      </c>
      <c r="P12" s="6">
        <f t="shared" si="0"/>
        <v>24897.073975200004</v>
      </c>
      <c r="Q12" s="6">
        <f>+P12*5</f>
        <v>124485.36987600003</v>
      </c>
      <c r="R12" s="6"/>
      <c r="S12" s="6"/>
    </row>
    <row r="13" spans="2:19" x14ac:dyDescent="0.25">
      <c r="B13" s="5" t="s">
        <v>680</v>
      </c>
      <c r="C13" s="5"/>
      <c r="D13" s="5" t="s">
        <v>681</v>
      </c>
      <c r="E13" s="6">
        <v>173</v>
      </c>
      <c r="F13" s="156">
        <v>1439.1372240000001</v>
      </c>
      <c r="G13" s="6">
        <f>+F13*E13</f>
        <v>248970.73975200002</v>
      </c>
      <c r="I13" s="5"/>
      <c r="J13" s="5"/>
      <c r="K13" s="6">
        <f t="shared" ref="K13:K19" si="1">SUM(L13:S13)</f>
        <v>0</v>
      </c>
      <c r="L13" s="6">
        <f>+G27*0.1</f>
        <v>0</v>
      </c>
      <c r="M13" s="6">
        <f t="shared" si="0"/>
        <v>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>+P13*5</f>
        <v>0</v>
      </c>
      <c r="R13" s="6"/>
      <c r="S13" s="6"/>
    </row>
    <row r="14" spans="2:19" x14ac:dyDescent="0.25">
      <c r="B14" s="5"/>
      <c r="C14" s="5"/>
      <c r="D14" s="5"/>
      <c r="E14" s="6"/>
      <c r="F14" s="6"/>
      <c r="G14" s="6"/>
      <c r="I14" s="5"/>
      <c r="J14" s="5"/>
      <c r="K14" s="6">
        <f t="shared" si="1"/>
        <v>0</v>
      </c>
      <c r="L14" s="6">
        <f>+G36*0.1</f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>
        <f>+P14*5</f>
        <v>0</v>
      </c>
      <c r="R14" s="6"/>
      <c r="S14" s="6"/>
    </row>
    <row r="15" spans="2:19" x14ac:dyDescent="0.25">
      <c r="B15" s="5"/>
      <c r="C15" s="5"/>
      <c r="D15" s="5"/>
      <c r="E15" s="30"/>
      <c r="F15" s="6"/>
      <c r="G15" s="6">
        <f>+F15*E15</f>
        <v>0</v>
      </c>
      <c r="I15" s="5"/>
      <c r="J15" s="5"/>
      <c r="K15" s="6">
        <f t="shared" si="1"/>
        <v>0</v>
      </c>
      <c r="L15" s="6">
        <f>+G45*0.1</f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>+P15*5</f>
        <v>0</v>
      </c>
      <c r="R15" s="6"/>
      <c r="S15" s="6"/>
    </row>
    <row r="16" spans="2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>
        <f t="shared" si="1"/>
        <v>0</v>
      </c>
      <c r="L16" s="6">
        <f>+G54*0.1</f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6">
        <f>+P16*5</f>
        <v>0</v>
      </c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1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248970.73975200002</v>
      </c>
      <c r="I18" s="5"/>
      <c r="J18" s="5"/>
      <c r="K18" s="6">
        <f t="shared" si="1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1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248970.73975200005</v>
      </c>
      <c r="L20" s="16">
        <f t="shared" ref="L20:S20" si="2">SUM(L12:L19)</f>
        <v>24897.073975200004</v>
      </c>
      <c r="M20" s="16">
        <f t="shared" si="2"/>
        <v>24897.073975200004</v>
      </c>
      <c r="N20" s="16">
        <f t="shared" si="2"/>
        <v>24897.073975200004</v>
      </c>
      <c r="O20" s="16">
        <f t="shared" si="2"/>
        <v>24897.073975200004</v>
      </c>
      <c r="P20" s="16">
        <f t="shared" si="2"/>
        <v>24897.073975200004</v>
      </c>
      <c r="Q20" s="16">
        <f t="shared" si="2"/>
        <v>124485.36987600003</v>
      </c>
      <c r="R20" s="16">
        <f t="shared" si="2"/>
        <v>0</v>
      </c>
      <c r="S20" s="16">
        <f t="shared" si="2"/>
        <v>0</v>
      </c>
    </row>
    <row r="21" spans="2:19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67"/>
      <c r="C22" s="67"/>
      <c r="D22" s="67"/>
      <c r="E22" s="66"/>
      <c r="F22" s="66"/>
      <c r="G22" s="66"/>
      <c r="I22" s="113" t="s">
        <v>265</v>
      </c>
      <c r="J22" s="114"/>
      <c r="K22" s="114"/>
      <c r="L22" s="114"/>
      <c r="M22" s="114"/>
      <c r="N22" s="115"/>
      <c r="O22" s="13"/>
      <c r="P22" s="13"/>
      <c r="Q22" s="13"/>
    </row>
    <row r="23" spans="2:19" x14ac:dyDescent="0.25">
      <c r="B23" s="67"/>
      <c r="C23" s="67"/>
      <c r="D23" s="67"/>
      <c r="E23" s="66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</row>
    <row r="24" spans="2:19" x14ac:dyDescent="0.25">
      <c r="B24" s="67"/>
      <c r="C24" s="67"/>
      <c r="D24" s="67"/>
      <c r="E24" s="145"/>
      <c r="F24" s="66"/>
      <c r="G24" s="66"/>
      <c r="I24" s="15" t="str">
        <f>+I12</f>
        <v>CA35</v>
      </c>
      <c r="J24" s="15"/>
      <c r="K24" s="109"/>
      <c r="L24" s="6">
        <v>0.06</v>
      </c>
      <c r="M24" s="193">
        <v>0.06</v>
      </c>
      <c r="N24" s="6">
        <f>-PMT($L$8,2,M24)</f>
        <v>0.03</v>
      </c>
      <c r="O24" t="s">
        <v>767</v>
      </c>
    </row>
    <row r="25" spans="2:19" x14ac:dyDescent="0.25">
      <c r="B25" s="67"/>
      <c r="C25" s="67"/>
      <c r="D25" s="67"/>
      <c r="E25" s="145"/>
      <c r="F25" s="66"/>
      <c r="G25" s="66"/>
    </row>
    <row r="26" spans="2:19" x14ac:dyDescent="0.25">
      <c r="B26" s="67"/>
      <c r="C26" s="67"/>
      <c r="D26" s="67"/>
      <c r="E26" s="145"/>
      <c r="F26" s="66"/>
      <c r="G26" s="66"/>
    </row>
    <row r="27" spans="2:19" x14ac:dyDescent="0.25">
      <c r="B27" s="67"/>
      <c r="C27" s="67"/>
      <c r="D27" s="67"/>
      <c r="E27" s="66"/>
      <c r="F27" s="66"/>
      <c r="G27" s="146"/>
    </row>
    <row r="28" spans="2:19" x14ac:dyDescent="0.25">
      <c r="B28" s="72"/>
      <c r="C28" s="72"/>
      <c r="D28" s="72"/>
      <c r="E28" s="72"/>
      <c r="F28" s="72"/>
      <c r="G28" s="72"/>
    </row>
    <row r="29" spans="2:19" x14ac:dyDescent="0.25">
      <c r="B29" s="65"/>
      <c r="C29" s="142"/>
      <c r="D29" s="142"/>
      <c r="E29" s="142"/>
      <c r="F29" s="142"/>
      <c r="G29" s="142"/>
    </row>
    <row r="30" spans="2:19" x14ac:dyDescent="0.25">
      <c r="B30" s="143"/>
      <c r="C30" s="144"/>
      <c r="D30" s="144"/>
      <c r="E30" s="144"/>
      <c r="F30" s="144"/>
      <c r="G30" s="144"/>
    </row>
    <row r="31" spans="2:19" x14ac:dyDescent="0.25">
      <c r="B31" s="67"/>
      <c r="C31" s="67"/>
      <c r="D31" s="67"/>
      <c r="E31" s="66"/>
      <c r="F31" s="66"/>
      <c r="G31" s="66"/>
    </row>
    <row r="32" spans="2:19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72"/>
      <c r="C55" s="72"/>
      <c r="D55" s="72"/>
      <c r="E55" s="72"/>
      <c r="F55" s="72"/>
      <c r="G55" s="72"/>
    </row>
    <row r="56" spans="2:7" x14ac:dyDescent="0.25">
      <c r="B56" s="72"/>
      <c r="C56" s="72"/>
      <c r="D56" s="72"/>
      <c r="E56" s="72"/>
      <c r="F56" s="72"/>
      <c r="G56" s="72"/>
    </row>
    <row r="57" spans="2:7" x14ac:dyDescent="0.25">
      <c r="B57" s="72"/>
      <c r="C57" s="72"/>
      <c r="D57" s="72"/>
      <c r="E57" s="72"/>
      <c r="F57" s="72"/>
      <c r="G57" s="72"/>
    </row>
    <row r="58" spans="2:7" x14ac:dyDescent="0.25">
      <c r="B58" s="72"/>
      <c r="C58" s="72"/>
      <c r="D58" s="72"/>
      <c r="E58" s="72"/>
      <c r="F58" s="72"/>
      <c r="G58" s="72"/>
    </row>
    <row r="59" spans="2:7" x14ac:dyDescent="0.25">
      <c r="B59" s="72"/>
      <c r="C59" s="72"/>
      <c r="D59" s="72"/>
      <c r="E59" s="72"/>
      <c r="F59" s="72"/>
      <c r="G59" s="72"/>
    </row>
    <row r="60" spans="2:7" x14ac:dyDescent="0.25">
      <c r="B60" s="72"/>
      <c r="C60" s="72"/>
      <c r="D60" s="72"/>
      <c r="E60" s="72"/>
      <c r="F60" s="72"/>
      <c r="G60" s="72"/>
    </row>
    <row r="61" spans="2:7" x14ac:dyDescent="0.25">
      <c r="B61" s="72"/>
      <c r="C61" s="72"/>
      <c r="D61" s="72"/>
      <c r="E61" s="72"/>
      <c r="F61" s="72"/>
      <c r="G61" s="72"/>
    </row>
    <row r="62" spans="2:7" x14ac:dyDescent="0.25">
      <c r="B62" s="72"/>
      <c r="C62" s="72"/>
      <c r="D62" s="72"/>
      <c r="E62" s="72"/>
      <c r="F62" s="72"/>
      <c r="G62" s="72"/>
    </row>
    <row r="63" spans="2:7" x14ac:dyDescent="0.25">
      <c r="B63" s="72"/>
      <c r="C63" s="72"/>
      <c r="D63" s="72"/>
      <c r="E63" s="72"/>
      <c r="F63" s="72"/>
      <c r="G63" s="72"/>
    </row>
    <row r="64" spans="2:7" x14ac:dyDescent="0.25">
      <c r="B64" s="72"/>
      <c r="C64" s="72"/>
      <c r="D64" s="72"/>
      <c r="E64" s="72"/>
      <c r="F64" s="72"/>
      <c r="G64" s="72"/>
    </row>
    <row r="65" spans="2:7" x14ac:dyDescent="0.25">
      <c r="B65" s="72"/>
      <c r="C65" s="72"/>
      <c r="D65" s="72"/>
      <c r="E65" s="72"/>
      <c r="F65" s="72"/>
      <c r="G65" s="72"/>
    </row>
    <row r="66" spans="2:7" x14ac:dyDescent="0.25">
      <c r="B66" s="72"/>
      <c r="C66" s="72"/>
      <c r="D66" s="72"/>
      <c r="E66" s="72"/>
      <c r="F66" s="72"/>
      <c r="G66" s="72"/>
    </row>
    <row r="67" spans="2:7" x14ac:dyDescent="0.25">
      <c r="B67" s="72"/>
      <c r="C67" s="72"/>
      <c r="D67" s="72"/>
      <c r="E67" s="72"/>
      <c r="F67" s="72"/>
      <c r="G67" s="72"/>
    </row>
    <row r="68" spans="2:7" x14ac:dyDescent="0.25">
      <c r="B68" s="72"/>
      <c r="C68" s="72"/>
      <c r="D68" s="72"/>
      <c r="E68" s="72"/>
      <c r="F68" s="72"/>
      <c r="G68" s="72"/>
    </row>
    <row r="69" spans="2:7" x14ac:dyDescent="0.25">
      <c r="B69" s="72"/>
      <c r="C69" s="72"/>
      <c r="D69" s="72"/>
      <c r="E69" s="72"/>
      <c r="F69" s="72"/>
      <c r="G69" s="72"/>
    </row>
    <row r="70" spans="2:7" x14ac:dyDescent="0.25">
      <c r="B70" s="72"/>
      <c r="C70" s="72"/>
      <c r="D70" s="72"/>
      <c r="E70" s="72"/>
      <c r="F70" s="72"/>
      <c r="G70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6896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8961" r:id="rId3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54"/>
  <sheetViews>
    <sheetView showGridLines="0" workbookViewId="0">
      <pane xSplit="8" ySplit="11" topLeftCell="I15" activePane="bottomRight" state="frozen"/>
      <selection activeCell="K8" sqref="K8:O8"/>
      <selection pane="topRight" activeCell="K8" sqref="K8:O8"/>
      <selection pane="bottomLeft" activeCell="K8" sqref="K8:O8"/>
      <selection pane="bottomRight" activeCell="G13" sqref="G13"/>
    </sheetView>
  </sheetViews>
  <sheetFormatPr baseColWidth="10" defaultRowHeight="15" x14ac:dyDescent="0.25"/>
  <cols>
    <col min="1" max="1" width="6.5703125" customWidth="1"/>
    <col min="2" max="2" width="27.42578125" customWidth="1"/>
    <col min="6" max="6" width="14.28515625" customWidth="1"/>
    <col min="8" max="8" width="2.85546875" customWidth="1"/>
    <col min="9" max="9" width="12.57031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16" t="s">
        <v>92</v>
      </c>
      <c r="C6" s="316"/>
      <c r="D6" s="307" t="s">
        <v>174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16"/>
      <c r="C7" s="316"/>
      <c r="D7" s="307" t="s">
        <v>183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184</v>
      </c>
      <c r="C8" s="309"/>
      <c r="D8" s="309"/>
      <c r="E8" s="309"/>
      <c r="F8" s="309"/>
      <c r="G8" s="18" t="s">
        <v>408</v>
      </c>
      <c r="I8" s="25" t="s">
        <v>21</v>
      </c>
      <c r="J8" s="25" t="s">
        <v>22</v>
      </c>
      <c r="K8" s="25" t="s">
        <v>76</v>
      </c>
      <c r="L8" s="64">
        <v>0.06</v>
      </c>
      <c r="M8" s="25" t="s">
        <v>651</v>
      </c>
      <c r="N8" s="25">
        <v>2</v>
      </c>
      <c r="O8" s="25"/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/>
      <c r="D11" s="21"/>
      <c r="E11" s="21"/>
      <c r="F11" s="22" t="s">
        <v>268</v>
      </c>
      <c r="G11" s="22" t="s">
        <v>397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CA36</v>
      </c>
      <c r="J12" s="5" t="s">
        <v>118</v>
      </c>
      <c r="K12" s="6">
        <f>SUM(L12:S12)</f>
        <v>286</v>
      </c>
      <c r="L12" s="6"/>
      <c r="M12" s="6">
        <v>143</v>
      </c>
      <c r="N12" s="6">
        <v>143</v>
      </c>
      <c r="O12" s="6"/>
      <c r="P12" s="6"/>
      <c r="Q12" s="6"/>
      <c r="R12" s="6"/>
      <c r="S12" s="6"/>
    </row>
    <row r="13" spans="1:19" ht="48.75" x14ac:dyDescent="0.25">
      <c r="A13" t="s">
        <v>397</v>
      </c>
      <c r="B13" s="15" t="s">
        <v>414</v>
      </c>
      <c r="C13" s="5"/>
      <c r="D13" s="5" t="s">
        <v>682</v>
      </c>
      <c r="E13" s="6">
        <v>285</v>
      </c>
      <c r="F13" s="51">
        <v>1</v>
      </c>
      <c r="G13" s="6">
        <f>+F13*E13</f>
        <v>285</v>
      </c>
      <c r="I13" s="15" t="str">
        <f>+G20</f>
        <v>IN29</v>
      </c>
      <c r="J13" s="5" t="s">
        <v>118</v>
      </c>
      <c r="K13" s="6">
        <f t="shared" ref="K13:K19" si="0">SUM(L13:S13)</f>
        <v>267</v>
      </c>
      <c r="L13" s="6"/>
      <c r="M13" s="6"/>
      <c r="N13" s="6"/>
      <c r="O13" s="6"/>
      <c r="P13" s="6"/>
      <c r="Q13" s="6">
        <f>+G27</f>
        <v>267</v>
      </c>
      <c r="R13" s="6">
        <f>+G14*5</f>
        <v>0</v>
      </c>
      <c r="S13" s="6">
        <f>+R13</f>
        <v>0</v>
      </c>
    </row>
    <row r="14" spans="1:19" x14ac:dyDescent="0.25">
      <c r="B14" s="5"/>
      <c r="C14" s="5"/>
      <c r="D14" s="5"/>
      <c r="E14" s="6"/>
      <c r="F14" s="6"/>
      <c r="G14" s="6">
        <f>+F14*E14</f>
        <v>0</v>
      </c>
      <c r="I14" s="5"/>
      <c r="J14" s="5"/>
      <c r="K14" s="6">
        <f t="shared" si="0"/>
        <v>0</v>
      </c>
      <c r="L14" s="6"/>
      <c r="M14" s="6"/>
      <c r="N14" s="6"/>
      <c r="O14" s="6"/>
      <c r="P14" s="6"/>
      <c r="Q14" s="6"/>
      <c r="R14" s="6"/>
      <c r="S14" s="6"/>
    </row>
    <row r="15" spans="1:19" x14ac:dyDescent="0.25">
      <c r="B15" s="5"/>
      <c r="C15" s="5"/>
      <c r="D15" s="5"/>
      <c r="E15" s="30"/>
      <c r="F15" s="6"/>
      <c r="G15" s="6">
        <f>+F15*E15</f>
        <v>0</v>
      </c>
      <c r="I15" s="5"/>
      <c r="J15" s="5"/>
      <c r="K15" s="6">
        <f t="shared" si="0"/>
        <v>0</v>
      </c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</row>
    <row r="17" spans="1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1:19" x14ac:dyDescent="0.25">
      <c r="B18" s="10" t="s">
        <v>2</v>
      </c>
      <c r="C18" s="11"/>
      <c r="D18" s="11"/>
      <c r="E18" s="12"/>
      <c r="F18" s="7"/>
      <c r="G18" s="24"/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1:19" x14ac:dyDescent="0.25">
      <c r="B20" s="19" t="s">
        <v>3</v>
      </c>
      <c r="C20" s="20" t="s">
        <v>82</v>
      </c>
      <c r="D20" s="21"/>
      <c r="E20" s="21"/>
      <c r="F20" s="22" t="s">
        <v>268</v>
      </c>
      <c r="G20" s="22" t="s">
        <v>714</v>
      </c>
      <c r="I20" s="17" t="s">
        <v>2</v>
      </c>
      <c r="J20" s="14"/>
      <c r="K20" s="16">
        <f>SUM(K12:K19)</f>
        <v>553</v>
      </c>
      <c r="L20" s="16">
        <f t="shared" ref="L20:S20" si="1">SUM(L12:L19)</f>
        <v>0</v>
      </c>
      <c r="M20" s="16">
        <f t="shared" si="1"/>
        <v>143</v>
      </c>
      <c r="N20" s="16">
        <f t="shared" si="1"/>
        <v>143</v>
      </c>
      <c r="O20" s="16">
        <f t="shared" si="1"/>
        <v>0</v>
      </c>
      <c r="P20" s="16">
        <f t="shared" si="1"/>
        <v>0</v>
      </c>
      <c r="Q20" s="16">
        <f t="shared" si="1"/>
        <v>267</v>
      </c>
      <c r="R20" s="16">
        <f t="shared" si="1"/>
        <v>0</v>
      </c>
      <c r="S20" s="16">
        <f t="shared" si="1"/>
        <v>0</v>
      </c>
    </row>
    <row r="21" spans="1:19" ht="23.25" x14ac:dyDescent="0.25">
      <c r="B21" s="3" t="s">
        <v>13</v>
      </c>
      <c r="C21" s="4" t="s">
        <v>11</v>
      </c>
      <c r="D21" s="4" t="s">
        <v>9</v>
      </c>
      <c r="E21" s="4" t="s">
        <v>104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1:19" x14ac:dyDescent="0.25">
      <c r="A22" t="s">
        <v>714</v>
      </c>
      <c r="B22" s="5" t="s">
        <v>768</v>
      </c>
      <c r="C22" s="5"/>
      <c r="D22" s="5" t="s">
        <v>611</v>
      </c>
      <c r="E22" s="6">
        <v>2000</v>
      </c>
      <c r="F22" s="147">
        <f>26700/1000000</f>
        <v>2.6700000000000002E-2</v>
      </c>
      <c r="G22" s="6">
        <f>+F22*E22</f>
        <v>53.400000000000006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1:19" x14ac:dyDescent="0.25">
      <c r="B23" s="5" t="s">
        <v>770</v>
      </c>
      <c r="C23" s="5"/>
      <c r="D23" s="5" t="s">
        <v>769</v>
      </c>
      <c r="E23" s="6">
        <v>160</v>
      </c>
      <c r="F23" s="147">
        <f>26700/1000000*50</f>
        <v>1.335</v>
      </c>
      <c r="G23" s="6">
        <f>+F23*E23</f>
        <v>213.6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1:19" x14ac:dyDescent="0.25">
      <c r="B24" s="5"/>
      <c r="C24" s="5"/>
      <c r="D24" s="5"/>
      <c r="E24" s="30"/>
      <c r="F24" s="6"/>
      <c r="G24" s="6">
        <f>+F24*E24</f>
        <v>0</v>
      </c>
      <c r="I24" s="15" t="str">
        <f>+I12</f>
        <v>CA36</v>
      </c>
      <c r="J24" s="15"/>
      <c r="K24" s="109"/>
      <c r="L24" s="6"/>
      <c r="M24" s="6">
        <f>NPV($L$8,P24:Y24)+O24</f>
        <v>262.17515129939477</v>
      </c>
      <c r="N24" s="6">
        <f>-PMT($L$8,2,M24)</f>
        <v>143</v>
      </c>
      <c r="O24" s="112">
        <v>0</v>
      </c>
      <c r="P24" s="112">
        <f>+M12</f>
        <v>143</v>
      </c>
      <c r="Q24" s="112">
        <f>+N12</f>
        <v>143</v>
      </c>
      <c r="R24" s="112"/>
    </row>
    <row r="25" spans="1:19" x14ac:dyDescent="0.25">
      <c r="B25" s="5"/>
      <c r="C25" s="5"/>
      <c r="D25" s="5"/>
      <c r="E25" s="30"/>
      <c r="F25" s="6"/>
      <c r="G25" s="6">
        <f>+F25*E25</f>
        <v>0</v>
      </c>
      <c r="I25" s="15" t="str">
        <f>+I13</f>
        <v>IN29</v>
      </c>
      <c r="J25" s="15"/>
      <c r="K25" s="109"/>
      <c r="L25" s="6"/>
      <c r="M25" s="6">
        <f>NPV($L$8,P25:Y25)+O25</f>
        <v>244.75792096831609</v>
      </c>
      <c r="N25" s="6">
        <f>-PMT($L$8,1,M25)</f>
        <v>259.44339622641508</v>
      </c>
      <c r="O25" s="112">
        <v>0</v>
      </c>
      <c r="P25" s="112">
        <f>+Q13*0.5</f>
        <v>133.5</v>
      </c>
      <c r="Q25" s="112">
        <f>+P25</f>
        <v>133.5</v>
      </c>
      <c r="R25" s="112"/>
    </row>
    <row r="26" spans="1:19" x14ac:dyDescent="0.25">
      <c r="B26" s="5"/>
      <c r="C26" s="5"/>
      <c r="D26" s="8"/>
      <c r="E26" s="31"/>
      <c r="F26" s="9"/>
      <c r="G26" s="6"/>
    </row>
    <row r="27" spans="1:19" x14ac:dyDescent="0.25">
      <c r="B27" s="10" t="s">
        <v>2</v>
      </c>
      <c r="C27" s="11"/>
      <c r="D27" s="11"/>
      <c r="E27" s="12"/>
      <c r="F27" s="7"/>
      <c r="G27" s="24">
        <f>SUM(G22:G26)</f>
        <v>267</v>
      </c>
    </row>
    <row r="29" spans="1:19" x14ac:dyDescent="0.25">
      <c r="B29" s="19" t="s">
        <v>3</v>
      </c>
      <c r="C29" s="20" t="s">
        <v>83</v>
      </c>
      <c r="D29" s="21"/>
      <c r="E29" s="21"/>
      <c r="F29" s="22" t="s">
        <v>1</v>
      </c>
      <c r="G29" s="22"/>
    </row>
    <row r="30" spans="1:19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</row>
    <row r="31" spans="1:19" x14ac:dyDescent="0.25">
      <c r="B31" s="5"/>
      <c r="C31" s="5"/>
      <c r="D31" s="5"/>
      <c r="E31" s="6"/>
      <c r="F31" s="6"/>
      <c r="G31" s="6">
        <f>+F31*E31</f>
        <v>0</v>
      </c>
    </row>
    <row r="32" spans="1:19" x14ac:dyDescent="0.25">
      <c r="B32" s="5"/>
      <c r="C32" s="5"/>
      <c r="D32" s="5"/>
      <c r="E32" s="6"/>
      <c r="F32" s="6"/>
      <c r="G32" s="6">
        <f>+F32*E32</f>
        <v>0</v>
      </c>
    </row>
    <row r="33" spans="2:7" x14ac:dyDescent="0.25">
      <c r="B33" s="5"/>
      <c r="C33" s="5"/>
      <c r="D33" s="5"/>
      <c r="E33" s="6"/>
      <c r="F33" s="6"/>
      <c r="G33" s="6">
        <f>+F33*E33</f>
        <v>0</v>
      </c>
    </row>
    <row r="34" spans="2:7" x14ac:dyDescent="0.25">
      <c r="B34" s="5"/>
      <c r="C34" s="5"/>
      <c r="D34" s="5"/>
      <c r="E34" s="6"/>
      <c r="F34" s="6"/>
      <c r="G34" s="6">
        <f>+F34*E34</f>
        <v>0</v>
      </c>
    </row>
    <row r="35" spans="2:7" x14ac:dyDescent="0.25">
      <c r="B35" s="8"/>
      <c r="C35" s="8"/>
      <c r="D35" s="8"/>
      <c r="E35" s="9"/>
      <c r="F35" s="9"/>
      <c r="G35" s="6">
        <f>+F35*E35</f>
        <v>0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0</v>
      </c>
    </row>
    <row r="38" spans="2:7" x14ac:dyDescent="0.25">
      <c r="B38" s="19" t="s">
        <v>3</v>
      </c>
      <c r="C38" s="20" t="s">
        <v>85</v>
      </c>
      <c r="D38" s="21"/>
      <c r="E38" s="21"/>
      <c r="F38" s="22" t="s">
        <v>1</v>
      </c>
      <c r="G38" s="22"/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5"/>
      <c r="C40" s="5"/>
      <c r="D40" s="5"/>
      <c r="E40" s="6"/>
      <c r="F40" s="6"/>
      <c r="G40" s="6">
        <f>+F40*E40</f>
        <v>0</v>
      </c>
    </row>
    <row r="41" spans="2:7" x14ac:dyDescent="0.25">
      <c r="B41" s="5"/>
      <c r="C41" s="5"/>
      <c r="D41" s="5"/>
      <c r="E41" s="6"/>
      <c r="F41" s="6"/>
      <c r="G41" s="6">
        <f>+F41*E41</f>
        <v>0</v>
      </c>
    </row>
    <row r="42" spans="2:7" x14ac:dyDescent="0.25">
      <c r="B42" s="5"/>
      <c r="C42" s="5"/>
      <c r="D42" s="5"/>
      <c r="E42" s="6"/>
      <c r="F42" s="6"/>
      <c r="G42" s="6">
        <f>+F42*E42</f>
        <v>0</v>
      </c>
    </row>
    <row r="43" spans="2:7" x14ac:dyDescent="0.25">
      <c r="B43" s="5"/>
      <c r="C43" s="5"/>
      <c r="D43" s="5"/>
      <c r="E43" s="6"/>
      <c r="F43" s="6"/>
      <c r="G43" s="6">
        <f>+F43*E43</f>
        <v>0</v>
      </c>
    </row>
    <row r="44" spans="2:7" x14ac:dyDescent="0.25">
      <c r="B44" s="8"/>
      <c r="C44" s="8"/>
      <c r="D44" s="8"/>
      <c r="E44" s="9"/>
      <c r="F44" s="9"/>
      <c r="G44" s="6">
        <f>+F44*E44</f>
        <v>0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0</v>
      </c>
    </row>
    <row r="47" spans="2:7" x14ac:dyDescent="0.25">
      <c r="B47" s="19" t="s">
        <v>3</v>
      </c>
      <c r="C47" s="20" t="s">
        <v>84</v>
      </c>
      <c r="D47" s="21"/>
      <c r="E47" s="21"/>
      <c r="F47" s="22" t="s">
        <v>1</v>
      </c>
      <c r="G47" s="22"/>
    </row>
    <row r="48" spans="2:7" ht="23.25" x14ac:dyDescent="0.25">
      <c r="B48" s="3" t="s">
        <v>13</v>
      </c>
      <c r="C48" s="4" t="s">
        <v>11</v>
      </c>
      <c r="D48" s="4" t="s">
        <v>9</v>
      </c>
      <c r="E48" s="4" t="s">
        <v>10</v>
      </c>
      <c r="F48" s="4" t="s">
        <v>14</v>
      </c>
      <c r="G48" s="4" t="s">
        <v>12</v>
      </c>
    </row>
    <row r="49" spans="2:7" x14ac:dyDescent="0.25">
      <c r="B49" s="5" t="s">
        <v>106</v>
      </c>
      <c r="C49" s="5" t="s">
        <v>103</v>
      </c>
      <c r="D49" s="5" t="s">
        <v>90</v>
      </c>
      <c r="E49" s="6">
        <v>1</v>
      </c>
      <c r="F49" s="6">
        <v>350</v>
      </c>
      <c r="G49" s="6">
        <f>+F49*E49</f>
        <v>350</v>
      </c>
    </row>
    <row r="50" spans="2:7" x14ac:dyDescent="0.25">
      <c r="B50" s="5"/>
      <c r="C50" s="5"/>
      <c r="D50" s="5"/>
      <c r="E50" s="6"/>
      <c r="F50" s="6"/>
      <c r="G50" s="6">
        <f>+F50*E50</f>
        <v>0</v>
      </c>
    </row>
    <row r="51" spans="2:7" x14ac:dyDescent="0.25">
      <c r="B51" s="5"/>
      <c r="C51" s="5"/>
      <c r="D51" s="5"/>
      <c r="E51" s="6"/>
      <c r="F51" s="6"/>
      <c r="G51" s="6">
        <f>+F51*E51</f>
        <v>0</v>
      </c>
    </row>
    <row r="52" spans="2:7" x14ac:dyDescent="0.25">
      <c r="B52" s="5"/>
      <c r="C52" s="5"/>
      <c r="D52" s="5"/>
      <c r="E52" s="6"/>
      <c r="F52" s="6"/>
      <c r="G52" s="6">
        <f>+F52*E52</f>
        <v>0</v>
      </c>
    </row>
    <row r="53" spans="2:7" x14ac:dyDescent="0.25">
      <c r="B53" s="8"/>
      <c r="C53" s="8"/>
      <c r="D53" s="8"/>
      <c r="E53" s="9"/>
      <c r="F53" s="9"/>
      <c r="G53" s="6">
        <f>+F53*E53</f>
        <v>0</v>
      </c>
    </row>
    <row r="54" spans="2:7" x14ac:dyDescent="0.25">
      <c r="B54" s="10" t="s">
        <v>2</v>
      </c>
      <c r="C54" s="11"/>
      <c r="D54" s="11"/>
      <c r="E54" s="12"/>
      <c r="F54" s="7"/>
      <c r="G54" s="23">
        <f>SUM(G49:G53)</f>
        <v>350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6998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998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2:Z143"/>
  <sheetViews>
    <sheetView showGridLines="0" zoomScale="70" zoomScaleNormal="70" workbookViewId="0">
      <pane xSplit="8" ySplit="7" topLeftCell="N8" activePane="bottomRight" state="frozen"/>
      <selection activeCell="K8" sqref="K8:O8"/>
      <selection pane="topRight" activeCell="K8" sqref="K8:O8"/>
      <selection pane="bottomLeft" activeCell="K8" sqref="K8:O8"/>
      <selection pane="bottomRight" activeCell="T21" sqref="T21"/>
    </sheetView>
  </sheetViews>
  <sheetFormatPr baseColWidth="10" defaultRowHeight="15" x14ac:dyDescent="0.25"/>
  <cols>
    <col min="1" max="1" width="3.42578125" customWidth="1"/>
    <col min="2" max="2" width="10" customWidth="1"/>
    <col min="3" max="3" width="23.28515625" customWidth="1"/>
    <col min="4" max="4" width="15.42578125" customWidth="1"/>
    <col min="5" max="5" width="6" style="61" bestFit="1" customWidth="1"/>
    <col min="6" max="6" width="18.85546875" customWidth="1"/>
    <col min="7" max="7" width="3.42578125" customWidth="1"/>
    <col min="8" max="8" width="6.140625" customWidth="1"/>
    <col min="9" max="9" width="57.5703125" customWidth="1"/>
    <col min="10" max="10" width="31.5703125" bestFit="1" customWidth="1"/>
    <col min="11" max="12" width="17.28515625" style="103" customWidth="1"/>
    <col min="13" max="13" width="22.85546875" style="61" customWidth="1"/>
    <col min="14" max="14" width="13" style="61" bestFit="1" customWidth="1"/>
    <col min="15" max="15" width="21" style="61" customWidth="1"/>
    <col min="16" max="16" width="6" style="103" bestFit="1" customWidth="1"/>
    <col min="17" max="17" width="7" style="103" bestFit="1" customWidth="1"/>
    <col min="18" max="18" width="11.42578125" style="103"/>
    <col min="19" max="26" width="11.42578125" style="104"/>
  </cols>
  <sheetData>
    <row r="2" spans="1:26" x14ac:dyDescent="0.25">
      <c r="B2" s="217"/>
      <c r="C2" s="259" t="s">
        <v>19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1"/>
      <c r="O2" s="260"/>
      <c r="P2" s="260"/>
      <c r="Q2" s="260"/>
      <c r="R2" s="260"/>
      <c r="S2" s="260"/>
      <c r="T2" s="260"/>
      <c r="U2" s="260"/>
      <c r="V2" s="260"/>
      <c r="W2" s="262"/>
    </row>
    <row r="3" spans="1:26" x14ac:dyDescent="0.25">
      <c r="B3" s="217"/>
      <c r="C3" s="263" t="s">
        <v>18</v>
      </c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5"/>
      <c r="O3" s="264"/>
      <c r="P3" s="264"/>
      <c r="Q3" s="264"/>
      <c r="R3" s="264"/>
      <c r="S3" s="264"/>
      <c r="T3" s="264"/>
      <c r="U3" s="264"/>
      <c r="V3" s="264"/>
      <c r="W3" s="266"/>
    </row>
    <row r="4" spans="1:26" x14ac:dyDescent="0.25">
      <c r="B4" s="217"/>
      <c r="C4" s="267" t="s">
        <v>23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9"/>
      <c r="O4" s="268"/>
      <c r="P4" s="268"/>
      <c r="Q4" s="268"/>
      <c r="R4" s="268"/>
      <c r="S4" s="268"/>
      <c r="T4" s="268"/>
      <c r="U4" s="268"/>
      <c r="V4" s="268"/>
      <c r="W4" s="270"/>
    </row>
    <row r="5" spans="1:26" ht="15" customHeight="1" x14ac:dyDescent="0.5">
      <c r="B5" s="63"/>
      <c r="C5" s="54"/>
      <c r="D5" s="54"/>
      <c r="E5" s="54"/>
      <c r="F5" s="54"/>
      <c r="G5" s="172"/>
      <c r="H5" s="54"/>
      <c r="I5" s="54"/>
      <c r="J5" s="54"/>
      <c r="K5" s="56"/>
      <c r="L5" s="56"/>
      <c r="M5" s="130"/>
      <c r="N5" s="130"/>
      <c r="O5" s="184"/>
      <c r="P5" s="105"/>
      <c r="Q5" s="105"/>
      <c r="R5" s="105">
        <f>+R6/650</f>
        <v>3014.715786199999</v>
      </c>
      <c r="S5" s="105"/>
      <c r="T5" s="105"/>
      <c r="U5" s="105"/>
      <c r="V5" s="105"/>
      <c r="W5" s="105"/>
    </row>
    <row r="6" spans="1:26" ht="21.75" customHeight="1" x14ac:dyDescent="0.25">
      <c r="O6" s="185"/>
      <c r="P6" s="126"/>
      <c r="Q6" s="126"/>
      <c r="R6" s="126">
        <f>SUM(R8:R142)</f>
        <v>1959565.2610299992</v>
      </c>
      <c r="S6" s="276">
        <v>1</v>
      </c>
      <c r="T6" s="276"/>
      <c r="U6" s="276"/>
      <c r="V6" s="276"/>
      <c r="W6" s="276"/>
      <c r="X6" s="107">
        <v>2</v>
      </c>
      <c r="Y6" s="276">
        <v>3</v>
      </c>
      <c r="Z6" s="276"/>
    </row>
    <row r="7" spans="1:26" ht="30" x14ac:dyDescent="0.25">
      <c r="B7" s="74" t="s">
        <v>17</v>
      </c>
      <c r="C7" s="55" t="s">
        <v>266</v>
      </c>
      <c r="D7" s="55" t="s">
        <v>267</v>
      </c>
      <c r="E7" s="75" t="s">
        <v>268</v>
      </c>
      <c r="F7" s="55" t="s">
        <v>269</v>
      </c>
      <c r="G7" s="173"/>
      <c r="H7" s="55"/>
      <c r="I7" s="76" t="s">
        <v>270</v>
      </c>
      <c r="J7" s="76" t="s">
        <v>578</v>
      </c>
      <c r="K7" s="25" t="s">
        <v>21</v>
      </c>
      <c r="L7" s="25" t="s">
        <v>570</v>
      </c>
      <c r="M7" s="62" t="s">
        <v>569</v>
      </c>
      <c r="N7" s="62" t="s">
        <v>137</v>
      </c>
      <c r="O7" s="62" t="s">
        <v>739</v>
      </c>
      <c r="P7" s="25" t="s">
        <v>80</v>
      </c>
      <c r="Q7" s="25" t="s">
        <v>263</v>
      </c>
      <c r="R7" s="25" t="s">
        <v>121</v>
      </c>
      <c r="S7" s="106">
        <v>2018</v>
      </c>
      <c r="T7" s="106">
        <v>2019</v>
      </c>
      <c r="U7" s="106">
        <v>2020</v>
      </c>
      <c r="V7" s="106">
        <v>2021</v>
      </c>
      <c r="W7" s="106">
        <v>2022</v>
      </c>
      <c r="X7" s="106" t="s">
        <v>0</v>
      </c>
      <c r="Y7" s="106" t="s">
        <v>25</v>
      </c>
      <c r="Z7" s="106" t="s">
        <v>26</v>
      </c>
    </row>
    <row r="8" spans="1:26" ht="15" customHeight="1" x14ac:dyDescent="0.25">
      <c r="A8" t="str">
        <f>MID(H8,1,1)</f>
        <v>I</v>
      </c>
      <c r="B8" s="226" t="s">
        <v>271</v>
      </c>
      <c r="C8" s="253" t="s">
        <v>747</v>
      </c>
      <c r="D8" s="256" t="s">
        <v>155</v>
      </c>
      <c r="E8" s="272" t="s">
        <v>273</v>
      </c>
      <c r="F8" s="256" t="s">
        <v>154</v>
      </c>
      <c r="G8" s="171" t="str">
        <f>LEFT(H8,1)</f>
        <v>I</v>
      </c>
      <c r="H8" s="77" t="s">
        <v>27</v>
      </c>
      <c r="I8" s="62" t="s">
        <v>274</v>
      </c>
      <c r="J8" s="62"/>
      <c r="K8" s="25" t="s">
        <v>91</v>
      </c>
      <c r="L8" s="25" t="s">
        <v>605</v>
      </c>
      <c r="M8" s="62" t="s">
        <v>744</v>
      </c>
      <c r="N8" s="25" t="s">
        <v>134</v>
      </c>
      <c r="O8" s="186" t="s">
        <v>743</v>
      </c>
      <c r="P8" s="107"/>
      <c r="Q8" s="107">
        <f>+'SL01'!M24</f>
        <v>318.18529725881098</v>
      </c>
      <c r="R8" s="108">
        <f t="shared" ref="R8:R39" si="0">SUM(S8:Z8)</f>
        <v>347.1</v>
      </c>
      <c r="S8" s="107">
        <f>+'SL01'!L12</f>
        <v>0</v>
      </c>
      <c r="T8" s="107">
        <f>+'SL01'!M12</f>
        <v>0</v>
      </c>
      <c r="U8" s="107">
        <f>+'SL01'!N12</f>
        <v>0</v>
      </c>
      <c r="V8" s="107">
        <f>+'SL01'!O12</f>
        <v>0</v>
      </c>
      <c r="W8" s="107">
        <f>+'SL01'!P12</f>
        <v>0</v>
      </c>
      <c r="X8" s="107">
        <f>+'SL01'!Q12</f>
        <v>347.1</v>
      </c>
      <c r="Y8" s="107">
        <f>+'SL01'!R12</f>
        <v>0</v>
      </c>
      <c r="Z8" s="107">
        <f>+'SL01'!S12</f>
        <v>0</v>
      </c>
    </row>
    <row r="9" spans="1:26" x14ac:dyDescent="0.25">
      <c r="A9" t="str">
        <f t="shared" ref="A9:A72" si="1">MID(H9,1,1)</f>
        <v>I</v>
      </c>
      <c r="B9" s="227"/>
      <c r="C9" s="254"/>
      <c r="D9" s="257"/>
      <c r="E9" s="273"/>
      <c r="F9" s="257"/>
      <c r="G9" s="171" t="str">
        <f t="shared" ref="G9:G72" si="2">LEFT(H9,1)</f>
        <v>I</v>
      </c>
      <c r="H9" s="77" t="s">
        <v>28</v>
      </c>
      <c r="I9" s="62" t="s">
        <v>275</v>
      </c>
      <c r="J9" s="62"/>
      <c r="K9" s="25" t="s">
        <v>91</v>
      </c>
      <c r="L9" s="25" t="s">
        <v>605</v>
      </c>
      <c r="M9" s="62" t="s">
        <v>744</v>
      </c>
      <c r="N9" s="25" t="s">
        <v>134</v>
      </c>
      <c r="O9" s="186" t="s">
        <v>743</v>
      </c>
      <c r="P9" s="107"/>
      <c r="Q9" s="107">
        <f>+'SL01'!M25</f>
        <v>379.37477750088999</v>
      </c>
      <c r="R9" s="108">
        <f t="shared" si="0"/>
        <v>413.85</v>
      </c>
      <c r="S9" s="107">
        <f>+'SL01'!L13</f>
        <v>0</v>
      </c>
      <c r="T9" s="107">
        <f>+'SL01'!M13</f>
        <v>0</v>
      </c>
      <c r="U9" s="107">
        <f>+'SL01'!N13</f>
        <v>0</v>
      </c>
      <c r="V9" s="107">
        <f>+'SL01'!O13</f>
        <v>0</v>
      </c>
      <c r="W9" s="107">
        <f>+'SL01'!P13</f>
        <v>0</v>
      </c>
      <c r="X9" s="107">
        <f>+'SL01'!Q13</f>
        <v>413.85</v>
      </c>
      <c r="Y9" s="107">
        <f>+'SL01'!R13</f>
        <v>0</v>
      </c>
      <c r="Z9" s="107">
        <f>+'SL01'!S13</f>
        <v>0</v>
      </c>
    </row>
    <row r="10" spans="1:26" x14ac:dyDescent="0.25">
      <c r="A10" t="str">
        <f t="shared" si="1"/>
        <v>I</v>
      </c>
      <c r="B10" s="227"/>
      <c r="C10" s="254"/>
      <c r="D10" s="257"/>
      <c r="E10" s="273"/>
      <c r="F10" s="257"/>
      <c r="G10" s="171" t="str">
        <f t="shared" si="2"/>
        <v>I</v>
      </c>
      <c r="H10" s="77" t="s">
        <v>29</v>
      </c>
      <c r="I10" s="62" t="s">
        <v>276</v>
      </c>
      <c r="J10" s="62"/>
      <c r="K10" s="25" t="s">
        <v>91</v>
      </c>
      <c r="L10" s="25" t="s">
        <v>605</v>
      </c>
      <c r="M10" s="62" t="s">
        <v>744</v>
      </c>
      <c r="N10" s="25" t="s">
        <v>134</v>
      </c>
      <c r="O10" s="186" t="s">
        <v>743</v>
      </c>
      <c r="P10" s="107"/>
      <c r="Q10" s="107">
        <f>+'SL01'!M26</f>
        <v>318.18529725881098</v>
      </c>
      <c r="R10" s="108">
        <f t="shared" si="0"/>
        <v>347.1</v>
      </c>
      <c r="S10" s="107">
        <f>+'SL01'!L14</f>
        <v>0</v>
      </c>
      <c r="T10" s="107">
        <f>+'SL01'!M14</f>
        <v>0</v>
      </c>
      <c r="U10" s="107">
        <f>+'SL01'!N14</f>
        <v>0</v>
      </c>
      <c r="V10" s="107">
        <f>+'SL01'!O14</f>
        <v>0</v>
      </c>
      <c r="W10" s="107">
        <f>+'SL01'!P14</f>
        <v>0</v>
      </c>
      <c r="X10" s="107">
        <f>+'SL01'!Q14</f>
        <v>347.1</v>
      </c>
      <c r="Y10" s="107">
        <f>+'SL01'!R14</f>
        <v>0</v>
      </c>
      <c r="Z10" s="107">
        <f>+'SL01'!S14</f>
        <v>0</v>
      </c>
    </row>
    <row r="11" spans="1:26" x14ac:dyDescent="0.25">
      <c r="A11" t="str">
        <f t="shared" si="1"/>
        <v>I</v>
      </c>
      <c r="B11" s="227"/>
      <c r="C11" s="254"/>
      <c r="D11" s="257"/>
      <c r="E11" s="273"/>
      <c r="F11" s="257"/>
      <c r="G11" s="171" t="str">
        <f t="shared" si="2"/>
        <v>I</v>
      </c>
      <c r="H11" s="77" t="s">
        <v>30</v>
      </c>
      <c r="I11" s="62" t="s">
        <v>277</v>
      </c>
      <c r="J11" s="62"/>
      <c r="K11" s="25" t="s">
        <v>91</v>
      </c>
      <c r="L11" s="25" t="s">
        <v>605</v>
      </c>
      <c r="M11" s="62" t="s">
        <v>744</v>
      </c>
      <c r="N11" s="25" t="s">
        <v>134</v>
      </c>
      <c r="O11" s="186" t="s">
        <v>743</v>
      </c>
      <c r="P11" s="107"/>
      <c r="Q11" s="107">
        <f>+'SL01'!M27</f>
        <v>318.18529725881098</v>
      </c>
      <c r="R11" s="108">
        <f t="shared" si="0"/>
        <v>347.1</v>
      </c>
      <c r="S11" s="107">
        <f>+'SL01'!L15</f>
        <v>0</v>
      </c>
      <c r="T11" s="107">
        <f>+'SL01'!M15</f>
        <v>0</v>
      </c>
      <c r="U11" s="107">
        <f>+'SL01'!N15</f>
        <v>0</v>
      </c>
      <c r="V11" s="107">
        <f>+'SL01'!O15</f>
        <v>0</v>
      </c>
      <c r="W11" s="107">
        <f>+'SL01'!P15</f>
        <v>0</v>
      </c>
      <c r="X11" s="107">
        <f>+'SL01'!Q15</f>
        <v>347.1</v>
      </c>
      <c r="Y11" s="107">
        <f>+'SL01'!R15</f>
        <v>0</v>
      </c>
      <c r="Z11" s="107">
        <f>+'SL01'!S15</f>
        <v>0</v>
      </c>
    </row>
    <row r="12" spans="1:26" x14ac:dyDescent="0.25">
      <c r="A12" t="str">
        <f t="shared" si="1"/>
        <v>I</v>
      </c>
      <c r="B12" s="227"/>
      <c r="C12" s="254"/>
      <c r="D12" s="257"/>
      <c r="E12" s="274"/>
      <c r="F12" s="258"/>
      <c r="G12" s="171" t="str">
        <f t="shared" si="2"/>
        <v>I</v>
      </c>
      <c r="H12" s="77" t="s">
        <v>31</v>
      </c>
      <c r="I12" s="62" t="s">
        <v>278</v>
      </c>
      <c r="J12" s="62"/>
      <c r="K12" s="25" t="s">
        <v>91</v>
      </c>
      <c r="L12" s="25" t="s">
        <v>605</v>
      </c>
      <c r="M12" s="62" t="s">
        <v>744</v>
      </c>
      <c r="N12" s="25" t="s">
        <v>134</v>
      </c>
      <c r="O12" s="186" t="s">
        <v>743</v>
      </c>
      <c r="P12" s="107"/>
      <c r="Q12" s="107">
        <f>+'SL01'!M28</f>
        <v>440.564257742969</v>
      </c>
      <c r="R12" s="108">
        <f t="shared" si="0"/>
        <v>480.6</v>
      </c>
      <c r="S12" s="107">
        <f>+'SL01'!L16</f>
        <v>0</v>
      </c>
      <c r="T12" s="107">
        <f>+'SL01'!M16</f>
        <v>0</v>
      </c>
      <c r="U12" s="107">
        <f>+'SL01'!N16</f>
        <v>0</v>
      </c>
      <c r="V12" s="107">
        <f>+'SL01'!O16</f>
        <v>0</v>
      </c>
      <c r="W12" s="107">
        <f>+'SL01'!P16</f>
        <v>0</v>
      </c>
      <c r="X12" s="107">
        <f>+'SL01'!Q16</f>
        <v>480.6</v>
      </c>
      <c r="Y12" s="107">
        <f>+'SL01'!R16</f>
        <v>0</v>
      </c>
      <c r="Z12" s="107">
        <f>+'SL01'!S16</f>
        <v>0</v>
      </c>
    </row>
    <row r="13" spans="1:26" ht="15" customHeight="1" x14ac:dyDescent="0.25">
      <c r="A13" t="str">
        <f t="shared" si="1"/>
        <v>I</v>
      </c>
      <c r="B13" s="227"/>
      <c r="C13" s="254"/>
      <c r="D13" s="257"/>
      <c r="E13" s="272" t="s">
        <v>279</v>
      </c>
      <c r="F13" s="256" t="s">
        <v>157</v>
      </c>
      <c r="G13" s="171" t="str">
        <f t="shared" si="2"/>
        <v>I</v>
      </c>
      <c r="H13" s="77" t="s">
        <v>32</v>
      </c>
      <c r="I13" s="62" t="s">
        <v>280</v>
      </c>
      <c r="J13" s="62"/>
      <c r="K13" s="25" t="s">
        <v>91</v>
      </c>
      <c r="L13" s="25" t="s">
        <v>605</v>
      </c>
      <c r="M13" s="62" t="s">
        <v>744</v>
      </c>
      <c r="N13" s="25" t="s">
        <v>660</v>
      </c>
      <c r="O13" s="186" t="s">
        <v>743</v>
      </c>
      <c r="P13" s="107"/>
      <c r="Q13" s="107">
        <f>+'SL02'!M24</f>
        <v>0</v>
      </c>
      <c r="R13" s="108">
        <f t="shared" si="0"/>
        <v>0</v>
      </c>
      <c r="S13" s="107">
        <f>+'SL02'!L12</f>
        <v>0</v>
      </c>
      <c r="T13" s="107">
        <f>+'SL02'!M12</f>
        <v>0</v>
      </c>
      <c r="U13" s="107">
        <f>+'SL02'!N12</f>
        <v>0</v>
      </c>
      <c r="V13" s="107">
        <f>+'SL02'!O12</f>
        <v>0</v>
      </c>
      <c r="W13" s="107">
        <f>+'SL02'!P12</f>
        <v>0</v>
      </c>
      <c r="X13" s="107">
        <f>+'SL02'!Q12</f>
        <v>0</v>
      </c>
      <c r="Y13" s="107">
        <f>+'SL02'!R12</f>
        <v>0</v>
      </c>
      <c r="Z13" s="107">
        <f>+'SL02'!S12</f>
        <v>0</v>
      </c>
    </row>
    <row r="14" spans="1:26" x14ac:dyDescent="0.25">
      <c r="A14" t="str">
        <f t="shared" si="1"/>
        <v>I</v>
      </c>
      <c r="B14" s="227"/>
      <c r="C14" s="254"/>
      <c r="D14" s="257"/>
      <c r="E14" s="273"/>
      <c r="F14" s="257"/>
      <c r="G14" s="171" t="str">
        <f t="shared" si="2"/>
        <v>I</v>
      </c>
      <c r="H14" s="77" t="s">
        <v>33</v>
      </c>
      <c r="I14" s="62" t="s">
        <v>281</v>
      </c>
      <c r="J14" s="62"/>
      <c r="K14" s="25" t="s">
        <v>91</v>
      </c>
      <c r="L14" s="25" t="s">
        <v>605</v>
      </c>
      <c r="M14" s="62" t="s">
        <v>744</v>
      </c>
      <c r="N14" s="25" t="s">
        <v>660</v>
      </c>
      <c r="O14" s="186" t="s">
        <v>743</v>
      </c>
      <c r="P14" s="107"/>
      <c r="Q14" s="107">
        <f>+'SL02'!M25</f>
        <v>0</v>
      </c>
      <c r="R14" s="108">
        <f t="shared" si="0"/>
        <v>0</v>
      </c>
      <c r="S14" s="107">
        <f>+'SL02'!L13</f>
        <v>0</v>
      </c>
      <c r="T14" s="107">
        <f>+'SL02'!M13</f>
        <v>0</v>
      </c>
      <c r="U14" s="107">
        <f>+'SL02'!N13</f>
        <v>0</v>
      </c>
      <c r="V14" s="107">
        <f>+'SL02'!O13</f>
        <v>0</v>
      </c>
      <c r="W14" s="107">
        <f>+'SL02'!P13</f>
        <v>0</v>
      </c>
      <c r="X14" s="107">
        <f>+'SL02'!Q13</f>
        <v>0</v>
      </c>
      <c r="Y14" s="107">
        <f>+'SL02'!R13</f>
        <v>0</v>
      </c>
      <c r="Z14" s="107">
        <f>+'SL02'!S13</f>
        <v>0</v>
      </c>
    </row>
    <row r="15" spans="1:26" x14ac:dyDescent="0.25">
      <c r="A15" t="str">
        <f t="shared" si="1"/>
        <v>I</v>
      </c>
      <c r="B15" s="227"/>
      <c r="C15" s="254"/>
      <c r="D15" s="257"/>
      <c r="E15" s="273"/>
      <c r="F15" s="257"/>
      <c r="G15" s="171" t="str">
        <f t="shared" si="2"/>
        <v>I</v>
      </c>
      <c r="H15" s="77" t="s">
        <v>34</v>
      </c>
      <c r="I15" s="62" t="s">
        <v>282</v>
      </c>
      <c r="J15" s="62"/>
      <c r="K15" s="25" t="s">
        <v>91</v>
      </c>
      <c r="L15" s="25" t="s">
        <v>605</v>
      </c>
      <c r="M15" s="62" t="s">
        <v>744</v>
      </c>
      <c r="N15" s="25" t="s">
        <v>660</v>
      </c>
      <c r="O15" s="186" t="s">
        <v>743</v>
      </c>
      <c r="P15" s="107"/>
      <c r="Q15" s="107">
        <f>+'SL02'!M26</f>
        <v>0</v>
      </c>
      <c r="R15" s="108">
        <f t="shared" si="0"/>
        <v>0</v>
      </c>
      <c r="S15" s="107">
        <f>+'SL02'!L14</f>
        <v>0</v>
      </c>
      <c r="T15" s="107">
        <f>+'SL02'!M14</f>
        <v>0</v>
      </c>
      <c r="U15" s="107">
        <f>+'SL02'!N14</f>
        <v>0</v>
      </c>
      <c r="V15" s="107">
        <f>+'SL02'!O14</f>
        <v>0</v>
      </c>
      <c r="W15" s="107">
        <f>+'SL02'!P14</f>
        <v>0</v>
      </c>
      <c r="X15" s="107">
        <f>+'SL02'!Q14</f>
        <v>0</v>
      </c>
      <c r="Y15" s="107">
        <f>+'SL02'!R14</f>
        <v>0</v>
      </c>
      <c r="Z15" s="107">
        <f>+'SL02'!S14</f>
        <v>0</v>
      </c>
    </row>
    <row r="16" spans="1:26" x14ac:dyDescent="0.25">
      <c r="A16" t="str">
        <f t="shared" si="1"/>
        <v>I</v>
      </c>
      <c r="B16" s="227"/>
      <c r="C16" s="254"/>
      <c r="D16" s="257"/>
      <c r="E16" s="273"/>
      <c r="F16" s="257"/>
      <c r="G16" s="171" t="str">
        <f t="shared" si="2"/>
        <v>I</v>
      </c>
      <c r="H16" s="77" t="s">
        <v>35</v>
      </c>
      <c r="I16" s="62" t="s">
        <v>283</v>
      </c>
      <c r="J16" s="62"/>
      <c r="K16" s="25" t="s">
        <v>91</v>
      </c>
      <c r="L16" s="25" t="s">
        <v>605</v>
      </c>
      <c r="M16" s="62" t="s">
        <v>744</v>
      </c>
      <c r="N16" s="25" t="s">
        <v>660</v>
      </c>
      <c r="O16" s="186" t="s">
        <v>743</v>
      </c>
      <c r="P16" s="107"/>
      <c r="Q16" s="107">
        <f>+'SL02'!M27</f>
        <v>0</v>
      </c>
      <c r="R16" s="108">
        <f t="shared" si="0"/>
        <v>0</v>
      </c>
      <c r="S16" s="107">
        <f>+'SL02'!L15</f>
        <v>0</v>
      </c>
      <c r="T16" s="107">
        <f>+'SL02'!M15</f>
        <v>0</v>
      </c>
      <c r="U16" s="107">
        <f>+'SL02'!N15</f>
        <v>0</v>
      </c>
      <c r="V16" s="107">
        <f>+'SL02'!O15</f>
        <v>0</v>
      </c>
      <c r="W16" s="107">
        <f>+'SL02'!P15</f>
        <v>0</v>
      </c>
      <c r="X16" s="107">
        <f>+'SL02'!Q15</f>
        <v>0</v>
      </c>
      <c r="Y16" s="107">
        <f>+'SL02'!R15</f>
        <v>0</v>
      </c>
      <c r="Z16" s="107">
        <f>+'SL02'!S15</f>
        <v>0</v>
      </c>
    </row>
    <row r="17" spans="1:26" x14ac:dyDescent="0.25">
      <c r="A17" t="str">
        <f t="shared" si="1"/>
        <v>I</v>
      </c>
      <c r="B17" s="227"/>
      <c r="C17" s="254"/>
      <c r="D17" s="258"/>
      <c r="E17" s="274"/>
      <c r="F17" s="258"/>
      <c r="G17" s="171" t="str">
        <f t="shared" si="2"/>
        <v>I</v>
      </c>
      <c r="H17" s="77" t="s">
        <v>36</v>
      </c>
      <c r="I17" s="62" t="s">
        <v>284</v>
      </c>
      <c r="J17" s="62"/>
      <c r="K17" s="25" t="s">
        <v>91</v>
      </c>
      <c r="L17" s="25" t="s">
        <v>605</v>
      </c>
      <c r="M17" s="62" t="s">
        <v>744</v>
      </c>
      <c r="N17" s="25" t="s">
        <v>660</v>
      </c>
      <c r="O17" s="186" t="s">
        <v>743</v>
      </c>
      <c r="P17" s="107"/>
      <c r="Q17" s="107">
        <f>+'SL02'!M28</f>
        <v>0</v>
      </c>
      <c r="R17" s="108">
        <f t="shared" si="0"/>
        <v>0</v>
      </c>
      <c r="S17" s="107">
        <f>+'SL02'!L16</f>
        <v>0</v>
      </c>
      <c r="T17" s="107">
        <f>+'SL02'!M16</f>
        <v>0</v>
      </c>
      <c r="U17" s="107">
        <f>+'SL02'!N16</f>
        <v>0</v>
      </c>
      <c r="V17" s="107">
        <f>+'SL02'!O16</f>
        <v>0</v>
      </c>
      <c r="W17" s="107">
        <f>+'SL02'!P16</f>
        <v>0</v>
      </c>
      <c r="X17" s="107">
        <f>+'SL02'!Q16</f>
        <v>0</v>
      </c>
      <c r="Y17" s="107">
        <f>+'SL02'!R16</f>
        <v>0</v>
      </c>
      <c r="Z17" s="107">
        <f>+'SL02'!S16</f>
        <v>0</v>
      </c>
    </row>
    <row r="18" spans="1:26" ht="15" customHeight="1" x14ac:dyDescent="0.25">
      <c r="A18" t="str">
        <f t="shared" si="1"/>
        <v>C</v>
      </c>
      <c r="B18" s="227"/>
      <c r="C18" s="254"/>
      <c r="D18" s="256" t="s">
        <v>159</v>
      </c>
      <c r="E18" s="272" t="s">
        <v>285</v>
      </c>
      <c r="F18" s="256" t="s">
        <v>158</v>
      </c>
      <c r="G18" s="171" t="str">
        <f t="shared" si="2"/>
        <v>C</v>
      </c>
      <c r="H18" s="77" t="s">
        <v>286</v>
      </c>
      <c r="I18" s="78" t="s">
        <v>287</v>
      </c>
      <c r="J18" s="78" t="s">
        <v>288</v>
      </c>
      <c r="K18" s="25" t="s">
        <v>22</v>
      </c>
      <c r="L18" s="25" t="s">
        <v>579</v>
      </c>
      <c r="M18" s="62" t="s">
        <v>580</v>
      </c>
      <c r="N18" s="25" t="s">
        <v>660</v>
      </c>
      <c r="O18" s="186" t="s">
        <v>743</v>
      </c>
      <c r="P18" s="120">
        <f>+'SL03'!L38</f>
        <v>0.153</v>
      </c>
      <c r="Q18" s="107"/>
      <c r="R18" s="108">
        <f t="shared" si="0"/>
        <v>16000</v>
      </c>
      <c r="S18" s="107">
        <f>+'SL03'!L13</f>
        <v>0</v>
      </c>
      <c r="T18" s="107">
        <f>+'SL03'!M13</f>
        <v>0</v>
      </c>
      <c r="U18" s="107">
        <f>+'SL03'!N13</f>
        <v>16000</v>
      </c>
      <c r="V18" s="107">
        <f>+'SL03'!O13</f>
        <v>0</v>
      </c>
      <c r="W18" s="107">
        <f>+'SL03'!P13</f>
        <v>0</v>
      </c>
      <c r="X18" s="107">
        <f>+'SL03'!Q13</f>
        <v>0</v>
      </c>
      <c r="Y18" s="107">
        <f>+'SL03'!R13</f>
        <v>0</v>
      </c>
      <c r="Z18" s="107">
        <f>+'SL03'!S13</f>
        <v>0</v>
      </c>
    </row>
    <row r="19" spans="1:26" x14ac:dyDescent="0.25">
      <c r="A19" t="str">
        <f t="shared" si="1"/>
        <v>C</v>
      </c>
      <c r="B19" s="227"/>
      <c r="C19" s="254"/>
      <c r="D19" s="257"/>
      <c r="E19" s="273"/>
      <c r="F19" s="257"/>
      <c r="G19" s="171" t="str">
        <f t="shared" si="2"/>
        <v>C</v>
      </c>
      <c r="H19" s="77" t="s">
        <v>289</v>
      </c>
      <c r="I19" s="78" t="s">
        <v>290</v>
      </c>
      <c r="J19" s="78" t="s">
        <v>291</v>
      </c>
      <c r="K19" s="25" t="s">
        <v>22</v>
      </c>
      <c r="L19" s="25" t="s">
        <v>579</v>
      </c>
      <c r="M19" s="62" t="s">
        <v>580</v>
      </c>
      <c r="N19" s="25" t="s">
        <v>660</v>
      </c>
      <c r="O19" s="186" t="s">
        <v>743</v>
      </c>
      <c r="P19" s="120">
        <f>+'SL03'!L39</f>
        <v>0.10589999999999999</v>
      </c>
      <c r="Q19" s="107"/>
      <c r="R19" s="108">
        <f t="shared" si="0"/>
        <v>2360.2979999999998</v>
      </c>
      <c r="S19" s="107">
        <f>+'SL03'!L14</f>
        <v>0</v>
      </c>
      <c r="T19" s="107">
        <f>+'SL03'!M14</f>
        <v>0</v>
      </c>
      <c r="U19" s="107">
        <f>+'SL03'!N14</f>
        <v>2360.2979999999998</v>
      </c>
      <c r="V19" s="107">
        <f>+'SL03'!O14</f>
        <v>0</v>
      </c>
      <c r="W19" s="107">
        <f>+'SL03'!P14</f>
        <v>0</v>
      </c>
      <c r="X19" s="107">
        <f>+'SL03'!Q14</f>
        <v>0</v>
      </c>
      <c r="Y19" s="107">
        <f>+'SL03'!R14</f>
        <v>0</v>
      </c>
      <c r="Z19" s="107">
        <f>+'SL03'!S14</f>
        <v>0</v>
      </c>
    </row>
    <row r="20" spans="1:26" x14ac:dyDescent="0.25">
      <c r="A20" t="str">
        <f t="shared" si="1"/>
        <v>C</v>
      </c>
      <c r="B20" s="227"/>
      <c r="C20" s="254"/>
      <c r="D20" s="257"/>
      <c r="E20" s="273"/>
      <c r="F20" s="257"/>
      <c r="G20" s="171" t="str">
        <f t="shared" si="2"/>
        <v>C</v>
      </c>
      <c r="H20" s="77" t="s">
        <v>292</v>
      </c>
      <c r="I20" s="78" t="s">
        <v>293</v>
      </c>
      <c r="J20" s="78" t="s">
        <v>294</v>
      </c>
      <c r="K20" s="25" t="s">
        <v>22</v>
      </c>
      <c r="L20" s="25" t="s">
        <v>579</v>
      </c>
      <c r="M20" s="62" t="s">
        <v>580</v>
      </c>
      <c r="N20" s="25" t="s">
        <v>660</v>
      </c>
      <c r="O20" s="186" t="s">
        <v>743</v>
      </c>
      <c r="P20" s="120">
        <f>+'SL03'!L40</f>
        <v>4.3999999999999997E-2</v>
      </c>
      <c r="Q20" s="107"/>
      <c r="R20" s="108">
        <f t="shared" si="0"/>
        <v>22367.09</v>
      </c>
      <c r="S20" s="107">
        <f>+'SL03'!L15</f>
        <v>22367.09</v>
      </c>
      <c r="T20" s="107">
        <f>+'SL03'!M15</f>
        <v>0</v>
      </c>
      <c r="U20" s="107">
        <f>+'SL03'!N15</f>
        <v>0</v>
      </c>
      <c r="V20" s="107">
        <f>+'SL03'!O15</f>
        <v>0</v>
      </c>
      <c r="W20" s="107">
        <f>+'SL03'!P15</f>
        <v>0</v>
      </c>
      <c r="X20" s="107">
        <f>+'SL03'!Q15</f>
        <v>0</v>
      </c>
      <c r="Y20" s="107">
        <f>+'SL03'!R15</f>
        <v>0</v>
      </c>
      <c r="Z20" s="107">
        <f>+'SL03'!S15</f>
        <v>0</v>
      </c>
    </row>
    <row r="21" spans="1:26" x14ac:dyDescent="0.25">
      <c r="A21" t="str">
        <f t="shared" si="1"/>
        <v>C</v>
      </c>
      <c r="B21" s="227"/>
      <c r="C21" s="254"/>
      <c r="D21" s="257"/>
      <c r="E21" s="273"/>
      <c r="F21" s="257"/>
      <c r="G21" s="171" t="str">
        <f t="shared" si="2"/>
        <v>C</v>
      </c>
      <c r="H21" s="77" t="s">
        <v>295</v>
      </c>
      <c r="I21" s="78" t="s">
        <v>296</v>
      </c>
      <c r="J21" s="78" t="s">
        <v>297</v>
      </c>
      <c r="K21" s="25" t="s">
        <v>22</v>
      </c>
      <c r="L21" s="25" t="s">
        <v>579</v>
      </c>
      <c r="M21" s="62" t="s">
        <v>580</v>
      </c>
      <c r="N21" s="25" t="s">
        <v>660</v>
      </c>
      <c r="O21" s="186" t="s">
        <v>743</v>
      </c>
      <c r="P21" s="120">
        <f>+'SL03'!L41</f>
        <v>6.5000000000000002E-2</v>
      </c>
      <c r="Q21" s="107"/>
      <c r="R21" s="108">
        <f t="shared" si="0"/>
        <v>211200</v>
      </c>
      <c r="S21" s="107">
        <f>+'SL03'!L16</f>
        <v>0</v>
      </c>
      <c r="T21" s="107">
        <f>+'SL03'!M16</f>
        <v>0</v>
      </c>
      <c r="U21" s="107">
        <f>+'SL03'!N16</f>
        <v>0</v>
      </c>
      <c r="V21" s="107">
        <f>+'SL03'!O16</f>
        <v>0</v>
      </c>
      <c r="W21" s="107">
        <f>+'SL03'!P16</f>
        <v>0</v>
      </c>
      <c r="X21" s="107">
        <f>+'SL03'!Q16</f>
        <v>211200</v>
      </c>
      <c r="Y21" s="107">
        <f>+'SL03'!R16</f>
        <v>0</v>
      </c>
      <c r="Z21" s="107">
        <f>+'SL03'!S16</f>
        <v>0</v>
      </c>
    </row>
    <row r="22" spans="1:26" x14ac:dyDescent="0.25">
      <c r="A22" t="str">
        <f t="shared" si="1"/>
        <v>C</v>
      </c>
      <c r="B22" s="227"/>
      <c r="C22" s="254"/>
      <c r="D22" s="257"/>
      <c r="E22" s="273"/>
      <c r="F22" s="257"/>
      <c r="G22" s="171" t="str">
        <f t="shared" si="2"/>
        <v>C</v>
      </c>
      <c r="H22" s="77" t="s">
        <v>298</v>
      </c>
      <c r="I22" s="78" t="s">
        <v>299</v>
      </c>
      <c r="J22" s="78" t="s">
        <v>300</v>
      </c>
      <c r="K22" s="25" t="s">
        <v>22</v>
      </c>
      <c r="L22" s="25" t="s">
        <v>579</v>
      </c>
      <c r="M22" s="62" t="s">
        <v>580</v>
      </c>
      <c r="N22" s="25" t="s">
        <v>660</v>
      </c>
      <c r="O22" s="186" t="s">
        <v>743</v>
      </c>
      <c r="P22" s="120">
        <f>+'SL03'!L42</f>
        <v>7.6999999999999999E-2</v>
      </c>
      <c r="Q22" s="107"/>
      <c r="R22" s="108">
        <f t="shared" si="0"/>
        <v>43236.02</v>
      </c>
      <c r="S22" s="107">
        <f>+'SL03'!L17</f>
        <v>0</v>
      </c>
      <c r="T22" s="107">
        <f>+'SL03'!M17</f>
        <v>0</v>
      </c>
      <c r="U22" s="107">
        <f>+'SL03'!N17</f>
        <v>0</v>
      </c>
      <c r="V22" s="107">
        <f>+'SL03'!O17</f>
        <v>0</v>
      </c>
      <c r="W22" s="107">
        <f>+'SL03'!P17</f>
        <v>0</v>
      </c>
      <c r="X22" s="107">
        <f>+'SL03'!Q17</f>
        <v>43236.02</v>
      </c>
      <c r="Y22" s="107">
        <f>+'SL03'!R17</f>
        <v>0</v>
      </c>
      <c r="Z22" s="107">
        <f>+'SL03'!S17</f>
        <v>0</v>
      </c>
    </row>
    <row r="23" spans="1:26" x14ac:dyDescent="0.25">
      <c r="A23" t="str">
        <f t="shared" si="1"/>
        <v>C</v>
      </c>
      <c r="B23" s="227"/>
      <c r="C23" s="254"/>
      <c r="D23" s="257"/>
      <c r="E23" s="273"/>
      <c r="F23" s="257"/>
      <c r="G23" s="171" t="str">
        <f t="shared" si="2"/>
        <v>C</v>
      </c>
      <c r="H23" s="77" t="s">
        <v>301</v>
      </c>
      <c r="I23" s="78" t="s">
        <v>302</v>
      </c>
      <c r="J23" s="78" t="s">
        <v>303</v>
      </c>
      <c r="K23" s="25" t="s">
        <v>22</v>
      </c>
      <c r="L23" s="25" t="s">
        <v>579</v>
      </c>
      <c r="M23" s="62" t="s">
        <v>580</v>
      </c>
      <c r="N23" s="25" t="s">
        <v>660</v>
      </c>
      <c r="O23" s="186" t="s">
        <v>743</v>
      </c>
      <c r="P23" s="120">
        <f>+'SL03'!L43</f>
        <v>0.06</v>
      </c>
      <c r="Q23" s="107"/>
      <c r="R23" s="108">
        <f t="shared" si="0"/>
        <v>4500</v>
      </c>
      <c r="S23" s="107">
        <f>+'SL03'!L18</f>
        <v>0</v>
      </c>
      <c r="T23" s="107">
        <f>+'SL03'!M18</f>
        <v>4500</v>
      </c>
      <c r="U23" s="107">
        <f>+'SL03'!N18</f>
        <v>0</v>
      </c>
      <c r="V23" s="107">
        <f>+'SL03'!O18</f>
        <v>0</v>
      </c>
      <c r="W23" s="107">
        <f>+'SL03'!P18</f>
        <v>0</v>
      </c>
      <c r="X23" s="107">
        <f>+'SL03'!Q18</f>
        <v>0</v>
      </c>
      <c r="Y23" s="107">
        <f>+'SL03'!R18</f>
        <v>0</v>
      </c>
      <c r="Z23" s="107">
        <f>+'SL03'!S18</f>
        <v>0</v>
      </c>
    </row>
    <row r="24" spans="1:26" x14ac:dyDescent="0.25">
      <c r="A24" t="str">
        <f t="shared" si="1"/>
        <v>C</v>
      </c>
      <c r="B24" s="227"/>
      <c r="C24" s="254"/>
      <c r="D24" s="257"/>
      <c r="E24" s="273"/>
      <c r="F24" s="257"/>
      <c r="G24" s="171" t="str">
        <f t="shared" si="2"/>
        <v>C</v>
      </c>
      <c r="H24" s="77" t="s">
        <v>304</v>
      </c>
      <c r="I24" s="78" t="s">
        <v>305</v>
      </c>
      <c r="J24" s="78" t="s">
        <v>300</v>
      </c>
      <c r="K24" s="25" t="s">
        <v>22</v>
      </c>
      <c r="L24" s="25" t="s">
        <v>579</v>
      </c>
      <c r="M24" s="62" t="s">
        <v>580</v>
      </c>
      <c r="N24" s="25" t="s">
        <v>660</v>
      </c>
      <c r="O24" s="186" t="s">
        <v>743</v>
      </c>
      <c r="P24" s="120">
        <f>+'SL03'!L44</f>
        <v>0.01</v>
      </c>
      <c r="Q24" s="107"/>
      <c r="R24" s="108">
        <f t="shared" si="0"/>
        <v>5697.73</v>
      </c>
      <c r="S24" s="107">
        <f>+'SL03'!L19</f>
        <v>0</v>
      </c>
      <c r="T24" s="107">
        <f>+'SL03'!M19</f>
        <v>0</v>
      </c>
      <c r="U24" s="107">
        <f>+'SL03'!N19</f>
        <v>5697.73</v>
      </c>
      <c r="V24" s="107">
        <f>+'SL03'!O19</f>
        <v>0</v>
      </c>
      <c r="W24" s="107">
        <f>+'SL03'!P19</f>
        <v>0</v>
      </c>
      <c r="X24" s="107">
        <f>+'SL03'!Q19</f>
        <v>0</v>
      </c>
      <c r="Y24" s="107">
        <f>+'SL03'!R19</f>
        <v>0</v>
      </c>
      <c r="Z24" s="107">
        <f>+'SL03'!S19</f>
        <v>0</v>
      </c>
    </row>
    <row r="25" spans="1:26" x14ac:dyDescent="0.25">
      <c r="A25" t="str">
        <f t="shared" si="1"/>
        <v>C</v>
      </c>
      <c r="B25" s="227"/>
      <c r="C25" s="254"/>
      <c r="D25" s="257"/>
      <c r="E25" s="273"/>
      <c r="F25" s="257"/>
      <c r="G25" s="171" t="str">
        <f t="shared" si="2"/>
        <v>C</v>
      </c>
      <c r="H25" s="77" t="s">
        <v>306</v>
      </c>
      <c r="I25" s="78" t="s">
        <v>307</v>
      </c>
      <c r="J25" s="78" t="s">
        <v>300</v>
      </c>
      <c r="K25" s="25" t="s">
        <v>22</v>
      </c>
      <c r="L25" s="25" t="s">
        <v>579</v>
      </c>
      <c r="M25" s="62" t="s">
        <v>580</v>
      </c>
      <c r="N25" s="25" t="s">
        <v>660</v>
      </c>
      <c r="O25" s="186" t="s">
        <v>743</v>
      </c>
      <c r="P25" s="120">
        <f>+'SL03'!L45</f>
        <v>8.0000000000000002E-3</v>
      </c>
      <c r="Q25" s="107"/>
      <c r="R25" s="108">
        <f t="shared" si="0"/>
        <v>4031</v>
      </c>
      <c r="S25" s="107">
        <f>+'SL03'!L20</f>
        <v>0</v>
      </c>
      <c r="T25" s="107">
        <f>+'SL03'!M20</f>
        <v>0</v>
      </c>
      <c r="U25" s="107">
        <f>+'SL03'!N20</f>
        <v>4031</v>
      </c>
      <c r="V25" s="107">
        <f>+'SL03'!O20</f>
        <v>0</v>
      </c>
      <c r="W25" s="107">
        <f>+'SL03'!P20</f>
        <v>0</v>
      </c>
      <c r="X25" s="107">
        <f>+'SL03'!Q20</f>
        <v>0</v>
      </c>
      <c r="Y25" s="107">
        <f>+'SL03'!R20</f>
        <v>0</v>
      </c>
      <c r="Z25" s="107">
        <f>+'SL03'!S20</f>
        <v>0</v>
      </c>
    </row>
    <row r="26" spans="1:26" x14ac:dyDescent="0.25">
      <c r="A26" t="str">
        <f t="shared" si="1"/>
        <v>C</v>
      </c>
      <c r="B26" s="227"/>
      <c r="C26" s="254"/>
      <c r="D26" s="257"/>
      <c r="E26" s="273"/>
      <c r="F26" s="257"/>
      <c r="G26" s="171" t="str">
        <f t="shared" si="2"/>
        <v>C</v>
      </c>
      <c r="H26" s="77" t="s">
        <v>308</v>
      </c>
      <c r="I26" s="78" t="s">
        <v>309</v>
      </c>
      <c r="J26" s="78" t="s">
        <v>300</v>
      </c>
      <c r="K26" s="25" t="s">
        <v>22</v>
      </c>
      <c r="L26" s="25" t="s">
        <v>579</v>
      </c>
      <c r="M26" s="62" t="s">
        <v>580</v>
      </c>
      <c r="N26" s="25" t="s">
        <v>660</v>
      </c>
      <c r="O26" s="186" t="s">
        <v>743</v>
      </c>
      <c r="P26" s="120">
        <f>+'SL03'!L46</f>
        <v>8.8999999999999996E-2</v>
      </c>
      <c r="Q26" s="107"/>
      <c r="R26" s="108">
        <f t="shared" si="0"/>
        <v>5780</v>
      </c>
      <c r="S26" s="107">
        <f>+'SL03'!L21</f>
        <v>0</v>
      </c>
      <c r="T26" s="107">
        <f>+'SL03'!M21</f>
        <v>5780</v>
      </c>
      <c r="U26" s="107">
        <f>+'SL03'!N21</f>
        <v>0</v>
      </c>
      <c r="V26" s="107">
        <f>+'SL03'!O21</f>
        <v>0</v>
      </c>
      <c r="W26" s="107">
        <f>+'SL03'!P21</f>
        <v>0</v>
      </c>
      <c r="X26" s="107">
        <f>+'SL03'!Q21</f>
        <v>0</v>
      </c>
      <c r="Y26" s="107">
        <f>+'SL03'!R21</f>
        <v>0</v>
      </c>
      <c r="Z26" s="107">
        <f>+'SL03'!S21</f>
        <v>0</v>
      </c>
    </row>
    <row r="27" spans="1:26" x14ac:dyDescent="0.25">
      <c r="A27" t="str">
        <f t="shared" si="1"/>
        <v>C</v>
      </c>
      <c r="B27" s="227"/>
      <c r="C27" s="254"/>
      <c r="D27" s="257"/>
      <c r="E27" s="273"/>
      <c r="F27" s="257"/>
      <c r="G27" s="171" t="str">
        <f t="shared" si="2"/>
        <v>C</v>
      </c>
      <c r="H27" s="77" t="s">
        <v>310</v>
      </c>
      <c r="I27" s="78" t="s">
        <v>311</v>
      </c>
      <c r="J27" s="78" t="s">
        <v>312</v>
      </c>
      <c r="K27" s="25" t="s">
        <v>22</v>
      </c>
      <c r="L27" s="25" t="s">
        <v>579</v>
      </c>
      <c r="M27" s="62" t="s">
        <v>580</v>
      </c>
      <c r="N27" s="25" t="s">
        <v>660</v>
      </c>
      <c r="O27" s="186" t="s">
        <v>743</v>
      </c>
      <c r="P27" s="120">
        <f>+'SL03'!L47</f>
        <v>1.7999999999999999E-2</v>
      </c>
      <c r="Q27" s="107"/>
      <c r="R27" s="108">
        <f t="shared" si="0"/>
        <v>2760</v>
      </c>
      <c r="S27" s="107">
        <f>+'SL03'!L22</f>
        <v>0</v>
      </c>
      <c r="T27" s="107">
        <f>+'SL03'!M22</f>
        <v>0</v>
      </c>
      <c r="U27" s="107">
        <f>+'SL03'!N22</f>
        <v>2760</v>
      </c>
      <c r="V27" s="107">
        <f>+'SL03'!O22</f>
        <v>0</v>
      </c>
      <c r="W27" s="107">
        <f>+'SL03'!P22</f>
        <v>0</v>
      </c>
      <c r="X27" s="107">
        <f>+'SL03'!Q22</f>
        <v>0</v>
      </c>
      <c r="Y27" s="107">
        <f>+'SL03'!R22</f>
        <v>0</v>
      </c>
      <c r="Z27" s="107">
        <f>+'SL03'!S22</f>
        <v>0</v>
      </c>
    </row>
    <row r="28" spans="1:26" x14ac:dyDescent="0.25">
      <c r="A28" t="str">
        <f t="shared" si="1"/>
        <v>C</v>
      </c>
      <c r="B28" s="227"/>
      <c r="C28" s="254"/>
      <c r="D28" s="257"/>
      <c r="E28" s="273"/>
      <c r="F28" s="257"/>
      <c r="G28" s="171" t="str">
        <f t="shared" si="2"/>
        <v>C</v>
      </c>
      <c r="H28" s="77" t="s">
        <v>313</v>
      </c>
      <c r="I28" s="78" t="s">
        <v>314</v>
      </c>
      <c r="J28" s="78" t="s">
        <v>315</v>
      </c>
      <c r="K28" s="25" t="s">
        <v>22</v>
      </c>
      <c r="L28" s="25" t="s">
        <v>579</v>
      </c>
      <c r="M28" s="62" t="s">
        <v>580</v>
      </c>
      <c r="N28" s="25" t="s">
        <v>660</v>
      </c>
      <c r="O28" s="186" t="s">
        <v>743</v>
      </c>
      <c r="P28" s="120">
        <f>+'SL03'!L48</f>
        <v>9.6000000000000002E-2</v>
      </c>
      <c r="Q28" s="107"/>
      <c r="R28" s="108">
        <f t="shared" si="0"/>
        <v>48360.000000000007</v>
      </c>
      <c r="S28" s="107">
        <f>+'SL03'!L23</f>
        <v>0</v>
      </c>
      <c r="T28" s="107">
        <f>+'SL03'!M23</f>
        <v>48360.000000000007</v>
      </c>
      <c r="U28" s="107">
        <f>+'SL03'!N23</f>
        <v>0</v>
      </c>
      <c r="V28" s="107">
        <f>+'SL03'!O23</f>
        <v>0</v>
      </c>
      <c r="W28" s="107">
        <f>+'SL03'!P23</f>
        <v>0</v>
      </c>
      <c r="X28" s="107">
        <f>+'SL03'!Q23</f>
        <v>0</v>
      </c>
      <c r="Y28" s="107">
        <f>+'SL03'!R23</f>
        <v>0</v>
      </c>
      <c r="Z28" s="107">
        <f>+'SL03'!S23</f>
        <v>0</v>
      </c>
    </row>
    <row r="29" spans="1:26" x14ac:dyDescent="0.25">
      <c r="A29" t="str">
        <f t="shared" si="1"/>
        <v>C</v>
      </c>
      <c r="B29" s="227"/>
      <c r="C29" s="254"/>
      <c r="D29" s="257"/>
      <c r="E29" s="273"/>
      <c r="F29" s="257"/>
      <c r="G29" s="171" t="str">
        <f t="shared" si="2"/>
        <v>C</v>
      </c>
      <c r="H29" s="77" t="s">
        <v>316</v>
      </c>
      <c r="I29" s="78" t="s">
        <v>317</v>
      </c>
      <c r="J29" s="78" t="s">
        <v>318</v>
      </c>
      <c r="K29" s="25" t="s">
        <v>22</v>
      </c>
      <c r="L29" s="25" t="s">
        <v>579</v>
      </c>
      <c r="M29" s="62" t="s">
        <v>580</v>
      </c>
      <c r="N29" s="25" t="s">
        <v>660</v>
      </c>
      <c r="O29" s="186" t="s">
        <v>743</v>
      </c>
      <c r="P29" s="120"/>
      <c r="Q29" s="107">
        <v>1100</v>
      </c>
      <c r="R29" s="108">
        <f t="shared" si="0"/>
        <v>1200</v>
      </c>
      <c r="S29" s="107">
        <f>+'SL03'!L24</f>
        <v>0</v>
      </c>
      <c r="T29" s="107">
        <f>+'SL03'!M24</f>
        <v>0</v>
      </c>
      <c r="U29" s="107">
        <f>+'SL03'!N24</f>
        <v>0</v>
      </c>
      <c r="V29" s="107">
        <f>+'SL03'!O24</f>
        <v>1200</v>
      </c>
      <c r="W29" s="107">
        <f>+'SL03'!P24</f>
        <v>0</v>
      </c>
      <c r="X29" s="107">
        <f>+'SL03'!Q24</f>
        <v>0</v>
      </c>
      <c r="Y29" s="107">
        <f>+'SL03'!R24</f>
        <v>0</v>
      </c>
      <c r="Z29" s="107">
        <f>+'SL03'!S24</f>
        <v>0</v>
      </c>
    </row>
    <row r="30" spans="1:26" x14ac:dyDescent="0.25">
      <c r="A30" t="str">
        <f t="shared" si="1"/>
        <v>C</v>
      </c>
      <c r="B30" s="227"/>
      <c r="C30" s="254"/>
      <c r="D30" s="257"/>
      <c r="E30" s="273"/>
      <c r="F30" s="257"/>
      <c r="G30" s="171" t="str">
        <f t="shared" si="2"/>
        <v>C</v>
      </c>
      <c r="H30" s="77" t="s">
        <v>319</v>
      </c>
      <c r="I30" s="78" t="s">
        <v>320</v>
      </c>
      <c r="J30" s="78" t="s">
        <v>321</v>
      </c>
      <c r="K30" s="25" t="s">
        <v>22</v>
      </c>
      <c r="L30" s="25" t="s">
        <v>579</v>
      </c>
      <c r="M30" s="62" t="s">
        <v>580</v>
      </c>
      <c r="N30" s="25" t="s">
        <v>660</v>
      </c>
      <c r="O30" s="186" t="s">
        <v>743</v>
      </c>
      <c r="P30" s="120">
        <f>+'SL03'!L50</f>
        <v>7.3999999999999996E-2</v>
      </c>
      <c r="Q30" s="107"/>
      <c r="R30" s="108">
        <f t="shared" si="0"/>
        <v>2373.2495520000002</v>
      </c>
      <c r="S30" s="107">
        <f>+'SL03'!L25</f>
        <v>0</v>
      </c>
      <c r="T30" s="107">
        <f>+'SL03'!M25</f>
        <v>0</v>
      </c>
      <c r="U30" s="107">
        <f>+'SL03'!N25</f>
        <v>0</v>
      </c>
      <c r="V30" s="107">
        <f>+'SL03'!O25</f>
        <v>2373.2495520000002</v>
      </c>
      <c r="W30" s="107">
        <f>+'SL03'!P25</f>
        <v>0</v>
      </c>
      <c r="X30" s="107">
        <f>+'SL03'!Q25</f>
        <v>0</v>
      </c>
      <c r="Y30" s="107">
        <f>+'SL03'!R25</f>
        <v>0</v>
      </c>
      <c r="Z30" s="107">
        <f>+'SL03'!S25</f>
        <v>0</v>
      </c>
    </row>
    <row r="31" spans="1:26" x14ac:dyDescent="0.25">
      <c r="A31" t="str">
        <f t="shared" si="1"/>
        <v>C</v>
      </c>
      <c r="B31" s="227"/>
      <c r="C31" s="254"/>
      <c r="D31" s="257"/>
      <c r="E31" s="273"/>
      <c r="F31" s="257"/>
      <c r="G31" s="171" t="str">
        <f t="shared" si="2"/>
        <v>C</v>
      </c>
      <c r="H31" s="77" t="s">
        <v>322</v>
      </c>
      <c r="I31" s="78" t="s">
        <v>626</v>
      </c>
      <c r="J31" s="78" t="s">
        <v>323</v>
      </c>
      <c r="K31" s="25" t="s">
        <v>22</v>
      </c>
      <c r="L31" s="25" t="s">
        <v>579</v>
      </c>
      <c r="M31" s="62" t="s">
        <v>580</v>
      </c>
      <c r="N31" s="25" t="s">
        <v>660</v>
      </c>
      <c r="O31" s="186" t="s">
        <v>743</v>
      </c>
      <c r="P31" s="120">
        <f>+'SL03'!L51</f>
        <v>0.17349999999999999</v>
      </c>
      <c r="Q31" s="107"/>
      <c r="R31" s="108">
        <f t="shared" si="0"/>
        <v>68372.77</v>
      </c>
      <c r="S31" s="107">
        <f>+'SL03'!L26</f>
        <v>0</v>
      </c>
      <c r="T31" s="107">
        <f>+'SL03'!M26</f>
        <v>0</v>
      </c>
      <c r="U31" s="107">
        <f>+'SL03'!N26</f>
        <v>0</v>
      </c>
      <c r="V31" s="107">
        <f>+'SL03'!O26</f>
        <v>0</v>
      </c>
      <c r="W31" s="107">
        <f>+'SL03'!P26</f>
        <v>0</v>
      </c>
      <c r="X31" s="107">
        <f>+'SL03'!Q26</f>
        <v>0</v>
      </c>
      <c r="Y31" s="107">
        <f>+'SL03'!R26</f>
        <v>68372.77</v>
      </c>
      <c r="Z31" s="107">
        <f>+'SL03'!S26</f>
        <v>0</v>
      </c>
    </row>
    <row r="32" spans="1:26" x14ac:dyDescent="0.25">
      <c r="A32" t="str">
        <f t="shared" si="1"/>
        <v>C</v>
      </c>
      <c r="B32" s="227"/>
      <c r="C32" s="254"/>
      <c r="D32" s="257"/>
      <c r="E32" s="273"/>
      <c r="F32" s="257"/>
      <c r="G32" s="171" t="str">
        <f t="shared" si="2"/>
        <v>C</v>
      </c>
      <c r="H32" s="77" t="s">
        <v>324</v>
      </c>
      <c r="I32" s="78" t="s">
        <v>325</v>
      </c>
      <c r="J32" s="78" t="s">
        <v>326</v>
      </c>
      <c r="K32" s="25" t="s">
        <v>22</v>
      </c>
      <c r="L32" s="25" t="s">
        <v>579</v>
      </c>
      <c r="M32" s="62" t="s">
        <v>580</v>
      </c>
      <c r="N32" s="25" t="s">
        <v>660</v>
      </c>
      <c r="O32" s="186" t="s">
        <v>743</v>
      </c>
      <c r="P32" s="120">
        <f>+'SL03'!L52</f>
        <v>7.4899999999999994E-2</v>
      </c>
      <c r="Q32" s="107"/>
      <c r="R32" s="108">
        <f t="shared" si="0"/>
        <v>235456</v>
      </c>
      <c r="S32" s="107">
        <f>+'SL03'!L27</f>
        <v>0</v>
      </c>
      <c r="T32" s="107">
        <f>+'SL03'!M27</f>
        <v>0</v>
      </c>
      <c r="U32" s="107">
        <f>+'SL03'!N27</f>
        <v>0</v>
      </c>
      <c r="V32" s="107">
        <f>+'SL03'!O27</f>
        <v>0</v>
      </c>
      <c r="W32" s="107">
        <f>+'SL03'!P27</f>
        <v>0</v>
      </c>
      <c r="X32" s="107">
        <f>+'SL03'!Q27</f>
        <v>0</v>
      </c>
      <c r="Y32" s="107">
        <f>+'SL03'!R27</f>
        <v>0</v>
      </c>
      <c r="Z32" s="107">
        <f>+'SL03'!S27</f>
        <v>235456</v>
      </c>
    </row>
    <row r="33" spans="1:26" x14ac:dyDescent="0.25">
      <c r="A33" t="str">
        <f t="shared" si="1"/>
        <v>C</v>
      </c>
      <c r="B33" s="227"/>
      <c r="C33" s="254"/>
      <c r="D33" s="257"/>
      <c r="E33" s="273"/>
      <c r="F33" s="257"/>
      <c r="G33" s="171" t="str">
        <f t="shared" si="2"/>
        <v>C</v>
      </c>
      <c r="H33" s="160" t="s">
        <v>327</v>
      </c>
      <c r="I33" s="78" t="s">
        <v>336</v>
      </c>
      <c r="J33" s="78" t="s">
        <v>752</v>
      </c>
      <c r="K33" s="25" t="s">
        <v>22</v>
      </c>
      <c r="L33" s="25" t="s">
        <v>579</v>
      </c>
      <c r="M33" s="62" t="s">
        <v>580</v>
      </c>
      <c r="N33" s="25" t="s">
        <v>660</v>
      </c>
      <c r="O33" s="186" t="s">
        <v>743</v>
      </c>
      <c r="P33" s="120">
        <f>+'SL03'!L53</f>
        <v>7.4200000000000002E-2</v>
      </c>
      <c r="Q33" s="107"/>
      <c r="R33" s="108">
        <f t="shared" si="0"/>
        <v>337920</v>
      </c>
      <c r="S33" s="107">
        <f>+'SL03'!L28</f>
        <v>0</v>
      </c>
      <c r="T33" s="107">
        <f>+'SL03'!M28</f>
        <v>0</v>
      </c>
      <c r="U33" s="107">
        <f>+'SL03'!N28</f>
        <v>0</v>
      </c>
      <c r="V33" s="107">
        <f>+'SL03'!O28</f>
        <v>0</v>
      </c>
      <c r="W33" s="107">
        <f>+'SL03'!P28</f>
        <v>0</v>
      </c>
      <c r="X33" s="107">
        <f>+'SL03'!Q28</f>
        <v>337920</v>
      </c>
      <c r="Y33" s="107">
        <f>+'SL03'!R28</f>
        <v>0</v>
      </c>
      <c r="Z33" s="107">
        <f>+'SL03'!S28</f>
        <v>0</v>
      </c>
    </row>
    <row r="34" spans="1:26" x14ac:dyDescent="0.25">
      <c r="A34" t="str">
        <f t="shared" si="1"/>
        <v>C</v>
      </c>
      <c r="B34" s="227"/>
      <c r="C34" s="254"/>
      <c r="D34" s="257"/>
      <c r="E34" s="273"/>
      <c r="F34" s="257"/>
      <c r="G34" s="171" t="str">
        <f t="shared" si="2"/>
        <v>C</v>
      </c>
      <c r="H34" s="160" t="s">
        <v>329</v>
      </c>
      <c r="I34" s="78" t="s">
        <v>337</v>
      </c>
      <c r="J34" s="78" t="s">
        <v>752</v>
      </c>
      <c r="K34" s="25" t="s">
        <v>22</v>
      </c>
      <c r="L34" s="25" t="s">
        <v>579</v>
      </c>
      <c r="M34" s="62" t="s">
        <v>580</v>
      </c>
      <c r="N34" s="25" t="s">
        <v>660</v>
      </c>
      <c r="O34" s="186" t="s">
        <v>743</v>
      </c>
      <c r="P34" s="120">
        <f>+'SL03'!L54</f>
        <v>7.4899999999999994E-2</v>
      </c>
      <c r="Q34" s="107"/>
      <c r="R34" s="108">
        <f t="shared" si="0"/>
        <v>50265</v>
      </c>
      <c r="S34" s="107">
        <f>+'SL03'!L29</f>
        <v>0</v>
      </c>
      <c r="T34" s="107">
        <f>+'SL03'!M29</f>
        <v>0</v>
      </c>
      <c r="U34" s="107">
        <f>+'SL03'!N29</f>
        <v>0</v>
      </c>
      <c r="V34" s="107">
        <f>+'SL03'!O29</f>
        <v>0</v>
      </c>
      <c r="W34" s="107">
        <f>+'SL03'!P29</f>
        <v>0</v>
      </c>
      <c r="X34" s="107">
        <f>+'SL03'!Q29</f>
        <v>0</v>
      </c>
      <c r="Y34" s="107">
        <f>+'SL03'!R29</f>
        <v>0</v>
      </c>
      <c r="Z34" s="107">
        <f>+'SL03'!S29</f>
        <v>50265</v>
      </c>
    </row>
    <row r="35" spans="1:26" x14ac:dyDescent="0.25">
      <c r="A35" t="str">
        <f t="shared" si="1"/>
        <v>C</v>
      </c>
      <c r="B35" s="227"/>
      <c r="C35" s="254"/>
      <c r="D35" s="257"/>
      <c r="E35" s="273"/>
      <c r="F35" s="257"/>
      <c r="G35" s="171" t="str">
        <f t="shared" si="2"/>
        <v>C</v>
      </c>
      <c r="H35" s="160" t="s">
        <v>332</v>
      </c>
      <c r="I35" s="78" t="s">
        <v>338</v>
      </c>
      <c r="J35" s="78" t="s">
        <v>752</v>
      </c>
      <c r="K35" s="25" t="s">
        <v>22</v>
      </c>
      <c r="L35" s="25" t="s">
        <v>579</v>
      </c>
      <c r="M35" s="62" t="s">
        <v>580</v>
      </c>
      <c r="N35" s="25" t="s">
        <v>660</v>
      </c>
      <c r="O35" s="186" t="s">
        <v>743</v>
      </c>
      <c r="P35" s="120">
        <f>+'SL03'!L55</f>
        <v>7.4899999999999994E-2</v>
      </c>
      <c r="Q35" s="107"/>
      <c r="R35" s="108">
        <f t="shared" si="0"/>
        <v>126987</v>
      </c>
      <c r="S35" s="107">
        <f>+'SL03'!L30</f>
        <v>0</v>
      </c>
      <c r="T35" s="107">
        <f>+'SL03'!M30</f>
        <v>0</v>
      </c>
      <c r="U35" s="107">
        <f>+'SL03'!N30</f>
        <v>0</v>
      </c>
      <c r="V35" s="107">
        <f>+'SL03'!O30</f>
        <v>0</v>
      </c>
      <c r="W35" s="107">
        <f>+'SL03'!P30</f>
        <v>0</v>
      </c>
      <c r="X35" s="107">
        <f>+'SL03'!Q30</f>
        <v>0</v>
      </c>
      <c r="Y35" s="107">
        <f>+'SL03'!R30</f>
        <v>0</v>
      </c>
      <c r="Z35" s="107">
        <f>+'SL03'!S30</f>
        <v>126987</v>
      </c>
    </row>
    <row r="36" spans="1:26" x14ac:dyDescent="0.25">
      <c r="A36" t="str">
        <f t="shared" si="1"/>
        <v>C</v>
      </c>
      <c r="B36" s="227"/>
      <c r="C36" s="254"/>
      <c r="D36" s="257"/>
      <c r="E36" s="273"/>
      <c r="F36" s="257"/>
      <c r="G36" s="171" t="str">
        <f t="shared" si="2"/>
        <v>C</v>
      </c>
      <c r="H36" s="160" t="s">
        <v>334</v>
      </c>
      <c r="I36" s="78" t="s">
        <v>328</v>
      </c>
      <c r="J36" s="78" t="s">
        <v>297</v>
      </c>
      <c r="K36" s="25" t="s">
        <v>22</v>
      </c>
      <c r="L36" s="25" t="s">
        <v>579</v>
      </c>
      <c r="M36" s="62" t="s">
        <v>580</v>
      </c>
      <c r="N36" s="25" t="s">
        <v>660</v>
      </c>
      <c r="O36" s="186" t="s">
        <v>743</v>
      </c>
      <c r="P36" s="120">
        <f>+'SL03'!L56</f>
        <v>7.4899999999999994E-2</v>
      </c>
      <c r="Q36" s="107"/>
      <c r="R36" s="108">
        <f t="shared" si="0"/>
        <v>264557</v>
      </c>
      <c r="S36" s="107">
        <f>+'SL03'!L31</f>
        <v>0</v>
      </c>
      <c r="T36" s="107">
        <f>+'SL03'!M31</f>
        <v>0</v>
      </c>
      <c r="U36" s="107">
        <f>+'SL03'!N31</f>
        <v>0</v>
      </c>
      <c r="V36" s="107">
        <f>+'SL03'!O31</f>
        <v>0</v>
      </c>
      <c r="W36" s="107">
        <f>+'SL03'!P31</f>
        <v>0</v>
      </c>
      <c r="X36" s="107">
        <f>+'SL03'!Q31</f>
        <v>0</v>
      </c>
      <c r="Y36" s="107">
        <f>+'SL03'!R31</f>
        <v>264557</v>
      </c>
      <c r="Z36" s="107">
        <f>+'SL03'!S31</f>
        <v>0</v>
      </c>
    </row>
    <row r="37" spans="1:26" x14ac:dyDescent="0.25">
      <c r="A37" t="str">
        <f t="shared" si="1"/>
        <v>I</v>
      </c>
      <c r="B37" s="227"/>
      <c r="C37" s="254"/>
      <c r="D37" s="257"/>
      <c r="E37" s="273"/>
      <c r="F37" s="257"/>
      <c r="G37" s="171" t="str">
        <f t="shared" si="2"/>
        <v>I</v>
      </c>
      <c r="H37" s="77" t="s">
        <v>37</v>
      </c>
      <c r="I37" s="79" t="s">
        <v>335</v>
      </c>
      <c r="J37" s="79"/>
      <c r="K37" s="25" t="s">
        <v>22</v>
      </c>
      <c r="L37" s="25" t="s">
        <v>579</v>
      </c>
      <c r="M37" s="62" t="s">
        <v>580</v>
      </c>
      <c r="N37" s="25" t="s">
        <v>660</v>
      </c>
      <c r="O37" s="186" t="s">
        <v>743</v>
      </c>
      <c r="P37" s="120">
        <f>+'SL03'!L57</f>
        <v>7.4200000000000002E-2</v>
      </c>
      <c r="Q37" s="107"/>
      <c r="R37" s="108">
        <f t="shared" si="0"/>
        <v>209950</v>
      </c>
      <c r="S37" s="107">
        <f>+'SL03'!L32</f>
        <v>0</v>
      </c>
      <c r="T37" s="107">
        <f>+'SL03'!M32</f>
        <v>0</v>
      </c>
      <c r="U37" s="107">
        <f>+'SL03'!N32</f>
        <v>550</v>
      </c>
      <c r="V37" s="107">
        <f>+'SL03'!O32</f>
        <v>0</v>
      </c>
      <c r="W37" s="107">
        <f>+'SL03'!P32</f>
        <v>0</v>
      </c>
      <c r="X37" s="107">
        <f>+'SL03'!Q32</f>
        <v>1200</v>
      </c>
      <c r="Y37" s="107">
        <f>+'SL03'!R32</f>
        <v>0</v>
      </c>
      <c r="Z37" s="107">
        <f>+'SL03'!S32</f>
        <v>208200</v>
      </c>
    </row>
    <row r="38" spans="1:26" ht="34.5" customHeight="1" x14ac:dyDescent="0.25">
      <c r="A38" t="str">
        <f t="shared" si="1"/>
        <v>I</v>
      </c>
      <c r="B38" s="227"/>
      <c r="C38" s="254"/>
      <c r="D38" s="257"/>
      <c r="E38" s="275" t="s">
        <v>724</v>
      </c>
      <c r="F38" s="253" t="s">
        <v>340</v>
      </c>
      <c r="G38" s="171" t="str">
        <f t="shared" si="2"/>
        <v>I</v>
      </c>
      <c r="H38" s="77" t="s">
        <v>38</v>
      </c>
      <c r="I38" s="62" t="s">
        <v>627</v>
      </c>
      <c r="J38" s="62"/>
      <c r="K38" s="25" t="s">
        <v>22</v>
      </c>
      <c r="L38" s="25" t="s">
        <v>579</v>
      </c>
      <c r="M38" s="62" t="s">
        <v>618</v>
      </c>
      <c r="N38" s="25" t="s">
        <v>658</v>
      </c>
      <c r="O38" s="186" t="s">
        <v>737</v>
      </c>
      <c r="P38" s="120">
        <f>+'SL04'!L24</f>
        <v>0.06</v>
      </c>
      <c r="Q38" s="107"/>
      <c r="R38" s="108">
        <f t="shared" si="0"/>
        <v>6384.8</v>
      </c>
      <c r="S38" s="107">
        <f>+'SL04'!L13</f>
        <v>0</v>
      </c>
      <c r="T38" s="107">
        <f>+'SL04'!M13</f>
        <v>0</v>
      </c>
      <c r="U38" s="107">
        <f>+'SL04'!N13</f>
        <v>0</v>
      </c>
      <c r="V38" s="107">
        <f>+'SL04'!O13</f>
        <v>0</v>
      </c>
      <c r="W38" s="107">
        <f>+'SL04'!P13</f>
        <v>0</v>
      </c>
      <c r="X38" s="107">
        <f>+'SL04'!Q13</f>
        <v>6384.8</v>
      </c>
      <c r="Y38" s="107">
        <f>+'SL04'!R13</f>
        <v>0</v>
      </c>
      <c r="Z38" s="107">
        <f>+'SL04'!S13</f>
        <v>0</v>
      </c>
    </row>
    <row r="39" spans="1:26" ht="34.5" x14ac:dyDescent="0.25">
      <c r="A39" t="str">
        <f t="shared" si="1"/>
        <v>I</v>
      </c>
      <c r="B39" s="227"/>
      <c r="C39" s="254"/>
      <c r="D39" s="257"/>
      <c r="E39" s="275"/>
      <c r="F39" s="255"/>
      <c r="G39" s="171" t="str">
        <f t="shared" si="2"/>
        <v>I</v>
      </c>
      <c r="H39" s="77" t="s">
        <v>39</v>
      </c>
      <c r="I39" s="62" t="s">
        <v>343</v>
      </c>
      <c r="J39" s="62"/>
      <c r="K39" s="25" t="s">
        <v>22</v>
      </c>
      <c r="L39" s="25" t="s">
        <v>579</v>
      </c>
      <c r="M39" s="62" t="s">
        <v>618</v>
      </c>
      <c r="N39" s="25" t="s">
        <v>658</v>
      </c>
      <c r="O39" s="186" t="s">
        <v>737</v>
      </c>
      <c r="P39" s="120">
        <f>+'SL04'!L25</f>
        <v>0.06</v>
      </c>
      <c r="Q39" s="107"/>
      <c r="R39" s="108">
        <f t="shared" si="0"/>
        <v>195.38</v>
      </c>
      <c r="S39" s="107">
        <f>+'SL04'!L14</f>
        <v>0</v>
      </c>
      <c r="T39" s="107">
        <f>+'SL04'!M14</f>
        <v>0</v>
      </c>
      <c r="U39" s="107">
        <f>+'SL04'!N14</f>
        <v>0</v>
      </c>
      <c r="V39" s="107">
        <f>+'SL04'!O14</f>
        <v>0</v>
      </c>
      <c r="W39" s="107">
        <f>+'SL04'!P14</f>
        <v>0</v>
      </c>
      <c r="X39" s="107">
        <f>+'SL04'!Q14</f>
        <v>195.38</v>
      </c>
      <c r="Y39" s="107">
        <f>+'SL04'!R14</f>
        <v>0</v>
      </c>
      <c r="Z39" s="107">
        <f>+'SL04'!S14</f>
        <v>0</v>
      </c>
    </row>
    <row r="40" spans="1:26" ht="20.25" customHeight="1" x14ac:dyDescent="0.25">
      <c r="A40" t="str">
        <f t="shared" si="1"/>
        <v>C</v>
      </c>
      <c r="B40" s="227"/>
      <c r="C40" s="254"/>
      <c r="D40" s="257"/>
      <c r="E40" s="281" t="s">
        <v>637</v>
      </c>
      <c r="F40" s="253" t="s">
        <v>161</v>
      </c>
      <c r="G40" s="171" t="str">
        <f t="shared" si="2"/>
        <v>C</v>
      </c>
      <c r="H40" s="160" t="s">
        <v>341</v>
      </c>
      <c r="I40" s="78" t="s">
        <v>330</v>
      </c>
      <c r="J40" s="78" t="s">
        <v>331</v>
      </c>
      <c r="K40" s="25" t="s">
        <v>22</v>
      </c>
      <c r="L40" s="25" t="s">
        <v>579</v>
      </c>
      <c r="M40" s="62" t="s">
        <v>618</v>
      </c>
      <c r="N40" s="25" t="s">
        <v>660</v>
      </c>
      <c r="O40" s="186" t="s">
        <v>743</v>
      </c>
      <c r="P40" s="120">
        <f>+'SL05'!L23</f>
        <v>0.14990000000000001</v>
      </c>
      <c r="Q40" s="107"/>
      <c r="R40" s="108">
        <f t="shared" ref="R40:R71" si="3">SUM(S40:Z40)</f>
        <v>1000</v>
      </c>
      <c r="S40" s="107">
        <f>+'SL05'!L13</f>
        <v>500</v>
      </c>
      <c r="T40" s="107">
        <f>+'SL05'!M13</f>
        <v>500</v>
      </c>
      <c r="U40" s="107">
        <f>+'SL05'!N13</f>
        <v>0</v>
      </c>
      <c r="V40" s="107">
        <f>+'SL05'!O13</f>
        <v>0</v>
      </c>
      <c r="W40" s="107">
        <f>+'SL05'!P13</f>
        <v>0</v>
      </c>
      <c r="X40" s="107">
        <f>+'SL05'!Q13</f>
        <v>0</v>
      </c>
      <c r="Y40" s="107">
        <f>+'SL05'!R13</f>
        <v>0</v>
      </c>
      <c r="Z40" s="107">
        <f>+'SL05'!S13</f>
        <v>0</v>
      </c>
    </row>
    <row r="41" spans="1:26" ht="21.75" customHeight="1" x14ac:dyDescent="0.25">
      <c r="A41" t="str">
        <f t="shared" si="1"/>
        <v>C</v>
      </c>
      <c r="B41" s="227"/>
      <c r="C41" s="254"/>
      <c r="D41" s="257"/>
      <c r="E41" s="282"/>
      <c r="F41" s="254"/>
      <c r="G41" s="171" t="str">
        <f t="shared" si="2"/>
        <v>C</v>
      </c>
      <c r="H41" s="160" t="s">
        <v>345</v>
      </c>
      <c r="I41" s="78" t="s">
        <v>712</v>
      </c>
      <c r="J41" s="78" t="s">
        <v>333</v>
      </c>
      <c r="K41" s="25" t="s">
        <v>22</v>
      </c>
      <c r="L41" s="25" t="s">
        <v>579</v>
      </c>
      <c r="M41" s="62" t="s">
        <v>618</v>
      </c>
      <c r="N41" s="25" t="s">
        <v>659</v>
      </c>
      <c r="O41" s="186" t="s">
        <v>737</v>
      </c>
      <c r="P41" s="120">
        <f>+'SL05'!L24</f>
        <v>7.2800000000000004E-2</v>
      </c>
      <c r="Q41" s="107"/>
      <c r="R41" s="108">
        <f t="shared" si="3"/>
        <v>1000</v>
      </c>
      <c r="S41" s="107">
        <f>+'SL05'!L14</f>
        <v>0</v>
      </c>
      <c r="T41" s="107">
        <f>+'SL05'!M14</f>
        <v>500</v>
      </c>
      <c r="U41" s="107">
        <f>+'SL05'!N14</f>
        <v>500</v>
      </c>
      <c r="V41" s="107">
        <f>+'SL05'!O14</f>
        <v>0</v>
      </c>
      <c r="W41" s="107">
        <f>+'SL05'!P14</f>
        <v>0</v>
      </c>
      <c r="X41" s="107">
        <f>+'SL05'!Q14</f>
        <v>0</v>
      </c>
      <c r="Y41" s="107">
        <f>+'SL05'!R14</f>
        <v>0</v>
      </c>
      <c r="Z41" s="107">
        <f>+'SL05'!S14</f>
        <v>0</v>
      </c>
    </row>
    <row r="42" spans="1:26" ht="23.25" x14ac:dyDescent="0.25">
      <c r="A42" t="str">
        <f t="shared" si="1"/>
        <v>C</v>
      </c>
      <c r="B42" s="227"/>
      <c r="C42" s="254"/>
      <c r="D42" s="257"/>
      <c r="E42" s="282"/>
      <c r="F42" s="254"/>
      <c r="G42" s="171" t="str">
        <f t="shared" si="2"/>
        <v>C</v>
      </c>
      <c r="H42" s="160" t="s">
        <v>347</v>
      </c>
      <c r="I42" s="82" t="s">
        <v>711</v>
      </c>
      <c r="J42" s="82" t="s">
        <v>349</v>
      </c>
      <c r="K42" s="165" t="s">
        <v>22</v>
      </c>
      <c r="L42" s="165" t="s">
        <v>579</v>
      </c>
      <c r="M42" s="88" t="s">
        <v>580</v>
      </c>
      <c r="N42" s="25" t="s">
        <v>658</v>
      </c>
      <c r="O42" s="186" t="s">
        <v>737</v>
      </c>
      <c r="P42" s="120">
        <f>+'SL05'!L25</f>
        <v>6.0999999999999999E-2</v>
      </c>
      <c r="Q42" s="107"/>
      <c r="R42" s="108">
        <f t="shared" si="3"/>
        <v>1015</v>
      </c>
      <c r="S42" s="107">
        <f>+'SL05'!L15</f>
        <v>0</v>
      </c>
      <c r="T42" s="107">
        <f>+'SL05'!M15</f>
        <v>507.5</v>
      </c>
      <c r="U42" s="107">
        <f>+'SL05'!N15</f>
        <v>507.5</v>
      </c>
      <c r="V42" s="107">
        <f>+'SL05'!O15</f>
        <v>0</v>
      </c>
      <c r="W42" s="107">
        <f>+'SL05'!P15</f>
        <v>0</v>
      </c>
      <c r="X42" s="107">
        <f>+'SL05'!Q15</f>
        <v>0</v>
      </c>
      <c r="Y42" s="107">
        <f>+'SL05'!R15</f>
        <v>0</v>
      </c>
      <c r="Z42" s="107">
        <f>+'SL05'!S15</f>
        <v>0</v>
      </c>
    </row>
    <row r="43" spans="1:26" ht="23.25" x14ac:dyDescent="0.25">
      <c r="A43" t="str">
        <f t="shared" si="1"/>
        <v>I</v>
      </c>
      <c r="B43" s="227"/>
      <c r="C43" s="254"/>
      <c r="D43" s="257"/>
      <c r="E43" s="282"/>
      <c r="F43" s="254"/>
      <c r="G43" s="171" t="str">
        <f t="shared" si="2"/>
        <v>I</v>
      </c>
      <c r="H43" s="77" t="s">
        <v>40</v>
      </c>
      <c r="I43" s="62" t="s">
        <v>628</v>
      </c>
      <c r="J43" s="62"/>
      <c r="K43" s="25" t="s">
        <v>22</v>
      </c>
      <c r="L43" s="25" t="s">
        <v>579</v>
      </c>
      <c r="M43" s="62" t="s">
        <v>580</v>
      </c>
      <c r="N43" s="25" t="s">
        <v>658</v>
      </c>
      <c r="O43" s="186" t="s">
        <v>737</v>
      </c>
      <c r="P43" s="120">
        <f>+'SL05'!L26</f>
        <v>6.0999999999999999E-2</v>
      </c>
      <c r="Q43" s="107"/>
      <c r="R43" s="108">
        <f t="shared" si="3"/>
        <v>1200</v>
      </c>
      <c r="S43" s="107">
        <f>+'SL05'!L16</f>
        <v>0</v>
      </c>
      <c r="T43" s="107">
        <f>+'SL05'!M16</f>
        <v>0</v>
      </c>
      <c r="U43" s="107">
        <f>+'SL05'!N16</f>
        <v>0</v>
      </c>
      <c r="V43" s="107">
        <f>+'SL05'!O16</f>
        <v>600</v>
      </c>
      <c r="W43" s="107">
        <f>+'SL05'!P16</f>
        <v>600</v>
      </c>
      <c r="X43" s="107">
        <f>+'SL05'!Q16</f>
        <v>0</v>
      </c>
      <c r="Y43" s="107">
        <f>+'SL05'!R16</f>
        <v>0</v>
      </c>
      <c r="Z43" s="107">
        <f>+'SL05'!S16</f>
        <v>0</v>
      </c>
    </row>
    <row r="44" spans="1:26" ht="23.25" x14ac:dyDescent="0.25">
      <c r="A44" t="str">
        <f t="shared" si="1"/>
        <v>I</v>
      </c>
      <c r="B44" s="227"/>
      <c r="C44" s="255"/>
      <c r="D44" s="258"/>
      <c r="E44" s="283"/>
      <c r="F44" s="255"/>
      <c r="G44" s="171" t="str">
        <f t="shared" si="2"/>
        <v>I</v>
      </c>
      <c r="H44" s="77" t="s">
        <v>41</v>
      </c>
      <c r="I44" s="62" t="s">
        <v>629</v>
      </c>
      <c r="J44" s="62"/>
      <c r="K44" s="25" t="s">
        <v>22</v>
      </c>
      <c r="L44" s="25" t="s">
        <v>579</v>
      </c>
      <c r="M44" s="62" t="s">
        <v>580</v>
      </c>
      <c r="N44" s="25" t="s">
        <v>658</v>
      </c>
      <c r="O44" s="186" t="s">
        <v>737</v>
      </c>
      <c r="P44" s="120">
        <f>+'SL05'!L27</f>
        <v>6.0999999999999999E-2</v>
      </c>
      <c r="Q44" s="107"/>
      <c r="R44" s="108">
        <f t="shared" si="3"/>
        <v>1200</v>
      </c>
      <c r="S44" s="107">
        <f>+'SL05'!L17</f>
        <v>0</v>
      </c>
      <c r="T44" s="107">
        <f>+'SL05'!M17</f>
        <v>0</v>
      </c>
      <c r="U44" s="107">
        <f>+'SL05'!N17</f>
        <v>600</v>
      </c>
      <c r="V44" s="107">
        <f>+'SL05'!O17</f>
        <v>600</v>
      </c>
      <c r="W44" s="107">
        <f>+'SL05'!P17</f>
        <v>0</v>
      </c>
      <c r="X44" s="107">
        <f>+'SL05'!Q17</f>
        <v>0</v>
      </c>
      <c r="Y44" s="107">
        <f>+'SL05'!R17</f>
        <v>0</v>
      </c>
      <c r="Z44" s="107">
        <f>+'SL05'!S17</f>
        <v>0</v>
      </c>
    </row>
    <row r="45" spans="1:26" ht="34.5" x14ac:dyDescent="0.25">
      <c r="A45" t="str">
        <f t="shared" si="1"/>
        <v>C</v>
      </c>
      <c r="B45" s="227"/>
      <c r="C45" s="257" t="s">
        <v>823</v>
      </c>
      <c r="D45" s="257" t="s">
        <v>771</v>
      </c>
      <c r="E45" s="273" t="s">
        <v>713</v>
      </c>
      <c r="F45" s="253" t="s">
        <v>351</v>
      </c>
      <c r="G45" s="171" t="str">
        <f t="shared" si="2"/>
        <v>C</v>
      </c>
      <c r="H45" s="77" t="s">
        <v>348</v>
      </c>
      <c r="I45" s="80" t="s">
        <v>640</v>
      </c>
      <c r="J45" s="80" t="s">
        <v>354</v>
      </c>
      <c r="K45" s="25" t="s">
        <v>91</v>
      </c>
      <c r="L45" s="25" t="s">
        <v>605</v>
      </c>
      <c r="M45" s="62" t="s">
        <v>580</v>
      </c>
      <c r="N45" s="25" t="s">
        <v>659</v>
      </c>
      <c r="O45" s="186" t="s">
        <v>737</v>
      </c>
      <c r="P45" s="107"/>
      <c r="Q45" s="107">
        <f>+'SL06'!M24</f>
        <v>504.18298326806695</v>
      </c>
      <c r="R45" s="108">
        <f t="shared" si="3"/>
        <v>550</v>
      </c>
      <c r="S45" s="107">
        <f>+'SL06'!L13</f>
        <v>275</v>
      </c>
      <c r="T45" s="107">
        <f>+'SL06'!M13</f>
        <v>275</v>
      </c>
      <c r="U45" s="107">
        <f>+'SL06'!N13</f>
        <v>0</v>
      </c>
      <c r="V45" s="107">
        <f>+'SL06'!O13</f>
        <v>0</v>
      </c>
      <c r="W45" s="107">
        <f>+'SL06'!P13</f>
        <v>0</v>
      </c>
      <c r="X45" s="107">
        <f>+'SL06'!Q13</f>
        <v>0</v>
      </c>
      <c r="Y45" s="107">
        <f>+'SL06'!R13</f>
        <v>0</v>
      </c>
      <c r="Z45" s="107">
        <f>+'SL06'!S13</f>
        <v>0</v>
      </c>
    </row>
    <row r="46" spans="1:26" ht="23.25" x14ac:dyDescent="0.25">
      <c r="A46" t="str">
        <f t="shared" si="1"/>
        <v>C</v>
      </c>
      <c r="B46" s="227"/>
      <c r="C46" s="257"/>
      <c r="D46" s="257"/>
      <c r="E46" s="273"/>
      <c r="F46" s="254"/>
      <c r="G46" s="171" t="str">
        <f t="shared" si="2"/>
        <v>C</v>
      </c>
      <c r="H46" s="160" t="s">
        <v>352</v>
      </c>
      <c r="I46" s="80" t="s">
        <v>357</v>
      </c>
      <c r="J46" s="80" t="s">
        <v>358</v>
      </c>
      <c r="K46" s="25" t="s">
        <v>91</v>
      </c>
      <c r="L46" s="25" t="s">
        <v>605</v>
      </c>
      <c r="M46" s="62" t="s">
        <v>580</v>
      </c>
      <c r="N46" s="25" t="s">
        <v>659</v>
      </c>
      <c r="O46" s="186" t="s">
        <v>737</v>
      </c>
      <c r="P46" s="107"/>
      <c r="Q46" s="107">
        <f>+'SL06'!M25</f>
        <v>188.67924528301887</v>
      </c>
      <c r="R46" s="108">
        <f t="shared" si="3"/>
        <v>200</v>
      </c>
      <c r="S46" s="107">
        <f>+'SL06'!L14</f>
        <v>0</v>
      </c>
      <c r="T46" s="107">
        <f>+'SL06'!M14</f>
        <v>200</v>
      </c>
      <c r="U46" s="107">
        <f>+'SL06'!N14</f>
        <v>0</v>
      </c>
      <c r="V46" s="107">
        <f>+'SL06'!O14</f>
        <v>0</v>
      </c>
      <c r="W46" s="107">
        <f>+'SL06'!P14</f>
        <v>0</v>
      </c>
      <c r="X46" s="107">
        <f>+'SL06'!Q14</f>
        <v>0</v>
      </c>
      <c r="Y46" s="107">
        <f>+'SL06'!R14</f>
        <v>0</v>
      </c>
      <c r="Z46" s="107">
        <f>+'SL06'!S14</f>
        <v>0</v>
      </c>
    </row>
    <row r="47" spans="1:26" ht="23.25" x14ac:dyDescent="0.25">
      <c r="A47" t="str">
        <f t="shared" si="1"/>
        <v>C</v>
      </c>
      <c r="B47" s="227"/>
      <c r="C47" s="257"/>
      <c r="D47" s="257"/>
      <c r="E47" s="273"/>
      <c r="F47" s="254"/>
      <c r="G47" s="171" t="str">
        <f t="shared" si="2"/>
        <v>C</v>
      </c>
      <c r="H47" s="160" t="s">
        <v>355</v>
      </c>
      <c r="I47" s="80" t="s">
        <v>360</v>
      </c>
      <c r="J47" s="80" t="s">
        <v>361</v>
      </c>
      <c r="K47" s="25" t="s">
        <v>91</v>
      </c>
      <c r="L47" s="25" t="s">
        <v>605</v>
      </c>
      <c r="M47" s="62" t="s">
        <v>580</v>
      </c>
      <c r="N47" s="25" t="s">
        <v>659</v>
      </c>
      <c r="O47" s="186" t="s">
        <v>737</v>
      </c>
      <c r="P47" s="107"/>
      <c r="Q47" s="107">
        <f>+'SL06'!M26</f>
        <v>412.51334994660016</v>
      </c>
      <c r="R47" s="108">
        <f t="shared" si="3"/>
        <v>450</v>
      </c>
      <c r="S47" s="107">
        <f>+'SL06'!L15</f>
        <v>0</v>
      </c>
      <c r="T47" s="107">
        <f>+'SL06'!M15</f>
        <v>0</v>
      </c>
      <c r="U47" s="107">
        <f>+'SL06'!N15</f>
        <v>225</v>
      </c>
      <c r="V47" s="107">
        <f>+'SL06'!O15</f>
        <v>225</v>
      </c>
      <c r="W47" s="107">
        <f>+'SL06'!P15</f>
        <v>0</v>
      </c>
      <c r="X47" s="107">
        <f>+'SL06'!Q15</f>
        <v>0</v>
      </c>
      <c r="Y47" s="107">
        <f>+'SL06'!R15</f>
        <v>0</v>
      </c>
      <c r="Z47" s="107">
        <f>+'SL06'!S15</f>
        <v>0</v>
      </c>
    </row>
    <row r="48" spans="1:26" ht="23.25" x14ac:dyDescent="0.25">
      <c r="A48" t="str">
        <f t="shared" si="1"/>
        <v>I</v>
      </c>
      <c r="B48" s="227"/>
      <c r="C48" s="257"/>
      <c r="D48" s="257"/>
      <c r="E48" s="273"/>
      <c r="F48" s="255"/>
      <c r="G48" s="171" t="str">
        <f t="shared" si="2"/>
        <v>I</v>
      </c>
      <c r="H48" s="160" t="s">
        <v>42</v>
      </c>
      <c r="I48" s="88" t="s">
        <v>353</v>
      </c>
      <c r="J48" s="88"/>
      <c r="K48" s="25" t="s">
        <v>91</v>
      </c>
      <c r="L48" s="25" t="s">
        <v>605</v>
      </c>
      <c r="M48" s="62" t="s">
        <v>580</v>
      </c>
      <c r="N48" s="25" t="s">
        <v>659</v>
      </c>
      <c r="O48" s="186" t="s">
        <v>737</v>
      </c>
      <c r="P48" s="107"/>
      <c r="Q48" s="107">
        <f>+'SL06'!M27</f>
        <v>370.89533641865432</v>
      </c>
      <c r="R48" s="108">
        <f t="shared" si="3"/>
        <v>404.6</v>
      </c>
      <c r="S48" s="107">
        <f>+'SL06'!L16</f>
        <v>0</v>
      </c>
      <c r="T48" s="107">
        <f>+'SL06'!M16</f>
        <v>202.3</v>
      </c>
      <c r="U48" s="107">
        <f>+'SL06'!N16</f>
        <v>202.3</v>
      </c>
      <c r="V48" s="107">
        <f>+'SL06'!O16</f>
        <v>0</v>
      </c>
      <c r="W48" s="107">
        <f>+'SL06'!P16</f>
        <v>0</v>
      </c>
      <c r="X48" s="107">
        <f>+'SL06'!Q16</f>
        <v>0</v>
      </c>
      <c r="Y48" s="107">
        <f>+'SL06'!R16</f>
        <v>0</v>
      </c>
      <c r="Z48" s="107">
        <f>+'SL06'!S16</f>
        <v>0</v>
      </c>
    </row>
    <row r="49" spans="1:26" ht="48" x14ac:dyDescent="0.25">
      <c r="A49" t="str">
        <f t="shared" si="1"/>
        <v>I</v>
      </c>
      <c r="B49" s="227"/>
      <c r="C49" s="257"/>
      <c r="D49" s="257"/>
      <c r="E49" s="81" t="s">
        <v>362</v>
      </c>
      <c r="F49" s="77" t="s">
        <v>165</v>
      </c>
      <c r="G49" s="171" t="str">
        <f t="shared" si="2"/>
        <v>I</v>
      </c>
      <c r="H49" s="77" t="s">
        <v>43</v>
      </c>
      <c r="I49" s="62" t="s">
        <v>363</v>
      </c>
      <c r="J49" s="62"/>
      <c r="K49" s="25" t="s">
        <v>91</v>
      </c>
      <c r="L49" s="25" t="s">
        <v>605</v>
      </c>
      <c r="M49" s="62" t="s">
        <v>745</v>
      </c>
      <c r="N49" s="25" t="s">
        <v>134</v>
      </c>
      <c r="O49" s="186" t="s">
        <v>743</v>
      </c>
      <c r="P49" s="107"/>
      <c r="Q49" s="107">
        <f>+'SL07'!M24</f>
        <v>201.88679245283018</v>
      </c>
      <c r="R49" s="108">
        <f t="shared" si="3"/>
        <v>213.60000000000002</v>
      </c>
      <c r="S49" s="107">
        <f>+'SL07'!L12</f>
        <v>0</v>
      </c>
      <c r="T49" s="107">
        <f>+'SL07'!M12</f>
        <v>213.60000000000002</v>
      </c>
      <c r="U49" s="107">
        <f>+'SL07'!N12</f>
        <v>0</v>
      </c>
      <c r="V49" s="107">
        <f>+'SL07'!O12</f>
        <v>0</v>
      </c>
      <c r="W49" s="107">
        <f>+'SL07'!P12</f>
        <v>0</v>
      </c>
      <c r="X49" s="107">
        <f>+'SL07'!Q12</f>
        <v>0</v>
      </c>
      <c r="Y49" s="107">
        <f>+'SL07'!R12</f>
        <v>0</v>
      </c>
      <c r="Z49" s="107">
        <f>+'SL07'!S12</f>
        <v>0</v>
      </c>
    </row>
    <row r="50" spans="1:26" ht="23.25" customHeight="1" x14ac:dyDescent="0.25">
      <c r="A50" t="str">
        <f t="shared" si="1"/>
        <v>I</v>
      </c>
      <c r="B50" s="227"/>
      <c r="C50" s="257"/>
      <c r="D50" s="257"/>
      <c r="E50" s="272" t="s">
        <v>364</v>
      </c>
      <c r="F50" s="256" t="s">
        <v>166</v>
      </c>
      <c r="G50" s="171" t="str">
        <f t="shared" si="2"/>
        <v>I</v>
      </c>
      <c r="H50" s="160" t="s">
        <v>44</v>
      </c>
      <c r="I50" s="62" t="s">
        <v>365</v>
      </c>
      <c r="J50" s="62"/>
      <c r="K50" s="25" t="s">
        <v>91</v>
      </c>
      <c r="L50" s="25" t="s">
        <v>605</v>
      </c>
      <c r="M50" s="62" t="s">
        <v>572</v>
      </c>
      <c r="N50" s="25" t="s">
        <v>134</v>
      </c>
      <c r="O50" s="186" t="s">
        <v>743</v>
      </c>
      <c r="P50" s="107"/>
      <c r="Q50" s="107">
        <f>+'SL08'!M24</f>
        <v>403.01886792452831</v>
      </c>
      <c r="R50" s="108">
        <f t="shared" si="3"/>
        <v>427.20000000000005</v>
      </c>
      <c r="S50" s="107">
        <f>+'SL08'!L12</f>
        <v>0</v>
      </c>
      <c r="T50" s="107">
        <f>+'SL08'!M12</f>
        <v>0</v>
      </c>
      <c r="U50" s="107">
        <f>+'SL08'!N12</f>
        <v>0</v>
      </c>
      <c r="V50" s="107">
        <f>+'SL08'!O12</f>
        <v>213.60000000000002</v>
      </c>
      <c r="W50" s="107">
        <f>+'SL08'!P12</f>
        <v>213.60000000000002</v>
      </c>
      <c r="X50" s="107">
        <f>+'SL08'!Q12</f>
        <v>0</v>
      </c>
      <c r="Y50" s="107">
        <f>+'SL08'!R12</f>
        <v>0</v>
      </c>
      <c r="Z50" s="107">
        <f>+'SL08'!S12</f>
        <v>0</v>
      </c>
    </row>
    <row r="51" spans="1:26" ht="23.25" x14ac:dyDescent="0.25">
      <c r="A51" t="str">
        <f t="shared" si="1"/>
        <v>I</v>
      </c>
      <c r="B51" s="227"/>
      <c r="C51" s="257"/>
      <c r="D51" s="257"/>
      <c r="E51" s="273"/>
      <c r="F51" s="257"/>
      <c r="G51" s="171" t="str">
        <f t="shared" si="2"/>
        <v>I</v>
      </c>
      <c r="H51" s="160" t="s">
        <v>45</v>
      </c>
      <c r="I51" s="62" t="s">
        <v>366</v>
      </c>
      <c r="J51" s="62"/>
      <c r="K51" s="25" t="s">
        <v>91</v>
      </c>
      <c r="L51" s="25" t="s">
        <v>605</v>
      </c>
      <c r="M51" s="62" t="s">
        <v>572</v>
      </c>
      <c r="N51" s="25" t="s">
        <v>134</v>
      </c>
      <c r="O51" s="186" t="s">
        <v>743</v>
      </c>
      <c r="P51" s="107"/>
      <c r="Q51" s="107">
        <f>+'SL08'!M25</f>
        <v>453.39622641509436</v>
      </c>
      <c r="R51" s="108">
        <f t="shared" si="3"/>
        <v>480.6</v>
      </c>
      <c r="S51" s="107">
        <f>+'SL08'!L13</f>
        <v>0</v>
      </c>
      <c r="T51" s="107">
        <f>+'SL08'!M13</f>
        <v>0</v>
      </c>
      <c r="U51" s="107">
        <f>+'SL08'!N13</f>
        <v>240.3</v>
      </c>
      <c r="V51" s="107">
        <f>+'SL08'!O13</f>
        <v>240.3</v>
      </c>
      <c r="W51" s="107">
        <f>+'SL08'!P13</f>
        <v>0</v>
      </c>
      <c r="X51" s="107">
        <f>+'SL08'!Q13</f>
        <v>0</v>
      </c>
      <c r="Y51" s="107">
        <f>+'SL08'!R13</f>
        <v>0</v>
      </c>
      <c r="Z51" s="107">
        <f>+'SL08'!S13</f>
        <v>0</v>
      </c>
    </row>
    <row r="52" spans="1:26" ht="23.25" x14ac:dyDescent="0.25">
      <c r="A52" t="str">
        <f t="shared" si="1"/>
        <v>I</v>
      </c>
      <c r="B52" s="227"/>
      <c r="C52" s="257"/>
      <c r="D52" s="257"/>
      <c r="E52" s="273"/>
      <c r="F52" s="257"/>
      <c r="G52" s="171" t="str">
        <f t="shared" si="2"/>
        <v>I</v>
      </c>
      <c r="H52" s="160" t="s">
        <v>46</v>
      </c>
      <c r="I52" s="62" t="s">
        <v>367</v>
      </c>
      <c r="J52" s="62"/>
      <c r="K52" s="25" t="s">
        <v>91</v>
      </c>
      <c r="L52" s="25" t="s">
        <v>605</v>
      </c>
      <c r="M52" s="62" t="s">
        <v>572</v>
      </c>
      <c r="N52" s="25" t="s">
        <v>134</v>
      </c>
      <c r="O52" s="186" t="s">
        <v>743</v>
      </c>
      <c r="P52" s="107"/>
      <c r="Q52" s="107">
        <f>+'SL08'!M26</f>
        <v>403.01886792452831</v>
      </c>
      <c r="R52" s="108">
        <f t="shared" si="3"/>
        <v>427.20000000000005</v>
      </c>
      <c r="S52" s="107">
        <f>+'SL08'!L14</f>
        <v>0</v>
      </c>
      <c r="T52" s="107">
        <f>+'SL08'!M14</f>
        <v>0</v>
      </c>
      <c r="U52" s="107">
        <f>+'SL08'!N14</f>
        <v>0</v>
      </c>
      <c r="V52" s="107">
        <f>+'SL08'!O14</f>
        <v>213.60000000000002</v>
      </c>
      <c r="W52" s="107">
        <f>+'SL08'!P14</f>
        <v>213.60000000000002</v>
      </c>
      <c r="X52" s="107">
        <f>+'SL08'!Q14</f>
        <v>0</v>
      </c>
      <c r="Y52" s="107">
        <f>+'SL08'!R14</f>
        <v>0</v>
      </c>
      <c r="Z52" s="107">
        <f>+'SL08'!S14</f>
        <v>0</v>
      </c>
    </row>
    <row r="53" spans="1:26" ht="23.25" x14ac:dyDescent="0.25">
      <c r="A53" t="str">
        <f t="shared" si="1"/>
        <v>I</v>
      </c>
      <c r="B53" s="227"/>
      <c r="C53" s="257"/>
      <c r="D53" s="258"/>
      <c r="E53" s="274"/>
      <c r="F53" s="258"/>
      <c r="G53" s="171" t="str">
        <f t="shared" si="2"/>
        <v>I</v>
      </c>
      <c r="H53" s="160" t="s">
        <v>47</v>
      </c>
      <c r="I53" s="62" t="s">
        <v>368</v>
      </c>
      <c r="J53" s="62"/>
      <c r="K53" s="25" t="s">
        <v>91</v>
      </c>
      <c r="L53" s="25" t="s">
        <v>605</v>
      </c>
      <c r="M53" s="62" t="s">
        <v>572</v>
      </c>
      <c r="N53" s="25" t="s">
        <v>134</v>
      </c>
      <c r="O53" s="186" t="s">
        <v>743</v>
      </c>
      <c r="P53" s="107"/>
      <c r="Q53" s="107">
        <f>+'SL08'!M27</f>
        <v>403.01886792452831</v>
      </c>
      <c r="R53" s="108">
        <f t="shared" si="3"/>
        <v>427.20000000000005</v>
      </c>
      <c r="S53" s="107">
        <f>+'SL08'!L15</f>
        <v>0</v>
      </c>
      <c r="T53" s="107">
        <f>+'SL08'!M15</f>
        <v>0</v>
      </c>
      <c r="U53" s="107">
        <f>+'SL08'!N15</f>
        <v>0</v>
      </c>
      <c r="V53" s="107">
        <f>+'SL08'!O15</f>
        <v>0</v>
      </c>
      <c r="W53" s="107">
        <f>+'SL08'!P15</f>
        <v>0</v>
      </c>
      <c r="X53" s="107">
        <f>+'SL08'!Q15</f>
        <v>427.20000000000005</v>
      </c>
      <c r="Y53" s="107">
        <f>+'SL08'!R15</f>
        <v>0</v>
      </c>
      <c r="Z53" s="107">
        <f>+'SL08'!S15</f>
        <v>0</v>
      </c>
    </row>
    <row r="54" spans="1:26" ht="60" x14ac:dyDescent="0.25">
      <c r="A54" t="str">
        <f t="shared" si="1"/>
        <v>I</v>
      </c>
      <c r="B54" s="227"/>
      <c r="C54" s="258"/>
      <c r="D54" s="77" t="s">
        <v>168</v>
      </c>
      <c r="E54" s="81" t="s">
        <v>369</v>
      </c>
      <c r="F54" s="77" t="s">
        <v>167</v>
      </c>
      <c r="G54" s="171" t="str">
        <f t="shared" si="2"/>
        <v>I</v>
      </c>
      <c r="H54" s="160" t="s">
        <v>48</v>
      </c>
      <c r="I54" s="62" t="s">
        <v>167</v>
      </c>
      <c r="J54" s="62"/>
      <c r="K54" s="25" t="s">
        <v>91</v>
      </c>
      <c r="L54" s="25" t="s">
        <v>571</v>
      </c>
      <c r="M54" s="62" t="s">
        <v>572</v>
      </c>
      <c r="N54" s="25" t="s">
        <v>134</v>
      </c>
      <c r="O54" s="186" t="s">
        <v>743</v>
      </c>
      <c r="P54" s="107"/>
      <c r="Q54" s="107">
        <f>+'SL09'!M24</f>
        <v>428.20754716981128</v>
      </c>
      <c r="R54" s="108">
        <f t="shared" si="3"/>
        <v>453.9</v>
      </c>
      <c r="S54" s="107">
        <f>+'SL09'!L12</f>
        <v>0</v>
      </c>
      <c r="T54" s="107">
        <f>+'SL09'!M12</f>
        <v>226.95</v>
      </c>
      <c r="U54" s="107">
        <f>+'SL09'!N12</f>
        <v>226.95</v>
      </c>
      <c r="V54" s="107">
        <f>+'SL09'!O12</f>
        <v>0</v>
      </c>
      <c r="W54" s="107">
        <f>+'SL09'!P12</f>
        <v>0</v>
      </c>
      <c r="X54" s="107">
        <f>+'SL09'!Q12</f>
        <v>0</v>
      </c>
      <c r="Y54" s="107">
        <f>+'SL09'!R12</f>
        <v>0</v>
      </c>
      <c r="Z54" s="107">
        <f>+'SL09'!S12</f>
        <v>0</v>
      </c>
    </row>
    <row r="55" spans="1:26" ht="23.25" customHeight="1" x14ac:dyDescent="0.25">
      <c r="A55" t="str">
        <f t="shared" si="1"/>
        <v>C</v>
      </c>
      <c r="B55" s="227"/>
      <c r="C55" s="254" t="s">
        <v>824</v>
      </c>
      <c r="D55" s="257" t="s">
        <v>170</v>
      </c>
      <c r="E55" s="273" t="s">
        <v>370</v>
      </c>
      <c r="F55" s="253" t="s">
        <v>169</v>
      </c>
      <c r="G55" s="171" t="str">
        <f t="shared" si="2"/>
        <v>C</v>
      </c>
      <c r="H55" s="77" t="s">
        <v>356</v>
      </c>
      <c r="I55" s="82" t="s">
        <v>373</v>
      </c>
      <c r="J55" s="82" t="s">
        <v>374</v>
      </c>
      <c r="K55" s="25" t="s">
        <v>91</v>
      </c>
      <c r="L55" s="25" t="s">
        <v>571</v>
      </c>
      <c r="M55" s="62" t="s">
        <v>580</v>
      </c>
      <c r="N55" s="25" t="s">
        <v>659</v>
      </c>
      <c r="O55" s="186" t="s">
        <v>737</v>
      </c>
      <c r="P55" s="107"/>
      <c r="Q55" s="107">
        <f>+'SL10'!M24</f>
        <v>201.67319330722674</v>
      </c>
      <c r="R55" s="108">
        <f t="shared" si="3"/>
        <v>220</v>
      </c>
      <c r="S55" s="107">
        <f>+'SL10'!L13</f>
        <v>0</v>
      </c>
      <c r="T55" s="107">
        <f>+'SL10'!M13</f>
        <v>0</v>
      </c>
      <c r="U55" s="107">
        <f>+'SL10'!N13</f>
        <v>0</v>
      </c>
      <c r="V55" s="107">
        <f>+'SL10'!O13</f>
        <v>110</v>
      </c>
      <c r="W55" s="107">
        <f>+'SL10'!P13</f>
        <v>110</v>
      </c>
      <c r="X55" s="107">
        <f>+'SL10'!Q13</f>
        <v>0</v>
      </c>
      <c r="Y55" s="107">
        <f>+'SL10'!R13</f>
        <v>0</v>
      </c>
      <c r="Z55" s="107">
        <f>+'SL10'!S13</f>
        <v>0</v>
      </c>
    </row>
    <row r="56" spans="1:26" ht="23.25" x14ac:dyDescent="0.25">
      <c r="A56" t="str">
        <f t="shared" si="1"/>
        <v>C</v>
      </c>
      <c r="B56" s="227"/>
      <c r="C56" s="254"/>
      <c r="D56" s="257"/>
      <c r="E56" s="273"/>
      <c r="F56" s="254"/>
      <c r="G56" s="171" t="str">
        <f t="shared" si="2"/>
        <v>C</v>
      </c>
      <c r="H56" s="77" t="s">
        <v>359</v>
      </c>
      <c r="I56" s="82" t="s">
        <v>376</v>
      </c>
      <c r="J56" s="82" t="s">
        <v>377</v>
      </c>
      <c r="K56" s="25" t="s">
        <v>91</v>
      </c>
      <c r="L56" s="25" t="s">
        <v>571</v>
      </c>
      <c r="M56" s="62" t="s">
        <v>580</v>
      </c>
      <c r="N56" s="25" t="s">
        <v>659</v>
      </c>
      <c r="O56" s="186" t="s">
        <v>737</v>
      </c>
      <c r="P56" s="107"/>
      <c r="Q56" s="107">
        <f>+'SL10'!M25</f>
        <v>201.67319330722674</v>
      </c>
      <c r="R56" s="108">
        <f t="shared" si="3"/>
        <v>220</v>
      </c>
      <c r="S56" s="107">
        <f>+'SL10'!L14</f>
        <v>0</v>
      </c>
      <c r="T56" s="107">
        <f>+'SL10'!M14</f>
        <v>0</v>
      </c>
      <c r="U56" s="107">
        <f>+'SL10'!N14</f>
        <v>0</v>
      </c>
      <c r="V56" s="107">
        <f>+'SL10'!O14</f>
        <v>0</v>
      </c>
      <c r="W56" s="107">
        <f>+'SL10'!P14</f>
        <v>110</v>
      </c>
      <c r="X56" s="107">
        <f>+'SL10'!Q14</f>
        <v>110</v>
      </c>
      <c r="Y56" s="107">
        <f>+'SL10'!R14</f>
        <v>0</v>
      </c>
      <c r="Z56" s="107">
        <f>+'SL10'!S14</f>
        <v>0</v>
      </c>
    </row>
    <row r="57" spans="1:26" ht="23.25" x14ac:dyDescent="0.25">
      <c r="A57" t="str">
        <f t="shared" si="1"/>
        <v>C</v>
      </c>
      <c r="B57" s="227"/>
      <c r="C57" s="254"/>
      <c r="D57" s="257"/>
      <c r="E57" s="273"/>
      <c r="F57" s="254"/>
      <c r="G57" s="171" t="str">
        <f t="shared" si="2"/>
        <v>C</v>
      </c>
      <c r="H57" s="77" t="s">
        <v>371</v>
      </c>
      <c r="I57" s="82" t="s">
        <v>379</v>
      </c>
      <c r="J57" s="82" t="s">
        <v>380</v>
      </c>
      <c r="K57" s="25" t="s">
        <v>91</v>
      </c>
      <c r="L57" s="25" t="s">
        <v>571</v>
      </c>
      <c r="M57" s="62" t="s">
        <v>580</v>
      </c>
      <c r="N57" s="25" t="s">
        <v>659</v>
      </c>
      <c r="O57" s="186" t="s">
        <v>737</v>
      </c>
      <c r="P57" s="107"/>
      <c r="Q57" s="107">
        <f>+'SL10'!M26</f>
        <v>201.67319330722674</v>
      </c>
      <c r="R57" s="108">
        <f t="shared" si="3"/>
        <v>220</v>
      </c>
      <c r="S57" s="107">
        <f>+'SL10'!L15</f>
        <v>0</v>
      </c>
      <c r="T57" s="107">
        <f>+'SL10'!M15</f>
        <v>0</v>
      </c>
      <c r="U57" s="107">
        <f>+'SL10'!N15</f>
        <v>0</v>
      </c>
      <c r="V57" s="107">
        <f>+'SL10'!O15</f>
        <v>0</v>
      </c>
      <c r="W57" s="107">
        <f>+'SL10'!P15</f>
        <v>0</v>
      </c>
      <c r="X57" s="107">
        <f>+'SL10'!Q15</f>
        <v>220</v>
      </c>
      <c r="Y57" s="107">
        <f>+'SL10'!R15</f>
        <v>0</v>
      </c>
      <c r="Z57" s="107">
        <f>+'SL10'!S15</f>
        <v>0</v>
      </c>
    </row>
    <row r="58" spans="1:26" ht="45.75" x14ac:dyDescent="0.25">
      <c r="A58" t="str">
        <f t="shared" si="1"/>
        <v>C</v>
      </c>
      <c r="B58" s="227"/>
      <c r="C58" s="254"/>
      <c r="D58" s="257"/>
      <c r="E58" s="273"/>
      <c r="F58" s="254"/>
      <c r="G58" s="171" t="str">
        <f t="shared" si="2"/>
        <v>C</v>
      </c>
      <c r="H58" s="77" t="s">
        <v>372</v>
      </c>
      <c r="I58" s="82" t="s">
        <v>382</v>
      </c>
      <c r="J58" s="82" t="s">
        <v>383</v>
      </c>
      <c r="K58" s="25" t="s">
        <v>91</v>
      </c>
      <c r="L58" s="25" t="s">
        <v>571</v>
      </c>
      <c r="M58" s="62" t="s">
        <v>580</v>
      </c>
      <c r="N58" s="25" t="s">
        <v>659</v>
      </c>
      <c r="O58" s="186" t="s">
        <v>737</v>
      </c>
      <c r="P58" s="107"/>
      <c r="Q58" s="107">
        <f>+'SL10'!M27</f>
        <v>201.67319330722674</v>
      </c>
      <c r="R58" s="108">
        <f t="shared" si="3"/>
        <v>200</v>
      </c>
      <c r="S58" s="107">
        <f>+'SL10'!L16</f>
        <v>150</v>
      </c>
      <c r="T58" s="107">
        <f>+'SL10'!M16</f>
        <v>50</v>
      </c>
      <c r="U58" s="107">
        <f>+'SL10'!N16</f>
        <v>0</v>
      </c>
      <c r="V58" s="107">
        <f>+'SL10'!O16</f>
        <v>0</v>
      </c>
      <c r="W58" s="107">
        <f>+'SL10'!P16</f>
        <v>0</v>
      </c>
      <c r="X58" s="107">
        <f>+'SL10'!Q16</f>
        <v>0</v>
      </c>
      <c r="Y58" s="107">
        <f>+'SL10'!R16</f>
        <v>0</v>
      </c>
      <c r="Z58" s="107">
        <f>+'SL10'!S16</f>
        <v>0</v>
      </c>
    </row>
    <row r="59" spans="1:26" ht="23.25" x14ac:dyDescent="0.25">
      <c r="A59" t="str">
        <f t="shared" si="1"/>
        <v>I</v>
      </c>
      <c r="B59" s="227"/>
      <c r="C59" s="254"/>
      <c r="D59" s="257"/>
      <c r="E59" s="273"/>
      <c r="F59" s="254"/>
      <c r="G59" s="171" t="str">
        <f t="shared" si="2"/>
        <v>I</v>
      </c>
      <c r="H59" s="77" t="s">
        <v>49</v>
      </c>
      <c r="I59" s="62" t="s">
        <v>384</v>
      </c>
      <c r="J59" s="62"/>
      <c r="K59" s="25" t="s">
        <v>91</v>
      </c>
      <c r="L59" s="25" t="s">
        <v>571</v>
      </c>
      <c r="M59" s="62" t="s">
        <v>580</v>
      </c>
      <c r="N59" s="25" t="s">
        <v>659</v>
      </c>
      <c r="O59" s="186" t="s">
        <v>737</v>
      </c>
      <c r="P59" s="107"/>
      <c r="Q59" s="107">
        <f>+'SL10'!M28</f>
        <v>186.00925596297614</v>
      </c>
      <c r="R59" s="108">
        <f t="shared" si="3"/>
        <v>230</v>
      </c>
      <c r="S59" s="107">
        <f>+'SL10'!L17</f>
        <v>0</v>
      </c>
      <c r="T59" s="107">
        <f>+'SL10'!M17</f>
        <v>0</v>
      </c>
      <c r="U59" s="107">
        <f>+'SL10'!N17</f>
        <v>0</v>
      </c>
      <c r="V59" s="107">
        <f>+'SL10'!O17</f>
        <v>0</v>
      </c>
      <c r="W59" s="107">
        <f>+'SL10'!P17</f>
        <v>0</v>
      </c>
      <c r="X59" s="107">
        <f>+'SL10'!Q17</f>
        <v>230</v>
      </c>
      <c r="Y59" s="107">
        <f>+'SL10'!R17</f>
        <v>0</v>
      </c>
      <c r="Z59" s="107">
        <f>+'SL10'!S17</f>
        <v>0</v>
      </c>
    </row>
    <row r="60" spans="1:26" ht="23.25" x14ac:dyDescent="0.25">
      <c r="A60" t="str">
        <f t="shared" si="1"/>
        <v>I</v>
      </c>
      <c r="B60" s="227"/>
      <c r="C60" s="254"/>
      <c r="D60" s="257"/>
      <c r="E60" s="273"/>
      <c r="F60" s="255"/>
      <c r="G60" s="171" t="str">
        <f t="shared" si="2"/>
        <v>I</v>
      </c>
      <c r="H60" s="77" t="s">
        <v>50</v>
      </c>
      <c r="I60" s="62" t="s">
        <v>385</v>
      </c>
      <c r="J60" s="62"/>
      <c r="K60" s="25" t="s">
        <v>91</v>
      </c>
      <c r="L60" s="25" t="s">
        <v>571</v>
      </c>
      <c r="M60" s="62" t="s">
        <v>580</v>
      </c>
      <c r="N60" s="25" t="s">
        <v>659</v>
      </c>
      <c r="O60" s="186" t="s">
        <v>737</v>
      </c>
      <c r="P60" s="107"/>
      <c r="Q60" s="107">
        <f>+'SL10'!M29</f>
        <v>210.84015663937342</v>
      </c>
      <c r="R60" s="108">
        <f t="shared" si="3"/>
        <v>230</v>
      </c>
      <c r="S60" s="107">
        <f>+'SL10'!L18</f>
        <v>0</v>
      </c>
      <c r="T60" s="107">
        <f>+'SL10'!M18</f>
        <v>0</v>
      </c>
      <c r="U60" s="107">
        <f>+'SL10'!N18</f>
        <v>0</v>
      </c>
      <c r="V60" s="107">
        <f>+'SL10'!O18</f>
        <v>115</v>
      </c>
      <c r="W60" s="107">
        <f>+'SL10'!P18</f>
        <v>115</v>
      </c>
      <c r="X60" s="107">
        <f>+'SL10'!Q18</f>
        <v>0</v>
      </c>
      <c r="Y60" s="107">
        <f>+'SL10'!R18</f>
        <v>0</v>
      </c>
      <c r="Z60" s="107">
        <f>+'SL10'!S18</f>
        <v>0</v>
      </c>
    </row>
    <row r="61" spans="1:26" ht="23.25" customHeight="1" x14ac:dyDescent="0.25">
      <c r="A61" t="str">
        <f t="shared" si="1"/>
        <v>C</v>
      </c>
      <c r="B61" s="227"/>
      <c r="C61" s="254"/>
      <c r="D61" s="256" t="s">
        <v>173</v>
      </c>
      <c r="E61" s="272" t="s">
        <v>386</v>
      </c>
      <c r="F61" s="256" t="s">
        <v>387</v>
      </c>
      <c r="G61" s="171" t="str">
        <f t="shared" si="2"/>
        <v>C</v>
      </c>
      <c r="H61" s="77" t="s">
        <v>375</v>
      </c>
      <c r="I61" s="82" t="s">
        <v>389</v>
      </c>
      <c r="J61" s="82" t="s">
        <v>390</v>
      </c>
      <c r="K61" s="25" t="s">
        <v>91</v>
      </c>
      <c r="L61" s="25" t="s">
        <v>571</v>
      </c>
      <c r="M61" s="62" t="s">
        <v>580</v>
      </c>
      <c r="N61" s="25" t="s">
        <v>659</v>
      </c>
      <c r="O61" s="186" t="s">
        <v>737</v>
      </c>
      <c r="P61" s="107"/>
      <c r="Q61" s="107">
        <f>+'SL11'!M24</f>
        <v>152.83018867924528</v>
      </c>
      <c r="R61" s="108">
        <f t="shared" si="3"/>
        <v>162</v>
      </c>
      <c r="S61" s="107">
        <f>+'SL11'!L12</f>
        <v>0</v>
      </c>
      <c r="T61" s="107">
        <f>+'SL11'!M12</f>
        <v>162</v>
      </c>
      <c r="U61" s="107">
        <f>+'SL11'!N12</f>
        <v>0</v>
      </c>
      <c r="V61" s="107">
        <f>+'SL11'!O12</f>
        <v>0</v>
      </c>
      <c r="W61" s="107">
        <f>+'SL11'!P12</f>
        <v>0</v>
      </c>
      <c r="X61" s="107">
        <f>+'SL11'!Q12</f>
        <v>0</v>
      </c>
      <c r="Y61" s="107">
        <f>+'SL11'!R12</f>
        <v>0</v>
      </c>
      <c r="Z61" s="107">
        <f>+'SL11'!S12</f>
        <v>0</v>
      </c>
    </row>
    <row r="62" spans="1:26" ht="23.25" x14ac:dyDescent="0.25">
      <c r="A62" t="str">
        <f t="shared" si="1"/>
        <v>C</v>
      </c>
      <c r="B62" s="227"/>
      <c r="C62" s="254"/>
      <c r="D62" s="257"/>
      <c r="E62" s="273"/>
      <c r="F62" s="257"/>
      <c r="G62" s="171" t="str">
        <f t="shared" si="2"/>
        <v>C</v>
      </c>
      <c r="H62" s="77" t="s">
        <v>378</v>
      </c>
      <c r="I62" s="82" t="s">
        <v>392</v>
      </c>
      <c r="J62" s="82" t="s">
        <v>393</v>
      </c>
      <c r="K62" s="25" t="s">
        <v>91</v>
      </c>
      <c r="L62" s="25" t="s">
        <v>571</v>
      </c>
      <c r="M62" s="62" t="s">
        <v>580</v>
      </c>
      <c r="N62" s="25" t="s">
        <v>659</v>
      </c>
      <c r="O62" s="186" t="s">
        <v>737</v>
      </c>
      <c r="P62" s="107"/>
      <c r="Q62" s="107">
        <f>+'SL11'!M25</f>
        <v>60.377358490566031</v>
      </c>
      <c r="R62" s="108">
        <f t="shared" si="3"/>
        <v>64</v>
      </c>
      <c r="S62" s="107">
        <f>+'SL11'!L13</f>
        <v>64</v>
      </c>
      <c r="T62" s="107">
        <f>+'SL11'!M13</f>
        <v>0</v>
      </c>
      <c r="U62" s="107">
        <f>+'SL11'!N13</f>
        <v>0</v>
      </c>
      <c r="V62" s="107">
        <f>+'SL11'!O13</f>
        <v>0</v>
      </c>
      <c r="W62" s="107">
        <f>+'SL11'!P13</f>
        <v>0</v>
      </c>
      <c r="X62" s="107">
        <f>+'SL11'!Q13</f>
        <v>0</v>
      </c>
      <c r="Y62" s="107">
        <f>+'SL11'!R13</f>
        <v>0</v>
      </c>
      <c r="Z62" s="107">
        <f>+'SL11'!S13</f>
        <v>0</v>
      </c>
    </row>
    <row r="63" spans="1:26" ht="23.25" x14ac:dyDescent="0.25">
      <c r="A63" t="str">
        <f t="shared" si="1"/>
        <v>C</v>
      </c>
      <c r="B63" s="227"/>
      <c r="C63" s="254"/>
      <c r="D63" s="257"/>
      <c r="E63" s="273"/>
      <c r="F63" s="257"/>
      <c r="G63" s="171" t="str">
        <f t="shared" si="2"/>
        <v>C</v>
      </c>
      <c r="H63" s="77" t="s">
        <v>381</v>
      </c>
      <c r="I63" s="82" t="s">
        <v>395</v>
      </c>
      <c r="J63" s="82" t="s">
        <v>396</v>
      </c>
      <c r="K63" s="25" t="s">
        <v>91</v>
      </c>
      <c r="L63" s="25" t="s">
        <v>571</v>
      </c>
      <c r="M63" s="62" t="s">
        <v>580</v>
      </c>
      <c r="N63" s="25" t="s">
        <v>659</v>
      </c>
      <c r="O63" s="186" t="s">
        <v>737</v>
      </c>
      <c r="P63" s="107"/>
      <c r="Q63" s="107">
        <f>+'SL11'!M26</f>
        <v>623.60203389375113</v>
      </c>
      <c r="R63" s="108">
        <f t="shared" si="3"/>
        <v>700</v>
      </c>
      <c r="S63" s="107">
        <f>+'SL11'!L14</f>
        <v>200</v>
      </c>
      <c r="T63" s="107">
        <f>+'SL11'!M14</f>
        <v>300</v>
      </c>
      <c r="U63" s="107">
        <f>+'SL11'!N14</f>
        <v>200</v>
      </c>
      <c r="V63" s="107">
        <f>+'SL11'!O14</f>
        <v>0</v>
      </c>
      <c r="W63" s="107">
        <f>+'SL11'!P14</f>
        <v>0</v>
      </c>
      <c r="X63" s="107">
        <f>+'SL11'!Q14</f>
        <v>0</v>
      </c>
      <c r="Y63" s="107">
        <f>+'SL11'!R14</f>
        <v>0</v>
      </c>
      <c r="Z63" s="107">
        <f>+'SL11'!S14</f>
        <v>0</v>
      </c>
    </row>
    <row r="64" spans="1:26" ht="45.75" x14ac:dyDescent="0.25">
      <c r="A64" t="str">
        <f t="shared" si="1"/>
        <v>C</v>
      </c>
      <c r="B64" s="227"/>
      <c r="C64" s="254"/>
      <c r="D64" s="257"/>
      <c r="E64" s="273"/>
      <c r="F64" s="257"/>
      <c r="G64" s="171" t="str">
        <f t="shared" si="2"/>
        <v>C</v>
      </c>
      <c r="H64" s="77" t="s">
        <v>388</v>
      </c>
      <c r="I64" s="82" t="s">
        <v>398</v>
      </c>
      <c r="J64" s="82" t="s">
        <v>399</v>
      </c>
      <c r="K64" s="25" t="s">
        <v>91</v>
      </c>
      <c r="L64" s="25" t="s">
        <v>571</v>
      </c>
      <c r="M64" s="62" t="s">
        <v>580</v>
      </c>
      <c r="N64" s="25" t="s">
        <v>659</v>
      </c>
      <c r="O64" s="186" t="s">
        <v>737</v>
      </c>
      <c r="P64" s="107"/>
      <c r="Q64" s="107">
        <f>+'SL11'!M27</f>
        <v>314.47100626691832</v>
      </c>
      <c r="R64" s="108">
        <f t="shared" si="3"/>
        <v>350</v>
      </c>
      <c r="S64" s="107">
        <f>+'SL11'!L15</f>
        <v>150</v>
      </c>
      <c r="T64" s="107">
        <f>+'SL11'!M15</f>
        <v>100</v>
      </c>
      <c r="U64" s="107">
        <f>+'SL11'!N15</f>
        <v>100</v>
      </c>
      <c r="V64" s="107">
        <f>+'SL11'!O15</f>
        <v>0</v>
      </c>
      <c r="W64" s="107">
        <f>+'SL11'!P15</f>
        <v>0</v>
      </c>
      <c r="X64" s="107">
        <f>+'SL11'!Q15</f>
        <v>0</v>
      </c>
      <c r="Y64" s="107">
        <f>+'SL11'!R15</f>
        <v>0</v>
      </c>
      <c r="Z64" s="107">
        <f>+'SL11'!S15</f>
        <v>0</v>
      </c>
    </row>
    <row r="65" spans="1:26" ht="23.25" customHeight="1" x14ac:dyDescent="0.25">
      <c r="A65" t="str">
        <f t="shared" si="1"/>
        <v>C</v>
      </c>
      <c r="B65" s="226" t="s">
        <v>748</v>
      </c>
      <c r="C65" s="271" t="s">
        <v>401</v>
      </c>
      <c r="D65" s="249" t="s">
        <v>175</v>
      </c>
      <c r="E65" s="277" t="s">
        <v>402</v>
      </c>
      <c r="F65" s="279" t="s">
        <v>668</v>
      </c>
      <c r="G65" s="171" t="str">
        <f t="shared" si="2"/>
        <v>C</v>
      </c>
      <c r="H65" s="162" t="s">
        <v>391</v>
      </c>
      <c r="I65" s="155" t="s">
        <v>172</v>
      </c>
      <c r="J65" s="82" t="s">
        <v>404</v>
      </c>
      <c r="K65" s="25" t="s">
        <v>22</v>
      </c>
      <c r="L65" s="25" t="s">
        <v>579</v>
      </c>
      <c r="M65" s="62" t="s">
        <v>614</v>
      </c>
      <c r="N65" s="25" t="s">
        <v>660</v>
      </c>
      <c r="O65" s="186" t="s">
        <v>743</v>
      </c>
      <c r="P65" s="194">
        <f>+'SL12'!L24</f>
        <v>0.06</v>
      </c>
      <c r="Q65" s="107"/>
      <c r="R65" s="108">
        <f t="shared" si="3"/>
        <v>3609.8416229999998</v>
      </c>
      <c r="S65" s="107">
        <f>+'SL12'!L12</f>
        <v>902.46040574999995</v>
      </c>
      <c r="T65" s="107">
        <f>+'SL12'!M12</f>
        <v>902.46040574999995</v>
      </c>
      <c r="U65" s="107">
        <f>+'SL12'!N12</f>
        <v>902.46040574999995</v>
      </c>
      <c r="V65" s="107">
        <f>+'SL12'!O12</f>
        <v>902.46040574999995</v>
      </c>
      <c r="W65" s="107">
        <f>+'SL12'!P12</f>
        <v>0</v>
      </c>
      <c r="X65" s="107">
        <f>+'SL12'!Q12</f>
        <v>0</v>
      </c>
      <c r="Y65" s="107">
        <f>+'SL12'!R12</f>
        <v>0</v>
      </c>
      <c r="Z65" s="107">
        <f>+'SL12'!S12</f>
        <v>0</v>
      </c>
    </row>
    <row r="66" spans="1:26" ht="24" x14ac:dyDescent="0.25">
      <c r="A66" t="str">
        <f t="shared" si="1"/>
        <v>I</v>
      </c>
      <c r="B66" s="227"/>
      <c r="C66" s="271"/>
      <c r="D66" s="249"/>
      <c r="E66" s="278"/>
      <c r="F66" s="280"/>
      <c r="G66" s="171" t="str">
        <f t="shared" si="2"/>
        <v>I</v>
      </c>
      <c r="H66" s="137" t="s">
        <v>51</v>
      </c>
      <c r="I66" s="85" t="s">
        <v>669</v>
      </c>
      <c r="J66" s="85"/>
      <c r="K66" s="25" t="s">
        <v>91</v>
      </c>
      <c r="L66" s="25" t="s">
        <v>605</v>
      </c>
      <c r="M66" s="62" t="s">
        <v>614</v>
      </c>
      <c r="N66" s="25" t="s">
        <v>660</v>
      </c>
      <c r="O66" s="186" t="s">
        <v>743</v>
      </c>
      <c r="P66" s="107"/>
      <c r="Q66" s="107">
        <f>+'SL12'!M25</f>
        <v>201.50943396226415</v>
      </c>
      <c r="R66" s="108">
        <f t="shared" si="3"/>
        <v>213.60000000000002</v>
      </c>
      <c r="S66" s="107">
        <f>+'SL12'!L13</f>
        <v>0</v>
      </c>
      <c r="T66" s="107">
        <f>+'SL12'!M13</f>
        <v>0</v>
      </c>
      <c r="U66" s="107">
        <f>+'SL12'!N13</f>
        <v>0</v>
      </c>
      <c r="V66" s="107">
        <f>+'SL12'!O13</f>
        <v>0</v>
      </c>
      <c r="W66" s="107">
        <f>+'SL12'!P13</f>
        <v>0</v>
      </c>
      <c r="X66" s="107">
        <f>+'SL12'!Q13</f>
        <v>213.60000000000002</v>
      </c>
      <c r="Y66" s="107">
        <f>+'SL12'!R13</f>
        <v>0</v>
      </c>
      <c r="Z66" s="107">
        <f>+'SL12'!S13</f>
        <v>0</v>
      </c>
    </row>
    <row r="67" spans="1:26" ht="60" x14ac:dyDescent="0.25">
      <c r="A67" t="str">
        <f t="shared" si="1"/>
        <v>I</v>
      </c>
      <c r="B67" s="227"/>
      <c r="C67" s="271"/>
      <c r="D67" s="249" t="s">
        <v>181</v>
      </c>
      <c r="E67" s="83" t="s">
        <v>405</v>
      </c>
      <c r="F67" s="84" t="s">
        <v>180</v>
      </c>
      <c r="G67" s="171" t="str">
        <f t="shared" si="2"/>
        <v>I</v>
      </c>
      <c r="H67" s="162" t="s">
        <v>52</v>
      </c>
      <c r="I67" s="85" t="s">
        <v>180</v>
      </c>
      <c r="J67" s="85"/>
      <c r="K67" s="25" t="s">
        <v>91</v>
      </c>
      <c r="L67" s="25" t="s">
        <v>571</v>
      </c>
      <c r="M67" s="62" t="s">
        <v>614</v>
      </c>
      <c r="N67" s="25" t="s">
        <v>660</v>
      </c>
      <c r="O67" s="186" t="s">
        <v>743</v>
      </c>
      <c r="P67" s="107"/>
      <c r="Q67" s="107">
        <f>+'SL13'!M24</f>
        <v>229.6324314702741</v>
      </c>
      <c r="R67" s="108">
        <f t="shared" si="3"/>
        <v>250.5</v>
      </c>
      <c r="S67" s="107">
        <f>+'SL13'!L12</f>
        <v>0</v>
      </c>
      <c r="T67" s="107">
        <f>+'SL13'!M12</f>
        <v>125.25</v>
      </c>
      <c r="U67" s="107">
        <f>+'SL13'!N12</f>
        <v>125.25</v>
      </c>
      <c r="V67" s="107">
        <f>+'SL13'!O12</f>
        <v>0</v>
      </c>
      <c r="W67" s="107">
        <f>+'SL13'!P12</f>
        <v>0</v>
      </c>
      <c r="X67" s="107">
        <f>+'SL13'!Q12</f>
        <v>0</v>
      </c>
      <c r="Y67" s="107">
        <f>+'SL13'!R12</f>
        <v>0</v>
      </c>
      <c r="Z67" s="107">
        <f>+'SL13'!S12</f>
        <v>0</v>
      </c>
    </row>
    <row r="68" spans="1:26" ht="36" customHeight="1" x14ac:dyDescent="0.25">
      <c r="A68" t="str">
        <f t="shared" si="1"/>
        <v>I</v>
      </c>
      <c r="B68" s="227"/>
      <c r="C68" s="271"/>
      <c r="D68" s="249"/>
      <c r="E68" s="277" t="s">
        <v>406</v>
      </c>
      <c r="F68" s="279" t="s">
        <v>676</v>
      </c>
      <c r="G68" s="171" t="str">
        <f t="shared" si="2"/>
        <v>I</v>
      </c>
      <c r="H68" s="162" t="s">
        <v>53</v>
      </c>
      <c r="I68" s="85" t="s">
        <v>675</v>
      </c>
      <c r="J68" s="85"/>
      <c r="K68" s="25" t="s">
        <v>91</v>
      </c>
      <c r="L68" s="25" t="s">
        <v>571</v>
      </c>
      <c r="M68" s="62" t="s">
        <v>614</v>
      </c>
      <c r="N68" s="25" t="s">
        <v>660</v>
      </c>
      <c r="O68" s="186" t="s">
        <v>743</v>
      </c>
      <c r="P68" s="107"/>
      <c r="Q68" s="107">
        <f>+'SL14'!M24</f>
        <v>1861.26023495906</v>
      </c>
      <c r="R68" s="108">
        <f t="shared" si="3"/>
        <v>2030.4</v>
      </c>
      <c r="S68" s="107">
        <f>+'SL14'!L12</f>
        <v>0</v>
      </c>
      <c r="T68" s="107">
        <f>+'SL14'!M12</f>
        <v>0</v>
      </c>
      <c r="U68" s="107">
        <f>+'SL14'!N12</f>
        <v>0</v>
      </c>
      <c r="V68" s="107">
        <f>+'SL14'!O12</f>
        <v>0</v>
      </c>
      <c r="W68" s="107">
        <f>+'SL14'!P12</f>
        <v>0</v>
      </c>
      <c r="X68" s="107">
        <f>+'SL14'!Q12</f>
        <v>2030.4</v>
      </c>
      <c r="Y68" s="107">
        <f>+'SL14'!R12</f>
        <v>0</v>
      </c>
      <c r="Z68" s="107">
        <f>+'SL14'!S12</f>
        <v>0</v>
      </c>
    </row>
    <row r="69" spans="1:26" ht="24" x14ac:dyDescent="0.25">
      <c r="A69" t="str">
        <f t="shared" si="1"/>
        <v>I</v>
      </c>
      <c r="B69" s="227"/>
      <c r="C69" s="271"/>
      <c r="D69" s="249"/>
      <c r="E69" s="278"/>
      <c r="F69" s="280"/>
      <c r="G69" s="171" t="str">
        <f t="shared" si="2"/>
        <v>I</v>
      </c>
      <c r="H69" s="162" t="s">
        <v>54</v>
      </c>
      <c r="I69" s="85" t="s">
        <v>182</v>
      </c>
      <c r="J69" s="85"/>
      <c r="K69" s="25" t="s">
        <v>91</v>
      </c>
      <c r="L69" s="25" t="s">
        <v>571</v>
      </c>
      <c r="M69" s="62" t="s">
        <v>614</v>
      </c>
      <c r="N69" s="25" t="s">
        <v>660</v>
      </c>
      <c r="O69" s="186" t="s">
        <v>743</v>
      </c>
      <c r="P69" s="107"/>
      <c r="Q69" s="107">
        <f>+'SL14'!M25</f>
        <v>251.88679245283018</v>
      </c>
      <c r="R69" s="108">
        <f t="shared" si="3"/>
        <v>267</v>
      </c>
      <c r="S69" s="107">
        <f>+'SL14'!L13</f>
        <v>0</v>
      </c>
      <c r="T69" s="107">
        <f>+'SL14'!M13</f>
        <v>267</v>
      </c>
      <c r="U69" s="107">
        <f>+'SL14'!N13</f>
        <v>0</v>
      </c>
      <c r="V69" s="107">
        <f>+'SL14'!O13</f>
        <v>0</v>
      </c>
      <c r="W69" s="107">
        <f>+'SL14'!P13</f>
        <v>0</v>
      </c>
      <c r="X69" s="107">
        <f>+'SL14'!Q13</f>
        <v>0</v>
      </c>
      <c r="Y69" s="107">
        <f>+'SL14'!R13</f>
        <v>0</v>
      </c>
      <c r="Z69" s="107">
        <f>+'SL14'!S13</f>
        <v>0</v>
      </c>
    </row>
    <row r="70" spans="1:26" ht="36" x14ac:dyDescent="0.25">
      <c r="A70" t="str">
        <f t="shared" si="1"/>
        <v>C</v>
      </c>
      <c r="B70" s="227"/>
      <c r="C70" s="271"/>
      <c r="D70" s="242" t="s">
        <v>183</v>
      </c>
      <c r="E70" s="83" t="s">
        <v>407</v>
      </c>
      <c r="F70" s="84" t="s">
        <v>410</v>
      </c>
      <c r="G70" s="171" t="str">
        <f t="shared" si="2"/>
        <v>C</v>
      </c>
      <c r="H70" s="84" t="s">
        <v>394</v>
      </c>
      <c r="I70" s="155" t="s">
        <v>410</v>
      </c>
      <c r="J70" s="85" t="s">
        <v>412</v>
      </c>
      <c r="K70" s="25" t="s">
        <v>22</v>
      </c>
      <c r="L70" s="25" t="s">
        <v>579</v>
      </c>
      <c r="M70" s="62" t="s">
        <v>614</v>
      </c>
      <c r="N70" s="25" t="s">
        <v>660</v>
      </c>
      <c r="O70" s="186" t="s">
        <v>743</v>
      </c>
      <c r="P70" s="194">
        <f>+'SL15'!M24</f>
        <v>0.06</v>
      </c>
      <c r="Q70" s="107"/>
      <c r="R70" s="108">
        <f t="shared" si="3"/>
        <v>248970.73975200005</v>
      </c>
      <c r="S70" s="107">
        <f>+'SL15'!L12</f>
        <v>24897.073975200004</v>
      </c>
      <c r="T70" s="107">
        <f>+'SL15'!M12</f>
        <v>24897.073975200004</v>
      </c>
      <c r="U70" s="107">
        <f>+'SL15'!N12</f>
        <v>24897.073975200004</v>
      </c>
      <c r="V70" s="107">
        <f>+'SL15'!O12</f>
        <v>24897.073975200004</v>
      </c>
      <c r="W70" s="107">
        <f>+'SL15'!P12</f>
        <v>24897.073975200004</v>
      </c>
      <c r="X70" s="107">
        <f>+'SL15'!Q12</f>
        <v>124485.36987600003</v>
      </c>
      <c r="Y70" s="107">
        <f>+'SL15'!R12</f>
        <v>0</v>
      </c>
      <c r="Z70" s="107">
        <f>+'SL15'!S12</f>
        <v>0</v>
      </c>
    </row>
    <row r="71" spans="1:26" ht="23.25" customHeight="1" x14ac:dyDescent="0.25">
      <c r="A71" t="str">
        <f t="shared" si="1"/>
        <v>C</v>
      </c>
      <c r="B71" s="227"/>
      <c r="C71" s="271"/>
      <c r="D71" s="243"/>
      <c r="E71" s="240" t="s">
        <v>408</v>
      </c>
      <c r="F71" s="242" t="s">
        <v>184</v>
      </c>
      <c r="G71" s="171" t="str">
        <f t="shared" si="2"/>
        <v>C</v>
      </c>
      <c r="H71" s="137" t="s">
        <v>397</v>
      </c>
      <c r="I71" s="82" t="s">
        <v>414</v>
      </c>
      <c r="J71" s="82" t="s">
        <v>415</v>
      </c>
      <c r="K71" s="25" t="s">
        <v>91</v>
      </c>
      <c r="L71" s="25" t="s">
        <v>571</v>
      </c>
      <c r="M71" s="62" t="s">
        <v>614</v>
      </c>
      <c r="N71" s="25" t="s">
        <v>660</v>
      </c>
      <c r="O71" s="186" t="s">
        <v>743</v>
      </c>
      <c r="P71" s="107"/>
      <c r="Q71" s="107">
        <f>+'SL16'!M24</f>
        <v>262.17515129939477</v>
      </c>
      <c r="R71" s="108">
        <f t="shared" si="3"/>
        <v>286</v>
      </c>
      <c r="S71" s="107">
        <f>+'SL16'!L12</f>
        <v>0</v>
      </c>
      <c r="T71" s="107">
        <f>+'SL16'!M12</f>
        <v>143</v>
      </c>
      <c r="U71" s="107">
        <f>+'SL16'!N12</f>
        <v>143</v>
      </c>
      <c r="V71" s="107">
        <f>+'SL16'!O12</f>
        <v>0</v>
      </c>
      <c r="W71" s="107">
        <f>+'SL16'!P12</f>
        <v>0</v>
      </c>
      <c r="X71" s="107">
        <f>+'SL16'!Q12</f>
        <v>0</v>
      </c>
      <c r="Y71" s="107">
        <f>+'SL16'!R12</f>
        <v>0</v>
      </c>
      <c r="Z71" s="107">
        <f>+'SL16'!S12</f>
        <v>0</v>
      </c>
    </row>
    <row r="72" spans="1:26" ht="36" x14ac:dyDescent="0.25">
      <c r="A72" t="str">
        <f t="shared" si="1"/>
        <v>I</v>
      </c>
      <c r="B72" s="227"/>
      <c r="C72" s="271"/>
      <c r="D72" s="245"/>
      <c r="E72" s="244"/>
      <c r="F72" s="245"/>
      <c r="G72" s="171" t="str">
        <f t="shared" si="2"/>
        <v>I</v>
      </c>
      <c r="H72" s="84" t="s">
        <v>714</v>
      </c>
      <c r="I72" s="85" t="s">
        <v>416</v>
      </c>
      <c r="J72" s="85"/>
      <c r="K72" s="25" t="s">
        <v>91</v>
      </c>
      <c r="L72" s="25" t="s">
        <v>571</v>
      </c>
      <c r="M72" s="62" t="s">
        <v>614</v>
      </c>
      <c r="N72" s="25" t="s">
        <v>660</v>
      </c>
      <c r="O72" s="186" t="s">
        <v>743</v>
      </c>
      <c r="P72" s="107"/>
      <c r="Q72" s="107">
        <f>+'SL16'!M25</f>
        <v>244.75792096831609</v>
      </c>
      <c r="R72" s="108">
        <f t="shared" ref="R72:R102" si="4">SUM(S72:Z72)</f>
        <v>267</v>
      </c>
      <c r="S72" s="107">
        <f>+'SL16'!L13</f>
        <v>0</v>
      </c>
      <c r="T72" s="107">
        <f>+'SL16'!M13</f>
        <v>0</v>
      </c>
      <c r="U72" s="107">
        <f>+'SL16'!N13</f>
        <v>0</v>
      </c>
      <c r="V72" s="107">
        <f>+'SL16'!O13</f>
        <v>0</v>
      </c>
      <c r="W72" s="107">
        <f>+'SL16'!P13</f>
        <v>0</v>
      </c>
      <c r="X72" s="107">
        <f>+'SL16'!Q13</f>
        <v>267</v>
      </c>
      <c r="Y72" s="107">
        <f>+'SL16'!R13</f>
        <v>0</v>
      </c>
      <c r="Z72" s="107">
        <f>+'SL16'!S13</f>
        <v>0</v>
      </c>
    </row>
    <row r="73" spans="1:26" ht="23.25" x14ac:dyDescent="0.25">
      <c r="A73" t="str">
        <f t="shared" ref="A73:A134" si="5">MID(H73,1,1)</f>
        <v>C</v>
      </c>
      <c r="B73" s="227"/>
      <c r="C73" s="279" t="s">
        <v>825</v>
      </c>
      <c r="D73" s="243"/>
      <c r="E73" s="241" t="s">
        <v>826</v>
      </c>
      <c r="F73" s="243"/>
      <c r="G73" s="171" t="str">
        <f t="shared" ref="G73:G134" si="6">LEFT(H73,1)</f>
        <v>C</v>
      </c>
      <c r="H73" s="137" t="s">
        <v>403</v>
      </c>
      <c r="I73" s="82" t="s">
        <v>419</v>
      </c>
      <c r="J73" s="82" t="s">
        <v>420</v>
      </c>
      <c r="K73" s="25" t="s">
        <v>91</v>
      </c>
      <c r="L73" s="25" t="s">
        <v>605</v>
      </c>
      <c r="M73" s="62" t="s">
        <v>580</v>
      </c>
      <c r="N73" s="25" t="s">
        <v>659</v>
      </c>
      <c r="O73" s="186" t="s">
        <v>737</v>
      </c>
      <c r="P73" s="107"/>
      <c r="Q73" s="107">
        <f>+'SL17'!M27</f>
        <v>23.584905660377359</v>
      </c>
      <c r="R73" s="108">
        <f t="shared" si="4"/>
        <v>25</v>
      </c>
      <c r="S73" s="107">
        <f>+'SL17'!L13</f>
        <v>25</v>
      </c>
      <c r="T73" s="107">
        <f>+'SL17'!M13</f>
        <v>0</v>
      </c>
      <c r="U73" s="107">
        <f>+'SL17'!N13</f>
        <v>0</v>
      </c>
      <c r="V73" s="107">
        <f>+'SL17'!O13</f>
        <v>0</v>
      </c>
      <c r="W73" s="107">
        <f>+'SL17'!P13</f>
        <v>0</v>
      </c>
      <c r="X73" s="107">
        <f>+'SL17'!Q13</f>
        <v>0</v>
      </c>
      <c r="Y73" s="107">
        <f>+'SL17'!R13</f>
        <v>0</v>
      </c>
      <c r="Z73" s="107">
        <f>+'SL17'!S13</f>
        <v>0</v>
      </c>
    </row>
    <row r="74" spans="1:26" ht="23.25" x14ac:dyDescent="0.25">
      <c r="A74" t="str">
        <f t="shared" si="5"/>
        <v>C</v>
      </c>
      <c r="B74" s="227"/>
      <c r="C74" s="322"/>
      <c r="D74" s="243"/>
      <c r="E74" s="241"/>
      <c r="F74" s="243"/>
      <c r="G74" s="171" t="str">
        <f t="shared" si="6"/>
        <v>C</v>
      </c>
      <c r="H74" s="215" t="s">
        <v>411</v>
      </c>
      <c r="I74" s="82" t="s">
        <v>422</v>
      </c>
      <c r="J74" s="82" t="s">
        <v>423</v>
      </c>
      <c r="K74" s="25" t="s">
        <v>91</v>
      </c>
      <c r="L74" s="25" t="s">
        <v>605</v>
      </c>
      <c r="M74" s="62" t="s">
        <v>580</v>
      </c>
      <c r="N74" s="25" t="s">
        <v>659</v>
      </c>
      <c r="O74" s="186" t="s">
        <v>737</v>
      </c>
      <c r="P74" s="107"/>
      <c r="Q74" s="107">
        <f>+'SL17'!M28</f>
        <v>440.01423994304025</v>
      </c>
      <c r="R74" s="108">
        <f t="shared" si="4"/>
        <v>480</v>
      </c>
      <c r="S74" s="107">
        <f>+'SL17'!L14</f>
        <v>0</v>
      </c>
      <c r="T74" s="107">
        <f>+'SL17'!M14</f>
        <v>240</v>
      </c>
      <c r="U74" s="107">
        <f>+'SL17'!N14</f>
        <v>240</v>
      </c>
      <c r="V74" s="107">
        <f>+'SL17'!O14</f>
        <v>0</v>
      </c>
      <c r="W74" s="107">
        <f>+'SL17'!P14</f>
        <v>0</v>
      </c>
      <c r="X74" s="107">
        <f>+'SL17'!Q14</f>
        <v>0</v>
      </c>
      <c r="Y74" s="107">
        <f>+'SL17'!R14</f>
        <v>0</v>
      </c>
      <c r="Z74" s="107">
        <f>+'SL17'!S14</f>
        <v>0</v>
      </c>
    </row>
    <row r="75" spans="1:26" ht="23.25" x14ac:dyDescent="0.25">
      <c r="A75" t="str">
        <f t="shared" si="5"/>
        <v>C</v>
      </c>
      <c r="B75" s="227"/>
      <c r="C75" s="322"/>
      <c r="D75" s="243"/>
      <c r="E75" s="241"/>
      <c r="F75" s="243"/>
      <c r="G75" s="171" t="str">
        <f t="shared" si="6"/>
        <v>C</v>
      </c>
      <c r="H75" s="215" t="s">
        <v>630</v>
      </c>
      <c r="I75" s="82" t="s">
        <v>425</v>
      </c>
      <c r="J75" s="82" t="s">
        <v>426</v>
      </c>
      <c r="K75" s="25" t="s">
        <v>91</v>
      </c>
      <c r="L75" s="25" t="s">
        <v>605</v>
      </c>
      <c r="M75" s="62" t="s">
        <v>580</v>
      </c>
      <c r="N75" s="25" t="s">
        <v>659</v>
      </c>
      <c r="O75" s="186" t="s">
        <v>737</v>
      </c>
      <c r="P75" s="107"/>
      <c r="Q75" s="107">
        <f>+'SL17'!M29</f>
        <v>550.01779992880029</v>
      </c>
      <c r="R75" s="108">
        <f t="shared" si="4"/>
        <v>600</v>
      </c>
      <c r="S75" s="107">
        <f>+'SL17'!L15</f>
        <v>0</v>
      </c>
      <c r="T75" s="107">
        <f>+'SL17'!M15</f>
        <v>300</v>
      </c>
      <c r="U75" s="107">
        <f>+'SL17'!N15</f>
        <v>300</v>
      </c>
      <c r="V75" s="107">
        <f>+'SL17'!O15</f>
        <v>0</v>
      </c>
      <c r="W75" s="107">
        <f>+'SL17'!P15</f>
        <v>0</v>
      </c>
      <c r="X75" s="107">
        <f>+'SL17'!Q15</f>
        <v>0</v>
      </c>
      <c r="Y75" s="107">
        <f>+'SL17'!R15</f>
        <v>0</v>
      </c>
      <c r="Z75" s="107">
        <f>+'SL17'!S15</f>
        <v>0</v>
      </c>
    </row>
    <row r="76" spans="1:26" ht="23.25" x14ac:dyDescent="0.25">
      <c r="A76" t="str">
        <f t="shared" si="5"/>
        <v>C</v>
      </c>
      <c r="B76" s="227"/>
      <c r="C76" s="322"/>
      <c r="D76" s="243"/>
      <c r="E76" s="241"/>
      <c r="F76" s="243"/>
      <c r="G76" s="171" t="str">
        <f t="shared" si="6"/>
        <v>C</v>
      </c>
      <c r="H76" s="215" t="s">
        <v>417</v>
      </c>
      <c r="I76" s="82" t="s">
        <v>428</v>
      </c>
      <c r="J76" s="82" t="s">
        <v>429</v>
      </c>
      <c r="K76" s="25" t="s">
        <v>91</v>
      </c>
      <c r="L76" s="25" t="s">
        <v>605</v>
      </c>
      <c r="M76" s="62" t="s">
        <v>580</v>
      </c>
      <c r="N76" s="25" t="s">
        <v>659</v>
      </c>
      <c r="O76" s="186" t="s">
        <v>737</v>
      </c>
      <c r="P76" s="107"/>
      <c r="Q76" s="107">
        <f>+'SL17'!M30</f>
        <v>207.54716981132074</v>
      </c>
      <c r="R76" s="108">
        <f t="shared" si="4"/>
        <v>220</v>
      </c>
      <c r="S76" s="107">
        <f>+'SL17'!L16</f>
        <v>220</v>
      </c>
      <c r="T76" s="107">
        <f>+'SL17'!M16</f>
        <v>0</v>
      </c>
      <c r="U76" s="107">
        <f>+'SL17'!N16</f>
        <v>0</v>
      </c>
      <c r="V76" s="107">
        <f>+'SL17'!O16</f>
        <v>0</v>
      </c>
      <c r="W76" s="107">
        <f>+'SL17'!P16</f>
        <v>0</v>
      </c>
      <c r="X76" s="107">
        <f>+'SL17'!Q16</f>
        <v>0</v>
      </c>
      <c r="Y76" s="107">
        <f>+'SL17'!R16</f>
        <v>0</v>
      </c>
      <c r="Z76" s="107">
        <f>+'SL17'!S16</f>
        <v>0</v>
      </c>
    </row>
    <row r="77" spans="1:26" ht="23.25" x14ac:dyDescent="0.25">
      <c r="A77" t="str">
        <f t="shared" si="5"/>
        <v>C</v>
      </c>
      <c r="B77" s="227"/>
      <c r="C77" s="322"/>
      <c r="D77" s="243"/>
      <c r="E77" s="241"/>
      <c r="F77" s="243"/>
      <c r="G77" s="171" t="str">
        <f t="shared" si="6"/>
        <v>C</v>
      </c>
      <c r="H77" s="215" t="s">
        <v>418</v>
      </c>
      <c r="I77" s="82" t="s">
        <v>431</v>
      </c>
      <c r="J77" s="82" t="s">
        <v>432</v>
      </c>
      <c r="K77" s="25" t="s">
        <v>91</v>
      </c>
      <c r="L77" s="25" t="s">
        <v>605</v>
      </c>
      <c r="M77" s="62" t="s">
        <v>580</v>
      </c>
      <c r="N77" s="25" t="s">
        <v>659</v>
      </c>
      <c r="O77" s="186" t="s">
        <v>737</v>
      </c>
      <c r="P77" s="107"/>
      <c r="Q77" s="107">
        <f>+'SL17'!M31</f>
        <v>188.67924528301887</v>
      </c>
      <c r="R77" s="108">
        <f t="shared" si="4"/>
        <v>200</v>
      </c>
      <c r="S77" s="107">
        <f>+'SL17'!L17</f>
        <v>200</v>
      </c>
      <c r="T77" s="107">
        <f>+'SL17'!M17</f>
        <v>0</v>
      </c>
      <c r="U77" s="107">
        <f>+'SL17'!N17</f>
        <v>0</v>
      </c>
      <c r="V77" s="107">
        <f>+'SL17'!O17</f>
        <v>0</v>
      </c>
      <c r="W77" s="107">
        <f>+'SL17'!P17</f>
        <v>0</v>
      </c>
      <c r="X77" s="107">
        <f>+'SL17'!Q17</f>
        <v>0</v>
      </c>
      <c r="Y77" s="107">
        <f>+'SL17'!R17</f>
        <v>0</v>
      </c>
      <c r="Z77" s="107">
        <f>+'SL17'!S17</f>
        <v>0</v>
      </c>
    </row>
    <row r="78" spans="1:26" ht="23.25" x14ac:dyDescent="0.25">
      <c r="A78" t="str">
        <f t="shared" si="5"/>
        <v>C</v>
      </c>
      <c r="B78" s="227"/>
      <c r="C78" s="322"/>
      <c r="D78" s="243"/>
      <c r="E78" s="241"/>
      <c r="F78" s="243"/>
      <c r="G78" s="171" t="str">
        <f t="shared" si="6"/>
        <v>C</v>
      </c>
      <c r="H78" s="215" t="s">
        <v>421</v>
      </c>
      <c r="I78" s="82" t="s">
        <v>434</v>
      </c>
      <c r="J78" s="82" t="s">
        <v>435</v>
      </c>
      <c r="K78" s="25" t="s">
        <v>91</v>
      </c>
      <c r="L78" s="25" t="s">
        <v>605</v>
      </c>
      <c r="M78" s="62" t="s">
        <v>580</v>
      </c>
      <c r="N78" s="25" t="s">
        <v>659</v>
      </c>
      <c r="O78" s="186" t="s">
        <v>737</v>
      </c>
      <c r="P78" s="107"/>
      <c r="Q78" s="107">
        <f>+'SL17'!M32</f>
        <v>366.67853328586682</v>
      </c>
      <c r="R78" s="108">
        <f t="shared" si="4"/>
        <v>400</v>
      </c>
      <c r="S78" s="107">
        <f>+'SL17'!L18</f>
        <v>200</v>
      </c>
      <c r="T78" s="107">
        <f>+'SL17'!M18</f>
        <v>200</v>
      </c>
      <c r="U78" s="107">
        <f>+'SL17'!N18</f>
        <v>0</v>
      </c>
      <c r="V78" s="107">
        <f>+'SL17'!O18</f>
        <v>0</v>
      </c>
      <c r="W78" s="107">
        <f>+'SL17'!P18</f>
        <v>0</v>
      </c>
      <c r="X78" s="107">
        <f>+'SL17'!Q18</f>
        <v>0</v>
      </c>
      <c r="Y78" s="107">
        <f>+'SL17'!R18</f>
        <v>0</v>
      </c>
      <c r="Z78" s="107">
        <f>+'SL17'!S18</f>
        <v>0</v>
      </c>
    </row>
    <row r="79" spans="1:26" ht="23.25" x14ac:dyDescent="0.25">
      <c r="A79" t="str">
        <f t="shared" si="5"/>
        <v>C</v>
      </c>
      <c r="B79" s="227"/>
      <c r="C79" s="322"/>
      <c r="D79" s="243"/>
      <c r="E79" s="241"/>
      <c r="F79" s="243"/>
      <c r="G79" s="171" t="str">
        <f t="shared" si="6"/>
        <v>C</v>
      </c>
      <c r="H79" s="215" t="s">
        <v>424</v>
      </c>
      <c r="I79" s="82" t="s">
        <v>438</v>
      </c>
      <c r="J79" s="82" t="s">
        <v>439</v>
      </c>
      <c r="K79" s="25" t="s">
        <v>91</v>
      </c>
      <c r="L79" s="25" t="s">
        <v>605</v>
      </c>
      <c r="M79" s="62" t="s">
        <v>580</v>
      </c>
      <c r="N79" s="25" t="s">
        <v>659</v>
      </c>
      <c r="O79" s="186" t="s">
        <v>737</v>
      </c>
      <c r="P79" s="107"/>
      <c r="Q79" s="107">
        <f>+'SL17'!M33</f>
        <v>428.09718761124952</v>
      </c>
      <c r="R79" s="108">
        <f t="shared" si="4"/>
        <v>467</v>
      </c>
      <c r="S79" s="107">
        <f>+'SL17'!L19</f>
        <v>0</v>
      </c>
      <c r="T79" s="107">
        <f>+'SL17'!M19</f>
        <v>233.5</v>
      </c>
      <c r="U79" s="107">
        <f>+'SL17'!N19</f>
        <v>233.5</v>
      </c>
      <c r="V79" s="107">
        <f>+'SL17'!O19</f>
        <v>0</v>
      </c>
      <c r="W79" s="107">
        <f>+'SL17'!P19</f>
        <v>0</v>
      </c>
      <c r="X79" s="107">
        <f>+'SL17'!Q19</f>
        <v>0</v>
      </c>
      <c r="Y79" s="107">
        <f>+'SL17'!R19</f>
        <v>0</v>
      </c>
      <c r="Z79" s="107">
        <f>+'SL17'!S19</f>
        <v>0</v>
      </c>
    </row>
    <row r="80" spans="1:26" ht="23.25" x14ac:dyDescent="0.25">
      <c r="A80" t="str">
        <f t="shared" si="5"/>
        <v>C</v>
      </c>
      <c r="B80" s="227"/>
      <c r="C80" s="322"/>
      <c r="D80" s="243"/>
      <c r="E80" s="241"/>
      <c r="F80" s="243"/>
      <c r="G80" s="171" t="str">
        <f t="shared" si="6"/>
        <v>C</v>
      </c>
      <c r="H80" s="215" t="s">
        <v>427</v>
      </c>
      <c r="I80" s="80" t="s">
        <v>604</v>
      </c>
      <c r="J80" s="80" t="s">
        <v>346</v>
      </c>
      <c r="K80" s="25" t="s">
        <v>91</v>
      </c>
      <c r="L80" s="25" t="s">
        <v>605</v>
      </c>
      <c r="M80" s="62" t="s">
        <v>580</v>
      </c>
      <c r="N80" s="25" t="s">
        <v>659</v>
      </c>
      <c r="O80" s="186" t="s">
        <v>737</v>
      </c>
      <c r="P80" s="107"/>
      <c r="Q80" s="107">
        <f>+'SL17'!M34</f>
        <v>212.0754716981132</v>
      </c>
      <c r="R80" s="108">
        <f t="shared" si="4"/>
        <v>224.8</v>
      </c>
      <c r="S80" s="107">
        <f>+'SL17'!L20</f>
        <v>0</v>
      </c>
      <c r="T80" s="107">
        <f>+'SL17'!M20</f>
        <v>224.8</v>
      </c>
      <c r="U80" s="107">
        <f>+'SL17'!N20</f>
        <v>0</v>
      </c>
      <c r="V80" s="107">
        <f>+'SL17'!O20</f>
        <v>0</v>
      </c>
      <c r="W80" s="107">
        <f>+'SL17'!P20</f>
        <v>0</v>
      </c>
      <c r="X80" s="107">
        <f>+'SL17'!Q20</f>
        <v>0</v>
      </c>
      <c r="Y80" s="107">
        <f>+'SL17'!R20</f>
        <v>0</v>
      </c>
      <c r="Z80" s="107">
        <f>+'SL17'!S20</f>
        <v>0</v>
      </c>
    </row>
    <row r="81" spans="1:26" ht="48" x14ac:dyDescent="0.25">
      <c r="A81" t="str">
        <f t="shared" si="5"/>
        <v>I</v>
      </c>
      <c r="B81" s="227"/>
      <c r="C81" s="322"/>
      <c r="D81" s="243"/>
      <c r="E81" s="83" t="s">
        <v>409</v>
      </c>
      <c r="F81" s="84" t="s">
        <v>188</v>
      </c>
      <c r="G81" s="171" t="str">
        <f t="shared" si="6"/>
        <v>I</v>
      </c>
      <c r="H81" s="84" t="s">
        <v>55</v>
      </c>
      <c r="I81" s="62" t="s">
        <v>436</v>
      </c>
      <c r="J81" s="62"/>
      <c r="K81" s="25" t="s">
        <v>22</v>
      </c>
      <c r="L81" s="25" t="s">
        <v>579</v>
      </c>
      <c r="M81" s="62" t="s">
        <v>580</v>
      </c>
      <c r="N81" s="25" t="s">
        <v>659</v>
      </c>
      <c r="O81" s="186" t="s">
        <v>737</v>
      </c>
      <c r="P81" s="194">
        <f>+'SL18'!L24</f>
        <v>0.06</v>
      </c>
      <c r="Q81" s="107"/>
      <c r="R81" s="108">
        <f t="shared" si="4"/>
        <v>534</v>
      </c>
      <c r="S81" s="107">
        <f>+'SL18'!L12</f>
        <v>0</v>
      </c>
      <c r="T81" s="107">
        <f>+'SL18'!M12</f>
        <v>534</v>
      </c>
      <c r="U81" s="107">
        <f>+'SL18'!N12</f>
        <v>0</v>
      </c>
      <c r="V81" s="107">
        <f>+'SL18'!O12</f>
        <v>0</v>
      </c>
      <c r="W81" s="107">
        <f>+'SL18'!P12</f>
        <v>0</v>
      </c>
      <c r="X81" s="107">
        <f>+'SL18'!Q12</f>
        <v>0</v>
      </c>
      <c r="Y81" s="107">
        <f>+'SL18'!R12</f>
        <v>0</v>
      </c>
      <c r="Z81" s="107">
        <f>+'SL18'!S12</f>
        <v>0</v>
      </c>
    </row>
    <row r="82" spans="1:26" ht="72" x14ac:dyDescent="0.25">
      <c r="A82" t="str">
        <f t="shared" si="5"/>
        <v>C</v>
      </c>
      <c r="B82" s="227"/>
      <c r="C82" s="322"/>
      <c r="D82" s="245"/>
      <c r="E82" s="163" t="s">
        <v>413</v>
      </c>
      <c r="F82" s="86" t="s">
        <v>688</v>
      </c>
      <c r="G82" s="171" t="str">
        <f t="shared" si="6"/>
        <v>C</v>
      </c>
      <c r="H82" s="84" t="s">
        <v>430</v>
      </c>
      <c r="I82" s="82" t="s">
        <v>689</v>
      </c>
      <c r="J82" s="82" t="s">
        <v>443</v>
      </c>
      <c r="K82" s="25" t="s">
        <v>22</v>
      </c>
      <c r="L82" s="25" t="s">
        <v>579</v>
      </c>
      <c r="M82" s="62" t="s">
        <v>580</v>
      </c>
      <c r="N82" s="25" t="s">
        <v>659</v>
      </c>
      <c r="O82" s="186" t="s">
        <v>737</v>
      </c>
      <c r="P82" s="194">
        <f>+'SL19'!L24</f>
        <v>0.06</v>
      </c>
      <c r="Q82" s="107"/>
      <c r="R82" s="108">
        <f t="shared" si="4"/>
        <v>1000</v>
      </c>
      <c r="S82" s="107">
        <f>+'SL19'!L12</f>
        <v>0</v>
      </c>
      <c r="T82" s="107">
        <f>+'SL19'!M12</f>
        <v>1000</v>
      </c>
      <c r="U82" s="107">
        <f>+'SL19'!N12</f>
        <v>0</v>
      </c>
      <c r="V82" s="107">
        <f>+'SL19'!O12</f>
        <v>0</v>
      </c>
      <c r="W82" s="107">
        <f>+'SL19'!P12</f>
        <v>0</v>
      </c>
      <c r="X82" s="107">
        <f>+'SL19'!Q12</f>
        <v>0</v>
      </c>
      <c r="Y82" s="107">
        <f>+'SL19'!R12</f>
        <v>0</v>
      </c>
      <c r="Z82" s="107">
        <f>+'SL19'!S12</f>
        <v>0</v>
      </c>
    </row>
    <row r="83" spans="1:26" ht="23.25" customHeight="1" x14ac:dyDescent="0.25">
      <c r="A83" t="str">
        <f t="shared" si="5"/>
        <v>I</v>
      </c>
      <c r="B83" s="227"/>
      <c r="C83" s="322"/>
      <c r="D83" s="242" t="s">
        <v>190</v>
      </c>
      <c r="E83" s="240" t="s">
        <v>690</v>
      </c>
      <c r="F83" s="250" t="s">
        <v>445</v>
      </c>
      <c r="G83" s="171" t="str">
        <f t="shared" si="6"/>
        <v>I</v>
      </c>
      <c r="H83" s="87" t="s">
        <v>56</v>
      </c>
      <c r="I83" s="62" t="s">
        <v>691</v>
      </c>
      <c r="J83" s="62"/>
      <c r="K83" s="25" t="s">
        <v>91</v>
      </c>
      <c r="L83" s="25" t="s">
        <v>571</v>
      </c>
      <c r="M83" s="62" t="s">
        <v>580</v>
      </c>
      <c r="N83" s="25" t="s">
        <v>659</v>
      </c>
      <c r="O83" s="186" t="s">
        <v>737</v>
      </c>
      <c r="P83" s="107"/>
      <c r="Q83" s="107">
        <f>+'SL20'!M24</f>
        <v>210.84015663937342</v>
      </c>
      <c r="R83" s="108">
        <f t="shared" si="4"/>
        <v>230</v>
      </c>
      <c r="S83" s="107">
        <f>+'SL20'!L12</f>
        <v>0</v>
      </c>
      <c r="T83" s="107">
        <f>+'SL20'!M12</f>
        <v>0</v>
      </c>
      <c r="U83" s="107">
        <f>+'SL20'!N12</f>
        <v>0</v>
      </c>
      <c r="V83" s="107">
        <f>+'SL20'!O12</f>
        <v>0</v>
      </c>
      <c r="W83" s="107">
        <f>+'SL20'!P12</f>
        <v>0</v>
      </c>
      <c r="X83" s="107">
        <f>+'SL20'!Q12</f>
        <v>230</v>
      </c>
      <c r="Y83" s="107">
        <f>+'SL20'!R12</f>
        <v>0</v>
      </c>
      <c r="Z83" s="107">
        <f>+'SL20'!S12</f>
        <v>0</v>
      </c>
    </row>
    <row r="84" spans="1:26" ht="23.25" x14ac:dyDescent="0.25">
      <c r="A84" t="str">
        <f t="shared" si="5"/>
        <v>I</v>
      </c>
      <c r="B84" s="227"/>
      <c r="C84" s="322"/>
      <c r="D84" s="243"/>
      <c r="E84" s="241"/>
      <c r="F84" s="251"/>
      <c r="G84" s="171" t="str">
        <f t="shared" si="6"/>
        <v>I</v>
      </c>
      <c r="H84" s="87" t="s">
        <v>57</v>
      </c>
      <c r="I84" s="62" t="s">
        <v>692</v>
      </c>
      <c r="J84" s="62"/>
      <c r="K84" s="25" t="s">
        <v>91</v>
      </c>
      <c r="L84" s="25" t="s">
        <v>571</v>
      </c>
      <c r="M84" s="62" t="s">
        <v>580</v>
      </c>
      <c r="N84" s="25" t="s">
        <v>659</v>
      </c>
      <c r="O84" s="186" t="s">
        <v>737</v>
      </c>
      <c r="P84" s="107"/>
      <c r="Q84" s="107">
        <f>+'SL20'!M25</f>
        <v>210.84015663937342</v>
      </c>
      <c r="R84" s="108">
        <f t="shared" si="4"/>
        <v>230</v>
      </c>
      <c r="S84" s="107">
        <f>+'SL20'!L13</f>
        <v>0</v>
      </c>
      <c r="T84" s="107">
        <f>+'SL20'!M13</f>
        <v>0</v>
      </c>
      <c r="U84" s="107">
        <f>+'SL20'!N13</f>
        <v>0</v>
      </c>
      <c r="V84" s="107">
        <f>+'SL20'!O13</f>
        <v>0</v>
      </c>
      <c r="W84" s="107">
        <f>+'SL20'!P13</f>
        <v>0</v>
      </c>
      <c r="X84" s="107">
        <f>+'SL20'!Q13</f>
        <v>230</v>
      </c>
      <c r="Y84" s="107">
        <f>+'SL20'!R13</f>
        <v>0</v>
      </c>
      <c r="Z84" s="107">
        <f>+'SL20'!S13</f>
        <v>0</v>
      </c>
    </row>
    <row r="85" spans="1:26" ht="23.25" x14ac:dyDescent="0.25">
      <c r="A85" t="str">
        <f t="shared" si="5"/>
        <v>I</v>
      </c>
      <c r="B85" s="227"/>
      <c r="C85" s="322"/>
      <c r="D85" s="243"/>
      <c r="E85" s="241"/>
      <c r="F85" s="251"/>
      <c r="G85" s="171" t="str">
        <f t="shared" si="6"/>
        <v>I</v>
      </c>
      <c r="H85" s="87" t="s">
        <v>58</v>
      </c>
      <c r="I85" s="62" t="s">
        <v>693</v>
      </c>
      <c r="J85" s="62"/>
      <c r="K85" s="25" t="s">
        <v>91</v>
      </c>
      <c r="L85" s="25" t="s">
        <v>571</v>
      </c>
      <c r="M85" s="62" t="s">
        <v>580</v>
      </c>
      <c r="N85" s="25" t="s">
        <v>659</v>
      </c>
      <c r="O85" s="186" t="s">
        <v>737</v>
      </c>
      <c r="P85" s="107"/>
      <c r="Q85" s="107">
        <f>+'SL20'!M26</f>
        <v>210.84015663937342</v>
      </c>
      <c r="R85" s="108">
        <f t="shared" si="4"/>
        <v>230</v>
      </c>
      <c r="S85" s="107">
        <f>+'SL20'!L14</f>
        <v>0</v>
      </c>
      <c r="T85" s="107">
        <f>+'SL20'!M14</f>
        <v>0</v>
      </c>
      <c r="U85" s="107">
        <f>+'SL20'!N14</f>
        <v>0</v>
      </c>
      <c r="V85" s="107">
        <f>+'SL20'!O14</f>
        <v>0</v>
      </c>
      <c r="W85" s="107">
        <f>+'SL20'!P14</f>
        <v>0</v>
      </c>
      <c r="X85" s="107">
        <f>+'SL20'!Q14</f>
        <v>230</v>
      </c>
      <c r="Y85" s="107">
        <f>+'SL20'!R14</f>
        <v>0</v>
      </c>
      <c r="Z85" s="107">
        <f>+'SL20'!S14</f>
        <v>0</v>
      </c>
    </row>
    <row r="86" spans="1:26" ht="23.25" x14ac:dyDescent="0.25">
      <c r="A86" t="str">
        <f t="shared" si="5"/>
        <v>I</v>
      </c>
      <c r="B86" s="227"/>
      <c r="C86" s="322"/>
      <c r="D86" s="243"/>
      <c r="E86" s="244"/>
      <c r="F86" s="252"/>
      <c r="G86" s="171" t="str">
        <f t="shared" si="6"/>
        <v>I</v>
      </c>
      <c r="H86" s="87" t="s">
        <v>59</v>
      </c>
      <c r="I86" s="62" t="s">
        <v>694</v>
      </c>
      <c r="J86" s="62"/>
      <c r="K86" s="25" t="s">
        <v>91</v>
      </c>
      <c r="L86" s="25" t="s">
        <v>571</v>
      </c>
      <c r="M86" s="62" t="s">
        <v>580</v>
      </c>
      <c r="N86" s="25" t="s">
        <v>659</v>
      </c>
      <c r="O86" s="186" t="s">
        <v>737</v>
      </c>
      <c r="P86" s="107"/>
      <c r="Q86" s="107">
        <f>+'SL20'!M27</f>
        <v>210.84015663937342</v>
      </c>
      <c r="R86" s="108">
        <f t="shared" si="4"/>
        <v>230</v>
      </c>
      <c r="S86" s="107">
        <f>+'SL20'!L15</f>
        <v>0</v>
      </c>
      <c r="T86" s="107">
        <f>+'SL20'!M15</f>
        <v>115</v>
      </c>
      <c r="U86" s="107">
        <f>+'SL20'!N15</f>
        <v>115</v>
      </c>
      <c r="V86" s="107">
        <f>+'SL20'!O15</f>
        <v>0</v>
      </c>
      <c r="W86" s="107">
        <f>+'SL20'!P15</f>
        <v>0</v>
      </c>
      <c r="X86" s="107">
        <f>+'SL20'!Q15</f>
        <v>0</v>
      </c>
      <c r="Y86" s="107">
        <f>+'SL20'!R15</f>
        <v>0</v>
      </c>
      <c r="Z86" s="107">
        <f>+'SL20'!S15</f>
        <v>0</v>
      </c>
    </row>
    <row r="87" spans="1:26" ht="45.75" customHeight="1" x14ac:dyDescent="0.25">
      <c r="A87" t="str">
        <f t="shared" si="5"/>
        <v>C</v>
      </c>
      <c r="B87" s="227"/>
      <c r="C87" s="322"/>
      <c r="D87" s="243"/>
      <c r="E87" s="240" t="s">
        <v>704</v>
      </c>
      <c r="F87" s="242" t="s">
        <v>447</v>
      </c>
      <c r="G87" s="171" t="str">
        <f t="shared" si="6"/>
        <v>C</v>
      </c>
      <c r="H87" s="84" t="s">
        <v>433</v>
      </c>
      <c r="I87" s="82" t="s">
        <v>449</v>
      </c>
      <c r="J87" s="82" t="s">
        <v>450</v>
      </c>
      <c r="K87" s="25" t="s">
        <v>91</v>
      </c>
      <c r="L87" s="25" t="s">
        <v>571</v>
      </c>
      <c r="M87" s="62" t="s">
        <v>580</v>
      </c>
      <c r="N87" s="25" t="s">
        <v>659</v>
      </c>
      <c r="O87" s="186" t="s">
        <v>737</v>
      </c>
      <c r="P87" s="107"/>
      <c r="Q87" s="107">
        <f>+'SL21'!M24</f>
        <v>135.84905660377359</v>
      </c>
      <c r="R87" s="108">
        <f t="shared" si="4"/>
        <v>144</v>
      </c>
      <c r="S87" s="107">
        <f>+'SL21'!L13</f>
        <v>144</v>
      </c>
      <c r="T87" s="107">
        <f>+'SL21'!M13</f>
        <v>0</v>
      </c>
      <c r="U87" s="107">
        <f>+'SL21'!N13</f>
        <v>0</v>
      </c>
      <c r="V87" s="107">
        <f>+'SL21'!O13</f>
        <v>0</v>
      </c>
      <c r="W87" s="107">
        <f>+'SL21'!P13</f>
        <v>0</v>
      </c>
      <c r="X87" s="107">
        <f>+'SL21'!Q13</f>
        <v>0</v>
      </c>
      <c r="Y87" s="107">
        <f>+'SL21'!R13</f>
        <v>0</v>
      </c>
      <c r="Z87" s="107">
        <f>+'SL21'!S13</f>
        <v>0</v>
      </c>
    </row>
    <row r="88" spans="1:26" ht="45.75" x14ac:dyDescent="0.25">
      <c r="A88" t="str">
        <f t="shared" si="5"/>
        <v>C</v>
      </c>
      <c r="B88" s="227"/>
      <c r="C88" s="322"/>
      <c r="D88" s="243"/>
      <c r="E88" s="241"/>
      <c r="F88" s="243"/>
      <c r="G88" s="171" t="str">
        <f t="shared" si="6"/>
        <v>C</v>
      </c>
      <c r="H88" s="215" t="s">
        <v>437</v>
      </c>
      <c r="I88" s="82" t="s">
        <v>452</v>
      </c>
      <c r="J88" s="82" t="s">
        <v>453</v>
      </c>
      <c r="K88" s="25" t="s">
        <v>91</v>
      </c>
      <c r="L88" s="25" t="s">
        <v>571</v>
      </c>
      <c r="M88" s="62" t="s">
        <v>580</v>
      </c>
      <c r="N88" s="25" t="s">
        <v>659</v>
      </c>
      <c r="O88" s="186" t="s">
        <v>737</v>
      </c>
      <c r="P88" s="107"/>
      <c r="Q88" s="107">
        <f>+'SL21'!M25</f>
        <v>81.132075471698116</v>
      </c>
      <c r="R88" s="108">
        <f t="shared" si="4"/>
        <v>86</v>
      </c>
      <c r="S88" s="107">
        <f>+'SL21'!L14</f>
        <v>86</v>
      </c>
      <c r="T88" s="107">
        <f>+'SL21'!M14</f>
        <v>0</v>
      </c>
      <c r="U88" s="107">
        <f>+'SL21'!N14</f>
        <v>0</v>
      </c>
      <c r="V88" s="107">
        <f>+'SL21'!O14</f>
        <v>0</v>
      </c>
      <c r="W88" s="107">
        <f>+'SL21'!P14</f>
        <v>0</v>
      </c>
      <c r="X88" s="107">
        <f>+'SL21'!Q14</f>
        <v>0</v>
      </c>
      <c r="Y88" s="107">
        <f>+'SL21'!R14</f>
        <v>0</v>
      </c>
      <c r="Z88" s="107">
        <f>+'SL21'!S14</f>
        <v>0</v>
      </c>
    </row>
    <row r="89" spans="1:26" ht="34.5" x14ac:dyDescent="0.25">
      <c r="A89" t="str">
        <f t="shared" si="5"/>
        <v>C</v>
      </c>
      <c r="B89" s="227"/>
      <c r="C89" s="322"/>
      <c r="D89" s="243"/>
      <c r="E89" s="241"/>
      <c r="F89" s="243"/>
      <c r="G89" s="171" t="str">
        <f t="shared" si="6"/>
        <v>C</v>
      </c>
      <c r="H89" s="215" t="s">
        <v>440</v>
      </c>
      <c r="I89" s="82" t="s">
        <v>455</v>
      </c>
      <c r="J89" s="82" t="s">
        <v>456</v>
      </c>
      <c r="K89" s="25" t="s">
        <v>91</v>
      </c>
      <c r="L89" s="25" t="s">
        <v>571</v>
      </c>
      <c r="M89" s="62" t="s">
        <v>580</v>
      </c>
      <c r="N89" s="25" t="s">
        <v>659</v>
      </c>
      <c r="O89" s="186" t="s">
        <v>737</v>
      </c>
      <c r="P89" s="107"/>
      <c r="Q89" s="107">
        <f>+'SL21'!M26</f>
        <v>81.132075471698116</v>
      </c>
      <c r="R89" s="108">
        <f t="shared" si="4"/>
        <v>86</v>
      </c>
      <c r="S89" s="107">
        <f>+'SL21'!L15</f>
        <v>86</v>
      </c>
      <c r="T89" s="107">
        <f>+'SL21'!M15</f>
        <v>0</v>
      </c>
      <c r="U89" s="107">
        <f>+'SL21'!N15</f>
        <v>0</v>
      </c>
      <c r="V89" s="107">
        <f>+'SL21'!O15</f>
        <v>0</v>
      </c>
      <c r="W89" s="107">
        <f>+'SL21'!P15</f>
        <v>0</v>
      </c>
      <c r="X89" s="107">
        <f>+'SL21'!Q15</f>
        <v>0</v>
      </c>
      <c r="Y89" s="107">
        <f>+'SL21'!R15</f>
        <v>0</v>
      </c>
      <c r="Z89" s="107">
        <f>+'SL21'!S15</f>
        <v>0</v>
      </c>
    </row>
    <row r="90" spans="1:26" ht="23.25" x14ac:dyDescent="0.25">
      <c r="A90" t="str">
        <f t="shared" si="5"/>
        <v>C</v>
      </c>
      <c r="B90" s="227"/>
      <c r="C90" s="322"/>
      <c r="D90" s="243"/>
      <c r="E90" s="241"/>
      <c r="F90" s="243"/>
      <c r="G90" s="171" t="str">
        <f t="shared" si="6"/>
        <v>C</v>
      </c>
      <c r="H90" s="215" t="s">
        <v>441</v>
      </c>
      <c r="I90" s="82" t="s">
        <v>458</v>
      </c>
      <c r="J90" s="82" t="s">
        <v>459</v>
      </c>
      <c r="K90" s="25" t="s">
        <v>91</v>
      </c>
      <c r="L90" s="25" t="s">
        <v>571</v>
      </c>
      <c r="M90" s="62" t="s">
        <v>580</v>
      </c>
      <c r="N90" s="25" t="s">
        <v>659</v>
      </c>
      <c r="O90" s="186" t="s">
        <v>737</v>
      </c>
      <c r="P90" s="107"/>
      <c r="Q90" s="107">
        <f>+'SL21'!M27</f>
        <v>113.20754716981132</v>
      </c>
      <c r="R90" s="108">
        <f t="shared" si="4"/>
        <v>120</v>
      </c>
      <c r="S90" s="107">
        <f>+'SL21'!L16</f>
        <v>120</v>
      </c>
      <c r="T90" s="107">
        <f>+'SL21'!M16</f>
        <v>0</v>
      </c>
      <c r="U90" s="107">
        <f>+'SL21'!N16</f>
        <v>0</v>
      </c>
      <c r="V90" s="107">
        <f>+'SL21'!O16</f>
        <v>0</v>
      </c>
      <c r="W90" s="107">
        <f>+'SL21'!P16</f>
        <v>0</v>
      </c>
      <c r="X90" s="107">
        <f>+'SL21'!Q16</f>
        <v>0</v>
      </c>
      <c r="Y90" s="107">
        <f>+'SL21'!R16</f>
        <v>0</v>
      </c>
      <c r="Z90" s="107">
        <f>+'SL21'!S16</f>
        <v>0</v>
      </c>
    </row>
    <row r="91" spans="1:26" ht="23.25" x14ac:dyDescent="0.25">
      <c r="A91" t="str">
        <f t="shared" si="5"/>
        <v>C</v>
      </c>
      <c r="B91" s="227"/>
      <c r="C91" s="322"/>
      <c r="D91" s="243"/>
      <c r="E91" s="241"/>
      <c r="F91" s="243"/>
      <c r="G91" s="171" t="str">
        <f t="shared" si="6"/>
        <v>C</v>
      </c>
      <c r="H91" s="215" t="s">
        <v>448</v>
      </c>
      <c r="I91" s="82" t="s">
        <v>461</v>
      </c>
      <c r="J91" s="82" t="s">
        <v>462</v>
      </c>
      <c r="K91" s="25" t="s">
        <v>91</v>
      </c>
      <c r="L91" s="25" t="s">
        <v>571</v>
      </c>
      <c r="M91" s="62" t="s">
        <v>580</v>
      </c>
      <c r="N91" s="25" t="s">
        <v>659</v>
      </c>
      <c r="O91" s="186" t="s">
        <v>737</v>
      </c>
      <c r="P91" s="107"/>
      <c r="Q91" s="107">
        <f>+'SL21'!M28</f>
        <v>84.905660377358487</v>
      </c>
      <c r="R91" s="108">
        <f t="shared" si="4"/>
        <v>90</v>
      </c>
      <c r="S91" s="107">
        <f>+'SL21'!L17</f>
        <v>90</v>
      </c>
      <c r="T91" s="107">
        <f>+'SL21'!M17</f>
        <v>0</v>
      </c>
      <c r="U91" s="107">
        <f>+'SL21'!N17</f>
        <v>0</v>
      </c>
      <c r="V91" s="107">
        <f>+'SL21'!O17</f>
        <v>0</v>
      </c>
      <c r="W91" s="107">
        <f>+'SL21'!P17</f>
        <v>0</v>
      </c>
      <c r="X91" s="107">
        <f>+'SL21'!Q17</f>
        <v>0</v>
      </c>
      <c r="Y91" s="107">
        <f>+'SL21'!R17</f>
        <v>0</v>
      </c>
      <c r="Z91" s="107">
        <f>+'SL21'!S17</f>
        <v>0</v>
      </c>
    </row>
    <row r="92" spans="1:26" ht="28.5" customHeight="1" x14ac:dyDescent="0.25">
      <c r="A92" t="str">
        <f t="shared" si="5"/>
        <v>C</v>
      </c>
      <c r="B92" s="227"/>
      <c r="C92" s="322"/>
      <c r="D92" s="243"/>
      <c r="E92" s="240" t="s">
        <v>705</v>
      </c>
      <c r="F92" s="242" t="s">
        <v>191</v>
      </c>
      <c r="G92" s="171" t="str">
        <f t="shared" si="6"/>
        <v>C</v>
      </c>
      <c r="H92" s="215" t="s">
        <v>451</v>
      </c>
      <c r="I92" s="89" t="s">
        <v>191</v>
      </c>
      <c r="J92" s="89" t="s">
        <v>464</v>
      </c>
      <c r="K92" s="25" t="s">
        <v>22</v>
      </c>
      <c r="L92" s="25" t="s">
        <v>579</v>
      </c>
      <c r="M92" s="62" t="s">
        <v>580</v>
      </c>
      <c r="N92" s="25" t="s">
        <v>703</v>
      </c>
      <c r="O92" s="186" t="s">
        <v>737</v>
      </c>
      <c r="P92" s="194">
        <f>+'SL22'!L24</f>
        <v>0.06</v>
      </c>
      <c r="Q92" s="107"/>
      <c r="R92" s="108">
        <f t="shared" si="4"/>
        <v>1804.935103</v>
      </c>
      <c r="S92" s="107">
        <f>+'SL22'!L12</f>
        <v>1804.935103</v>
      </c>
      <c r="T92" s="107">
        <f>+'SL22'!M12</f>
        <v>0</v>
      </c>
      <c r="U92" s="107">
        <f>+'SL22'!N12</f>
        <v>0</v>
      </c>
      <c r="V92" s="107">
        <f>+'SL22'!O12</f>
        <v>0</v>
      </c>
      <c r="W92" s="107">
        <f>+'SL22'!P12</f>
        <v>0</v>
      </c>
      <c r="X92" s="107">
        <f>+'SL22'!Q12</f>
        <v>0</v>
      </c>
      <c r="Y92" s="107">
        <f>+'SL22'!R12</f>
        <v>0</v>
      </c>
      <c r="Z92" s="107">
        <f>+'SL22'!S12</f>
        <v>0</v>
      </c>
    </row>
    <row r="93" spans="1:26" ht="38.25" customHeight="1" x14ac:dyDescent="0.25">
      <c r="A93" t="str">
        <f t="shared" si="5"/>
        <v>I</v>
      </c>
      <c r="B93" s="227"/>
      <c r="C93" s="322"/>
      <c r="D93" s="243"/>
      <c r="E93" s="244"/>
      <c r="F93" s="245"/>
      <c r="G93" s="171" t="str">
        <f t="shared" si="6"/>
        <v>I</v>
      </c>
      <c r="H93" s="84" t="s">
        <v>60</v>
      </c>
      <c r="I93" s="85" t="s">
        <v>466</v>
      </c>
      <c r="J93" s="85"/>
      <c r="K93" s="25" t="s">
        <v>22</v>
      </c>
      <c r="L93" s="25" t="s">
        <v>579</v>
      </c>
      <c r="M93" s="62" t="s">
        <v>580</v>
      </c>
      <c r="N93" s="25" t="s">
        <v>659</v>
      </c>
      <c r="O93" s="186" t="s">
        <v>737</v>
      </c>
      <c r="P93" s="194">
        <f>+'SL22'!L25</f>
        <v>0.06</v>
      </c>
      <c r="Q93" s="107"/>
      <c r="R93" s="108">
        <f t="shared" si="4"/>
        <v>600</v>
      </c>
      <c r="S93" s="107">
        <f>+'SL22'!L13</f>
        <v>0</v>
      </c>
      <c r="T93" s="107">
        <f>+'SL22'!M13</f>
        <v>0</v>
      </c>
      <c r="U93" s="107">
        <f>+'SL22'!N13</f>
        <v>300</v>
      </c>
      <c r="V93" s="107">
        <f>+'SL22'!O13</f>
        <v>300</v>
      </c>
      <c r="W93" s="107">
        <f>+'SL22'!P13</f>
        <v>0</v>
      </c>
      <c r="X93" s="107">
        <f>+'SL22'!Q13</f>
        <v>0</v>
      </c>
      <c r="Y93" s="107">
        <f>+'SL22'!R13</f>
        <v>0</v>
      </c>
      <c r="Z93" s="107">
        <f>+'SL22'!S13</f>
        <v>0</v>
      </c>
    </row>
    <row r="94" spans="1:26" ht="24" customHeight="1" x14ac:dyDescent="0.25">
      <c r="A94" t="str">
        <f t="shared" si="5"/>
        <v>C</v>
      </c>
      <c r="B94" s="227"/>
      <c r="C94" s="322"/>
      <c r="D94" s="243"/>
      <c r="E94" s="240" t="s">
        <v>444</v>
      </c>
      <c r="F94" s="242" t="s">
        <v>192</v>
      </c>
      <c r="G94" s="171" t="str">
        <f t="shared" si="6"/>
        <v>C</v>
      </c>
      <c r="H94" s="84" t="s">
        <v>454</v>
      </c>
      <c r="I94" s="89" t="s">
        <v>468</v>
      </c>
      <c r="J94" s="89" t="s">
        <v>469</v>
      </c>
      <c r="K94" s="25" t="s">
        <v>22</v>
      </c>
      <c r="L94" s="25" t="s">
        <v>579</v>
      </c>
      <c r="M94" s="62" t="s">
        <v>580</v>
      </c>
      <c r="N94" s="25" t="s">
        <v>659</v>
      </c>
      <c r="O94" s="186" t="s">
        <v>737</v>
      </c>
      <c r="P94" s="194">
        <f>+'SL23'!L24</f>
        <v>0.06</v>
      </c>
      <c r="Q94" s="107"/>
      <c r="R94" s="108">
        <f t="shared" si="4"/>
        <v>534</v>
      </c>
      <c r="S94" s="107">
        <f>+'SL23'!L13</f>
        <v>534</v>
      </c>
      <c r="T94" s="107">
        <f>+'SL23'!M13</f>
        <v>0</v>
      </c>
      <c r="U94" s="107">
        <f>+'SL23'!N13</f>
        <v>0</v>
      </c>
      <c r="V94" s="107">
        <f>+'SL23'!O13</f>
        <v>0</v>
      </c>
      <c r="W94" s="107">
        <f>+'SL23'!P13</f>
        <v>0</v>
      </c>
      <c r="X94" s="107">
        <f>+'SL23'!Q13</f>
        <v>0</v>
      </c>
      <c r="Y94" s="107">
        <f>+'SL23'!R13</f>
        <v>0</v>
      </c>
      <c r="Z94" s="107">
        <f>+'SL23'!S13</f>
        <v>0</v>
      </c>
    </row>
    <row r="95" spans="1:26" ht="23.25" x14ac:dyDescent="0.25">
      <c r="A95" t="str">
        <f t="shared" si="5"/>
        <v>I</v>
      </c>
      <c r="B95" s="227"/>
      <c r="C95" s="322"/>
      <c r="D95" s="245"/>
      <c r="E95" s="244"/>
      <c r="F95" s="245"/>
      <c r="G95" s="171" t="str">
        <f t="shared" si="6"/>
        <v>I</v>
      </c>
      <c r="H95" s="84" t="s">
        <v>61</v>
      </c>
      <c r="I95" s="62" t="s">
        <v>470</v>
      </c>
      <c r="J95" s="62"/>
      <c r="K95" s="25" t="s">
        <v>22</v>
      </c>
      <c r="L95" s="25" t="s">
        <v>579</v>
      </c>
      <c r="M95" s="62" t="s">
        <v>580</v>
      </c>
      <c r="N95" s="25" t="s">
        <v>659</v>
      </c>
      <c r="O95" s="186" t="s">
        <v>737</v>
      </c>
      <c r="P95" s="194">
        <f>+'SL23'!L25</f>
        <v>0.06</v>
      </c>
      <c r="Q95" s="107"/>
      <c r="R95" s="108">
        <f t="shared" si="4"/>
        <v>560.69999999999993</v>
      </c>
      <c r="S95" s="107">
        <f>+'SL23'!L14</f>
        <v>0</v>
      </c>
      <c r="T95" s="107">
        <f>+'SL23'!M14</f>
        <v>0</v>
      </c>
      <c r="U95" s="107">
        <f>+'SL23'!N14</f>
        <v>0</v>
      </c>
      <c r="V95" s="107">
        <f>+'SL23'!O14</f>
        <v>0</v>
      </c>
      <c r="W95" s="107">
        <f>+'SL23'!P14</f>
        <v>0</v>
      </c>
      <c r="X95" s="107">
        <f>+'SL23'!Q14</f>
        <v>560.69999999999993</v>
      </c>
      <c r="Y95" s="107">
        <f>+'SL23'!R14</f>
        <v>0</v>
      </c>
      <c r="Z95" s="107">
        <f>+'SL23'!S14</f>
        <v>0</v>
      </c>
    </row>
    <row r="96" spans="1:26" ht="34.5" customHeight="1" x14ac:dyDescent="0.25">
      <c r="A96" t="str">
        <f t="shared" si="5"/>
        <v>C</v>
      </c>
      <c r="B96" s="227"/>
      <c r="C96" s="322"/>
      <c r="D96" s="242" t="s">
        <v>194</v>
      </c>
      <c r="E96" s="240" t="s">
        <v>446</v>
      </c>
      <c r="F96" s="242" t="s">
        <v>193</v>
      </c>
      <c r="G96" s="171" t="str">
        <f t="shared" si="6"/>
        <v>C</v>
      </c>
      <c r="H96" s="84" t="s">
        <v>457</v>
      </c>
      <c r="I96" s="82" t="s">
        <v>773</v>
      </c>
      <c r="J96" s="82" t="s">
        <v>473</v>
      </c>
      <c r="K96" s="25" t="s">
        <v>91</v>
      </c>
      <c r="L96" s="25" t="s">
        <v>571</v>
      </c>
      <c r="M96" s="62" t="s">
        <v>580</v>
      </c>
      <c r="N96" s="25" t="s">
        <v>659</v>
      </c>
      <c r="O96" s="186" t="s">
        <v>737</v>
      </c>
      <c r="P96" s="107"/>
      <c r="Q96" s="107">
        <f>+'SL24'!M24</f>
        <v>330.01067995728016</v>
      </c>
      <c r="R96" s="108">
        <f t="shared" si="4"/>
        <v>360</v>
      </c>
      <c r="S96" s="107">
        <f>+'SL24'!L13</f>
        <v>0</v>
      </c>
      <c r="T96" s="107">
        <f>+'SL24'!M13</f>
        <v>180</v>
      </c>
      <c r="U96" s="107">
        <f>+'SL24'!N13</f>
        <v>180</v>
      </c>
      <c r="V96" s="107">
        <f>+'SL24'!O13</f>
        <v>0</v>
      </c>
      <c r="W96" s="107">
        <f>+'SL24'!P13</f>
        <v>0</v>
      </c>
      <c r="X96" s="107">
        <f>+'SL24'!Q13</f>
        <v>0</v>
      </c>
      <c r="Y96" s="107">
        <f>+'SL24'!R13</f>
        <v>0</v>
      </c>
      <c r="Z96" s="107">
        <f>+'SL24'!S13</f>
        <v>0</v>
      </c>
    </row>
    <row r="97" spans="1:26" ht="34.5" x14ac:dyDescent="0.25">
      <c r="A97" t="str">
        <f t="shared" si="5"/>
        <v>C</v>
      </c>
      <c r="B97" s="227"/>
      <c r="C97" s="322"/>
      <c r="D97" s="243"/>
      <c r="E97" s="241"/>
      <c r="F97" s="243"/>
      <c r="G97" s="171" t="str">
        <f t="shared" si="6"/>
        <v>C</v>
      </c>
      <c r="H97" s="215" t="s">
        <v>460</v>
      </c>
      <c r="I97" s="82" t="s">
        <v>475</v>
      </c>
      <c r="J97" s="82" t="s">
        <v>476</v>
      </c>
      <c r="K97" s="25" t="s">
        <v>91</v>
      </c>
      <c r="L97" s="25" t="s">
        <v>571</v>
      </c>
      <c r="M97" s="62" t="s">
        <v>580</v>
      </c>
      <c r="N97" s="25" t="s">
        <v>659</v>
      </c>
      <c r="O97" s="186" t="s">
        <v>737</v>
      </c>
      <c r="P97" s="107"/>
      <c r="Q97" s="107">
        <f>+'SL24'!M25</f>
        <v>550.01779992880029</v>
      </c>
      <c r="R97" s="108">
        <f t="shared" si="4"/>
        <v>600</v>
      </c>
      <c r="S97" s="107">
        <f>+'SL24'!L14</f>
        <v>0</v>
      </c>
      <c r="T97" s="107">
        <f>+'SL24'!M14</f>
        <v>300</v>
      </c>
      <c r="U97" s="107">
        <f>+'SL24'!N14</f>
        <v>300</v>
      </c>
      <c r="V97" s="107">
        <f>+'SL24'!O14</f>
        <v>0</v>
      </c>
      <c r="W97" s="107">
        <f>+'SL24'!P14</f>
        <v>0</v>
      </c>
      <c r="X97" s="107">
        <f>+'SL24'!Q14</f>
        <v>0</v>
      </c>
      <c r="Y97" s="107">
        <f>+'SL24'!R14</f>
        <v>0</v>
      </c>
      <c r="Z97" s="107">
        <f>+'SL24'!S14</f>
        <v>0</v>
      </c>
    </row>
    <row r="98" spans="1:26" ht="23.25" x14ac:dyDescent="0.25">
      <c r="A98" t="str">
        <f t="shared" si="5"/>
        <v>C</v>
      </c>
      <c r="B98" s="227"/>
      <c r="C98" s="322"/>
      <c r="D98" s="243"/>
      <c r="E98" s="241"/>
      <c r="F98" s="243"/>
      <c r="G98" s="171" t="str">
        <f t="shared" si="6"/>
        <v>C</v>
      </c>
      <c r="H98" s="215" t="s">
        <v>463</v>
      </c>
      <c r="I98" s="82" t="s">
        <v>477</v>
      </c>
      <c r="J98" s="82" t="s">
        <v>478</v>
      </c>
      <c r="K98" s="25" t="s">
        <v>91</v>
      </c>
      <c r="L98" s="25" t="s">
        <v>571</v>
      </c>
      <c r="M98" s="62" t="s">
        <v>580</v>
      </c>
      <c r="N98" s="25" t="s">
        <v>659</v>
      </c>
      <c r="O98" s="186" t="s">
        <v>737</v>
      </c>
      <c r="P98" s="107"/>
      <c r="Q98" s="107">
        <f>+'SL24'!M26</f>
        <v>201.67319330722674</v>
      </c>
      <c r="R98" s="108">
        <f t="shared" si="4"/>
        <v>220</v>
      </c>
      <c r="S98" s="107">
        <f>+'SL24'!L15</f>
        <v>0</v>
      </c>
      <c r="T98" s="107">
        <f>+'SL24'!M15</f>
        <v>0</v>
      </c>
      <c r="U98" s="107">
        <f>+'SL24'!N15</f>
        <v>110</v>
      </c>
      <c r="V98" s="107">
        <f>+'SL24'!O15</f>
        <v>110</v>
      </c>
      <c r="W98" s="107">
        <f>+'SL24'!P15</f>
        <v>0</v>
      </c>
      <c r="X98" s="107">
        <f>+'SL24'!Q15</f>
        <v>0</v>
      </c>
      <c r="Y98" s="107">
        <f>+'SL24'!R15</f>
        <v>0</v>
      </c>
      <c r="Z98" s="107">
        <f>+'SL24'!S15</f>
        <v>0</v>
      </c>
    </row>
    <row r="99" spans="1:26" ht="23.25" x14ac:dyDescent="0.25">
      <c r="A99" t="str">
        <f t="shared" si="5"/>
        <v>C</v>
      </c>
      <c r="B99" s="227"/>
      <c r="C99" s="322"/>
      <c r="D99" s="243"/>
      <c r="E99" s="241"/>
      <c r="F99" s="243"/>
      <c r="G99" s="171" t="str">
        <f t="shared" si="6"/>
        <v>C</v>
      </c>
      <c r="H99" s="215" t="s">
        <v>465</v>
      </c>
      <c r="I99" s="82" t="s">
        <v>479</v>
      </c>
      <c r="J99" s="82" t="s">
        <v>480</v>
      </c>
      <c r="K99" s="25" t="s">
        <v>91</v>
      </c>
      <c r="L99" s="25" t="s">
        <v>571</v>
      </c>
      <c r="M99" s="62" t="s">
        <v>580</v>
      </c>
      <c r="N99" s="25" t="s">
        <v>659</v>
      </c>
      <c r="O99" s="186" t="s">
        <v>737</v>
      </c>
      <c r="P99" s="107"/>
      <c r="Q99" s="107">
        <f>+'SL24'!M27</f>
        <v>201.67319330722674</v>
      </c>
      <c r="R99" s="108">
        <f t="shared" si="4"/>
        <v>220</v>
      </c>
      <c r="S99" s="107">
        <f>+'SL24'!L16</f>
        <v>0</v>
      </c>
      <c r="T99" s="107">
        <f>+'SL24'!M16</f>
        <v>0</v>
      </c>
      <c r="U99" s="107">
        <f>+'SL24'!N16</f>
        <v>110</v>
      </c>
      <c r="V99" s="107">
        <f>+'SL24'!O16</f>
        <v>110</v>
      </c>
      <c r="W99" s="107">
        <f>+'SL24'!P16</f>
        <v>0</v>
      </c>
      <c r="X99" s="107">
        <f>+'SL24'!Q16</f>
        <v>0</v>
      </c>
      <c r="Y99" s="107">
        <f>+'SL24'!R16</f>
        <v>0</v>
      </c>
      <c r="Z99" s="107">
        <f>+'SL24'!S16</f>
        <v>0</v>
      </c>
    </row>
    <row r="100" spans="1:26" ht="23.25" x14ac:dyDescent="0.25">
      <c r="A100" t="str">
        <f t="shared" si="5"/>
        <v>C</v>
      </c>
      <c r="B100" s="227"/>
      <c r="C100" s="322"/>
      <c r="D100" s="243"/>
      <c r="E100" s="241"/>
      <c r="F100" s="243"/>
      <c r="G100" s="171" t="str">
        <f t="shared" si="6"/>
        <v>C</v>
      </c>
      <c r="H100" s="215" t="s">
        <v>467</v>
      </c>
      <c r="I100" s="82" t="s">
        <v>481</v>
      </c>
      <c r="J100" s="82" t="s">
        <v>482</v>
      </c>
      <c r="K100" s="25" t="s">
        <v>91</v>
      </c>
      <c r="L100" s="25" t="s">
        <v>571</v>
      </c>
      <c r="M100" s="62" t="s">
        <v>580</v>
      </c>
      <c r="N100" s="25" t="s">
        <v>659</v>
      </c>
      <c r="O100" s="186" t="s">
        <v>737</v>
      </c>
      <c r="P100" s="107"/>
      <c r="Q100" s="107">
        <f>+'SL24'!M28</f>
        <v>201.67319330722674</v>
      </c>
      <c r="R100" s="108">
        <f t="shared" si="4"/>
        <v>220</v>
      </c>
      <c r="S100" s="107">
        <f>+'SL24'!L17</f>
        <v>0</v>
      </c>
      <c r="T100" s="107">
        <f>+'SL24'!M17</f>
        <v>0</v>
      </c>
      <c r="U100" s="107">
        <f>+'SL24'!N17</f>
        <v>110</v>
      </c>
      <c r="V100" s="107">
        <f>+'SL24'!O17</f>
        <v>110</v>
      </c>
      <c r="W100" s="107">
        <f>+'SL24'!P17</f>
        <v>0</v>
      </c>
      <c r="X100" s="107">
        <f>+'SL24'!Q17</f>
        <v>0</v>
      </c>
      <c r="Y100" s="107">
        <f>+'SL24'!R17</f>
        <v>0</v>
      </c>
      <c r="Z100" s="107">
        <f>+'SL24'!S17</f>
        <v>0</v>
      </c>
    </row>
    <row r="101" spans="1:26" ht="23.25" customHeight="1" x14ac:dyDescent="0.25">
      <c r="A101" t="str">
        <f t="shared" si="5"/>
        <v>I</v>
      </c>
      <c r="B101" s="227"/>
      <c r="C101" s="322"/>
      <c r="D101" s="243"/>
      <c r="E101" s="240" t="s">
        <v>709</v>
      </c>
      <c r="F101" s="242" t="s">
        <v>195</v>
      </c>
      <c r="G101" s="171" t="str">
        <f t="shared" si="6"/>
        <v>I</v>
      </c>
      <c r="H101" s="138" t="s">
        <v>62</v>
      </c>
      <c r="I101" s="62" t="s">
        <v>777</v>
      </c>
      <c r="J101" s="62"/>
      <c r="K101" s="25" t="s">
        <v>91</v>
      </c>
      <c r="L101" s="25" t="s">
        <v>571</v>
      </c>
      <c r="M101" s="62" t="s">
        <v>580</v>
      </c>
      <c r="N101" s="25" t="s">
        <v>659</v>
      </c>
      <c r="O101" s="186" t="s">
        <v>737</v>
      </c>
      <c r="P101" s="107"/>
      <c r="Q101" s="107">
        <f>+'SL25'!M24</f>
        <v>210.84015663937342</v>
      </c>
      <c r="R101" s="108">
        <f t="shared" si="4"/>
        <v>230</v>
      </c>
      <c r="S101" s="107">
        <f>+'SL25'!L12</f>
        <v>0</v>
      </c>
      <c r="T101" s="107">
        <f>+'SL25'!M12</f>
        <v>115</v>
      </c>
      <c r="U101" s="107">
        <f>+'SL25'!N12</f>
        <v>115</v>
      </c>
      <c r="V101" s="107">
        <f>+'SL25'!O12</f>
        <v>0</v>
      </c>
      <c r="W101" s="107">
        <f>+'SL25'!P12</f>
        <v>0</v>
      </c>
      <c r="X101" s="107">
        <f>+'SL25'!Q12</f>
        <v>0</v>
      </c>
      <c r="Y101" s="107">
        <f>+'SL25'!R12</f>
        <v>0</v>
      </c>
      <c r="Z101" s="107">
        <f>+'SL25'!S12</f>
        <v>0</v>
      </c>
    </row>
    <row r="102" spans="1:26" ht="23.25" x14ac:dyDescent="0.25">
      <c r="A102" t="str">
        <f t="shared" si="5"/>
        <v>I</v>
      </c>
      <c r="B102" s="227"/>
      <c r="C102" s="322"/>
      <c r="D102" s="243"/>
      <c r="E102" s="241"/>
      <c r="F102" s="243"/>
      <c r="G102" s="171" t="str">
        <f t="shared" si="6"/>
        <v>I</v>
      </c>
      <c r="H102" s="162" t="s">
        <v>63</v>
      </c>
      <c r="I102" s="62" t="s">
        <v>774</v>
      </c>
      <c r="J102" s="62"/>
      <c r="K102" s="25" t="s">
        <v>91</v>
      </c>
      <c r="L102" s="25" t="s">
        <v>571</v>
      </c>
      <c r="M102" s="62" t="s">
        <v>580</v>
      </c>
      <c r="N102" s="25" t="s">
        <v>659</v>
      </c>
      <c r="O102" s="186" t="s">
        <v>737</v>
      </c>
      <c r="P102" s="107"/>
      <c r="Q102" s="107">
        <f>+'SL25'!M25</f>
        <v>210.84015663937342</v>
      </c>
      <c r="R102" s="108">
        <f t="shared" si="4"/>
        <v>230</v>
      </c>
      <c r="S102" s="107">
        <f>+'SL25'!L13</f>
        <v>0</v>
      </c>
      <c r="T102" s="107">
        <f>+'SL25'!M13</f>
        <v>0</v>
      </c>
      <c r="U102" s="107">
        <f>+'SL25'!N13</f>
        <v>0</v>
      </c>
      <c r="V102" s="107">
        <f>+'SL25'!O13</f>
        <v>0</v>
      </c>
      <c r="W102" s="107">
        <f>+'SL25'!P13</f>
        <v>0</v>
      </c>
      <c r="X102" s="107">
        <f>+'SL25'!Q13</f>
        <v>230</v>
      </c>
      <c r="Y102" s="107">
        <f>+'SL25'!R13</f>
        <v>0</v>
      </c>
      <c r="Z102" s="107">
        <f>+'SL25'!S13</f>
        <v>0</v>
      </c>
    </row>
    <row r="103" spans="1:26" ht="23.25" x14ac:dyDescent="0.25">
      <c r="A103" t="str">
        <f t="shared" si="5"/>
        <v>I</v>
      </c>
      <c r="B103" s="227"/>
      <c r="C103" s="322"/>
      <c r="D103" s="243"/>
      <c r="E103" s="241"/>
      <c r="F103" s="243"/>
      <c r="G103" s="171" t="str">
        <f t="shared" si="6"/>
        <v>I</v>
      </c>
      <c r="H103" s="162" t="s">
        <v>64</v>
      </c>
      <c r="I103" s="62" t="s">
        <v>775</v>
      </c>
      <c r="J103" s="62"/>
      <c r="K103" s="25" t="s">
        <v>91</v>
      </c>
      <c r="L103" s="25" t="s">
        <v>571</v>
      </c>
      <c r="M103" s="62" t="s">
        <v>580</v>
      </c>
      <c r="N103" s="25" t="s">
        <v>659</v>
      </c>
      <c r="O103" s="186" t="s">
        <v>737</v>
      </c>
      <c r="P103" s="107"/>
      <c r="Q103" s="107">
        <f>+'SL25'!M26</f>
        <v>210.84015663937342</v>
      </c>
      <c r="R103" s="108">
        <f t="shared" ref="R103:R133" si="7">SUM(S103:Z103)</f>
        <v>230</v>
      </c>
      <c r="S103" s="107">
        <f>+'SL25'!L14</f>
        <v>0</v>
      </c>
      <c r="T103" s="107">
        <f>+'SL25'!M14</f>
        <v>0</v>
      </c>
      <c r="U103" s="107">
        <f>+'SL25'!N14</f>
        <v>0</v>
      </c>
      <c r="V103" s="107">
        <f>+'SL25'!O14</f>
        <v>0</v>
      </c>
      <c r="W103" s="107">
        <f>+'SL25'!P14</f>
        <v>0</v>
      </c>
      <c r="X103" s="107">
        <f>+'SL25'!Q14</f>
        <v>230</v>
      </c>
      <c r="Y103" s="107">
        <f>+'SL25'!R14</f>
        <v>0</v>
      </c>
      <c r="Z103" s="107">
        <f>+'SL25'!S14</f>
        <v>0</v>
      </c>
    </row>
    <row r="104" spans="1:26" ht="23.25" x14ac:dyDescent="0.25">
      <c r="A104" t="str">
        <f t="shared" si="5"/>
        <v>I</v>
      </c>
      <c r="B104" s="227"/>
      <c r="C104" s="280"/>
      <c r="D104" s="245"/>
      <c r="E104" s="244"/>
      <c r="F104" s="245"/>
      <c r="G104" s="171" t="str">
        <f t="shared" si="6"/>
        <v>I</v>
      </c>
      <c r="H104" s="162" t="s">
        <v>65</v>
      </c>
      <c r="I104" s="62" t="s">
        <v>776</v>
      </c>
      <c r="J104" s="62"/>
      <c r="K104" s="25" t="s">
        <v>91</v>
      </c>
      <c r="L104" s="25" t="s">
        <v>571</v>
      </c>
      <c r="M104" s="62" t="s">
        <v>580</v>
      </c>
      <c r="N104" s="25" t="s">
        <v>659</v>
      </c>
      <c r="O104" s="186" t="s">
        <v>737</v>
      </c>
      <c r="P104" s="107"/>
      <c r="Q104" s="107">
        <f>+'SL25'!M27</f>
        <v>210.84015663937342</v>
      </c>
      <c r="R104" s="108">
        <f t="shared" si="7"/>
        <v>230</v>
      </c>
      <c r="S104" s="107">
        <f>+'SL25'!L15</f>
        <v>0</v>
      </c>
      <c r="T104" s="107">
        <f>+'SL25'!M15</f>
        <v>0</v>
      </c>
      <c r="U104" s="107">
        <f>+'SL25'!N15</f>
        <v>0</v>
      </c>
      <c r="V104" s="107">
        <f>+'SL25'!O15</f>
        <v>0</v>
      </c>
      <c r="W104" s="107">
        <f>+'SL25'!P15</f>
        <v>0</v>
      </c>
      <c r="X104" s="107">
        <f>+'SL25'!Q15</f>
        <v>230</v>
      </c>
      <c r="Y104" s="107">
        <f>+'SL25'!R15</f>
        <v>0</v>
      </c>
      <c r="Z104" s="107">
        <f>+'SL25'!S15</f>
        <v>0</v>
      </c>
    </row>
    <row r="105" spans="1:26" ht="72" x14ac:dyDescent="0.25">
      <c r="A105" t="str">
        <f t="shared" si="5"/>
        <v>I</v>
      </c>
      <c r="B105" s="227"/>
      <c r="C105" s="242" t="s">
        <v>488</v>
      </c>
      <c r="D105" s="84" t="s">
        <v>197</v>
      </c>
      <c r="E105" s="83" t="s">
        <v>710</v>
      </c>
      <c r="F105" s="84" t="s">
        <v>196</v>
      </c>
      <c r="G105" s="171" t="str">
        <f t="shared" si="6"/>
        <v>I</v>
      </c>
      <c r="H105" s="162" t="s">
        <v>66</v>
      </c>
      <c r="I105" s="85" t="s">
        <v>196</v>
      </c>
      <c r="J105" s="85"/>
      <c r="K105" s="25" t="s">
        <v>91</v>
      </c>
      <c r="L105" s="25" t="s">
        <v>571</v>
      </c>
      <c r="M105" s="62" t="s">
        <v>614</v>
      </c>
      <c r="N105" s="25" t="s">
        <v>722</v>
      </c>
      <c r="O105" s="186" t="s">
        <v>743</v>
      </c>
      <c r="P105" s="107"/>
      <c r="Q105" s="107">
        <f>+'SL26'!M23</f>
        <v>471.69811320754712</v>
      </c>
      <c r="R105" s="108">
        <f t="shared" si="7"/>
        <v>500</v>
      </c>
      <c r="S105" s="107">
        <f>+'SL26'!L12</f>
        <v>0</v>
      </c>
      <c r="T105" s="107">
        <f>+'SL26'!M12</f>
        <v>0</v>
      </c>
      <c r="U105" s="107">
        <f>+'SL26'!N12</f>
        <v>0</v>
      </c>
      <c r="V105" s="107">
        <f>+'SL26'!O12</f>
        <v>0</v>
      </c>
      <c r="W105" s="107">
        <f>+'SL26'!P12</f>
        <v>0</v>
      </c>
      <c r="X105" s="107">
        <f>+'SL26'!Q12</f>
        <v>500</v>
      </c>
      <c r="Y105" s="107">
        <f>+'SL26'!R12</f>
        <v>0</v>
      </c>
      <c r="Z105" s="107">
        <f>+'SL26'!S12</f>
        <v>0</v>
      </c>
    </row>
    <row r="106" spans="1:26" ht="84" x14ac:dyDescent="0.25">
      <c r="A106" t="str">
        <f t="shared" si="5"/>
        <v>I</v>
      </c>
      <c r="B106" s="227"/>
      <c r="C106" s="245"/>
      <c r="D106" s="84" t="s">
        <v>200</v>
      </c>
      <c r="E106" s="83" t="s">
        <v>730</v>
      </c>
      <c r="F106" s="84" t="s">
        <v>199</v>
      </c>
      <c r="G106" s="171" t="str">
        <f t="shared" si="6"/>
        <v>I</v>
      </c>
      <c r="H106" s="162" t="s">
        <v>67</v>
      </c>
      <c r="I106" s="85" t="s">
        <v>199</v>
      </c>
      <c r="J106" s="85"/>
      <c r="K106" s="25" t="s">
        <v>91</v>
      </c>
      <c r="L106" s="25" t="s">
        <v>571</v>
      </c>
      <c r="M106" s="62" t="s">
        <v>615</v>
      </c>
      <c r="N106" s="25" t="s">
        <v>720</v>
      </c>
      <c r="O106" s="186" t="s">
        <v>741</v>
      </c>
      <c r="P106" s="107"/>
      <c r="Q106" s="107">
        <f>+'SL27'!M24</f>
        <v>0</v>
      </c>
      <c r="R106" s="108">
        <f t="shared" si="7"/>
        <v>0</v>
      </c>
      <c r="S106" s="107">
        <f>+'SL27'!L12</f>
        <v>0</v>
      </c>
      <c r="T106" s="107">
        <f>+'SL27'!M12</f>
        <v>0</v>
      </c>
      <c r="U106" s="107">
        <f>+'SL27'!N12</f>
        <v>0</v>
      </c>
      <c r="V106" s="107">
        <f>+'SL27'!O12</f>
        <v>0</v>
      </c>
      <c r="W106" s="107">
        <f>+'SL27'!P12</f>
        <v>0</v>
      </c>
      <c r="X106" s="107">
        <f>+'SL27'!Q12</f>
        <v>0</v>
      </c>
      <c r="Y106" s="107">
        <f>+'SL27'!R12</f>
        <v>0</v>
      </c>
      <c r="Z106" s="107">
        <f>+'SL27'!S12</f>
        <v>0</v>
      </c>
    </row>
    <row r="107" spans="1:26" ht="60" x14ac:dyDescent="0.25">
      <c r="A107" t="str">
        <f t="shared" si="5"/>
        <v>I</v>
      </c>
      <c r="B107" s="227"/>
      <c r="C107" s="242" t="s">
        <v>203</v>
      </c>
      <c r="D107" s="242" t="s">
        <v>202</v>
      </c>
      <c r="E107" s="83" t="s">
        <v>483</v>
      </c>
      <c r="F107" s="84" t="s">
        <v>201</v>
      </c>
      <c r="G107" s="171" t="str">
        <f t="shared" si="6"/>
        <v>I</v>
      </c>
      <c r="H107" s="162" t="s">
        <v>68</v>
      </c>
      <c r="I107" s="85" t="s">
        <v>201</v>
      </c>
      <c r="J107" s="85"/>
      <c r="K107" s="25" t="s">
        <v>91</v>
      </c>
      <c r="L107" s="25" t="s">
        <v>571</v>
      </c>
      <c r="M107" s="62" t="s">
        <v>616</v>
      </c>
      <c r="N107" s="62" t="s">
        <v>740</v>
      </c>
      <c r="O107" s="186" t="s">
        <v>780</v>
      </c>
      <c r="P107" s="107"/>
      <c r="Q107" s="107">
        <f>+'SL28'!M24</f>
        <v>187.65721698113208</v>
      </c>
      <c r="R107" s="108">
        <f t="shared" si="7"/>
        <v>198.91665</v>
      </c>
      <c r="S107" s="107">
        <f>+'SL28'!L12</f>
        <v>0</v>
      </c>
      <c r="T107" s="107">
        <f>+'SL28'!M12</f>
        <v>0</v>
      </c>
      <c r="U107" s="107">
        <f>+'SL28'!N12</f>
        <v>0</v>
      </c>
      <c r="V107" s="107">
        <f>+'SL28'!O12</f>
        <v>0</v>
      </c>
      <c r="W107" s="107">
        <f>+'SL28'!P12</f>
        <v>0</v>
      </c>
      <c r="X107" s="107">
        <f>+'SL28'!Q12</f>
        <v>198.91665</v>
      </c>
      <c r="Y107" s="107">
        <f>+'SL28'!R12</f>
        <v>0</v>
      </c>
      <c r="Z107" s="107">
        <f>+'SL28'!S12</f>
        <v>0</v>
      </c>
    </row>
    <row r="108" spans="1:26" ht="60" x14ac:dyDescent="0.25">
      <c r="A108" t="str">
        <f t="shared" si="5"/>
        <v>I</v>
      </c>
      <c r="B108" s="228"/>
      <c r="C108" s="245"/>
      <c r="D108" s="245"/>
      <c r="E108" s="83" t="s">
        <v>489</v>
      </c>
      <c r="F108" s="90" t="s">
        <v>204</v>
      </c>
      <c r="G108" s="171" t="str">
        <f t="shared" si="6"/>
        <v>I</v>
      </c>
      <c r="H108" s="162" t="s">
        <v>69</v>
      </c>
      <c r="I108" s="91" t="s">
        <v>204</v>
      </c>
      <c r="J108" s="91"/>
      <c r="K108" s="25" t="s">
        <v>91</v>
      </c>
      <c r="L108" s="25" t="s">
        <v>571</v>
      </c>
      <c r="M108" s="62" t="s">
        <v>580</v>
      </c>
      <c r="N108" s="25" t="s">
        <v>721</v>
      </c>
      <c r="O108" s="186" t="s">
        <v>737</v>
      </c>
      <c r="P108" s="107"/>
      <c r="Q108" s="107">
        <f>+'SL29'!M24</f>
        <v>187.65721698113208</v>
      </c>
      <c r="R108" s="108">
        <f t="shared" si="7"/>
        <v>198.91665</v>
      </c>
      <c r="S108" s="107">
        <f>+'SL29'!L12</f>
        <v>0</v>
      </c>
      <c r="T108" s="107">
        <f>+'SL29'!M12</f>
        <v>198.91665</v>
      </c>
      <c r="U108" s="107">
        <f>+'SL29'!N12</f>
        <v>0</v>
      </c>
      <c r="V108" s="107">
        <f>+'SL29'!O12</f>
        <v>0</v>
      </c>
      <c r="W108" s="107">
        <f>+'SL29'!P12</f>
        <v>0</v>
      </c>
      <c r="X108" s="107">
        <f>+'SL29'!Q12</f>
        <v>0</v>
      </c>
      <c r="Y108" s="107">
        <f>+'SL29'!R12</f>
        <v>0</v>
      </c>
      <c r="Z108" s="107">
        <f>+'SL29'!S12</f>
        <v>0</v>
      </c>
    </row>
    <row r="109" spans="1:26" ht="60" x14ac:dyDescent="0.25">
      <c r="A109" t="str">
        <f t="shared" si="5"/>
        <v>I</v>
      </c>
      <c r="B109" s="226" t="s">
        <v>749</v>
      </c>
      <c r="C109" s="246" t="s">
        <v>495</v>
      </c>
      <c r="D109" s="246" t="s">
        <v>206</v>
      </c>
      <c r="E109" s="92" t="s">
        <v>490</v>
      </c>
      <c r="F109" s="93" t="s">
        <v>205</v>
      </c>
      <c r="G109" s="171" t="str">
        <f t="shared" si="6"/>
        <v>I</v>
      </c>
      <c r="H109" s="93" t="s">
        <v>70</v>
      </c>
      <c r="I109" s="85" t="s">
        <v>205</v>
      </c>
      <c r="J109" s="85"/>
      <c r="K109" s="25" t="s">
        <v>91</v>
      </c>
      <c r="L109" s="25" t="s">
        <v>605</v>
      </c>
      <c r="M109" s="62" t="s">
        <v>745</v>
      </c>
      <c r="N109" s="25" t="s">
        <v>723</v>
      </c>
      <c r="O109" s="186" t="s">
        <v>742</v>
      </c>
      <c r="P109" s="107"/>
      <c r="Q109" s="107">
        <f>+'SL30'!M24</f>
        <v>326.74109914560341</v>
      </c>
      <c r="R109" s="108">
        <f t="shared" si="7"/>
        <v>356.43330000000003</v>
      </c>
      <c r="S109" s="107">
        <f>+'SL30'!L12</f>
        <v>0</v>
      </c>
      <c r="T109" s="107">
        <f>+'SL30'!M12</f>
        <v>178.21665000000002</v>
      </c>
      <c r="U109" s="107">
        <f>+'SL30'!N12</f>
        <v>178.21665000000002</v>
      </c>
      <c r="V109" s="107">
        <f>+'SL30'!O12</f>
        <v>0</v>
      </c>
      <c r="W109" s="107">
        <f>+'SL30'!P12</f>
        <v>0</v>
      </c>
      <c r="X109" s="107">
        <f>+'SL30'!Q12</f>
        <v>0</v>
      </c>
      <c r="Y109" s="107">
        <f>+'SL30'!R12</f>
        <v>0</v>
      </c>
      <c r="Z109" s="107">
        <f>+'SL30'!S12</f>
        <v>0</v>
      </c>
    </row>
    <row r="110" spans="1:26" ht="31.5" customHeight="1" x14ac:dyDescent="0.25">
      <c r="A110" t="str">
        <f t="shared" si="5"/>
        <v>I</v>
      </c>
      <c r="B110" s="227"/>
      <c r="C110" s="247"/>
      <c r="D110" s="248"/>
      <c r="E110" s="214" t="s">
        <v>491</v>
      </c>
      <c r="F110" s="213" t="s">
        <v>208</v>
      </c>
      <c r="G110" s="171" t="str">
        <f t="shared" si="6"/>
        <v>I</v>
      </c>
      <c r="H110" s="93" t="s">
        <v>71</v>
      </c>
      <c r="I110" s="88" t="s">
        <v>500</v>
      </c>
      <c r="J110" s="62"/>
      <c r="K110" s="25" t="s">
        <v>91</v>
      </c>
      <c r="L110" s="25" t="s">
        <v>605</v>
      </c>
      <c r="M110" s="62" t="s">
        <v>745</v>
      </c>
      <c r="N110" s="25" t="s">
        <v>723</v>
      </c>
      <c r="O110" s="186" t="s">
        <v>742</v>
      </c>
      <c r="P110" s="107"/>
      <c r="Q110" s="107">
        <f>+'SL31'!M25</f>
        <v>524.2246955540478</v>
      </c>
      <c r="R110" s="108">
        <f t="shared" si="7"/>
        <v>600</v>
      </c>
      <c r="S110" s="107">
        <f>+'SL31'!L13</f>
        <v>0</v>
      </c>
      <c r="T110" s="107">
        <f>+'SL31'!M13</f>
        <v>0</v>
      </c>
      <c r="U110" s="107">
        <f>+'SL31'!N13</f>
        <v>0</v>
      </c>
      <c r="V110" s="107">
        <f>+'SL31'!O13</f>
        <v>0</v>
      </c>
      <c r="W110" s="107">
        <f>+'SL31'!P13</f>
        <v>0</v>
      </c>
      <c r="X110" s="107">
        <f>+'SL31'!Q13</f>
        <v>600</v>
      </c>
      <c r="Y110" s="107">
        <f>+'SL31'!R13</f>
        <v>0</v>
      </c>
      <c r="Z110" s="107">
        <f>+'SL31'!S13</f>
        <v>0</v>
      </c>
    </row>
    <row r="111" spans="1:26" ht="48" x14ac:dyDescent="0.25">
      <c r="A111" t="str">
        <f t="shared" si="5"/>
        <v>I</v>
      </c>
      <c r="B111" s="227"/>
      <c r="C111" s="247"/>
      <c r="D111" s="246" t="s">
        <v>210</v>
      </c>
      <c r="E111" s="92" t="s">
        <v>492</v>
      </c>
      <c r="F111" s="93" t="s">
        <v>209</v>
      </c>
      <c r="G111" s="171" t="str">
        <f t="shared" si="6"/>
        <v>I</v>
      </c>
      <c r="H111" s="93" t="s">
        <v>72</v>
      </c>
      <c r="I111" s="62" t="s">
        <v>503</v>
      </c>
      <c r="J111" s="62"/>
      <c r="K111" s="25" t="s">
        <v>91</v>
      </c>
      <c r="L111" s="25" t="s">
        <v>605</v>
      </c>
      <c r="M111" s="62" t="s">
        <v>745</v>
      </c>
      <c r="N111" s="25" t="s">
        <v>723</v>
      </c>
      <c r="O111" s="186" t="s">
        <v>742</v>
      </c>
      <c r="P111" s="107"/>
      <c r="Q111" s="107">
        <f>+'SL32'!M24</f>
        <v>0</v>
      </c>
      <c r="R111" s="108">
        <f t="shared" si="7"/>
        <v>329.72</v>
      </c>
      <c r="S111" s="107">
        <f>+'SL32'!L12</f>
        <v>0</v>
      </c>
      <c r="T111" s="107">
        <f>+'SL32'!M12</f>
        <v>0</v>
      </c>
      <c r="U111" s="107">
        <f>+'SL32'!N12</f>
        <v>329.72</v>
      </c>
      <c r="V111" s="107">
        <f>+'SL32'!O12</f>
        <v>0</v>
      </c>
      <c r="W111" s="107">
        <f>+'SL32'!P12</f>
        <v>0</v>
      </c>
      <c r="X111" s="107">
        <f>+'SL32'!Q12</f>
        <v>0</v>
      </c>
      <c r="Y111" s="107">
        <f>+'SL32'!R12</f>
        <v>0</v>
      </c>
      <c r="Z111" s="107">
        <f>+'SL32'!S12</f>
        <v>0</v>
      </c>
    </row>
    <row r="112" spans="1:26" ht="48" x14ac:dyDescent="0.25">
      <c r="A112" t="str">
        <f t="shared" si="5"/>
        <v>I</v>
      </c>
      <c r="B112" s="227"/>
      <c r="C112" s="248"/>
      <c r="D112" s="248"/>
      <c r="E112" s="92" t="s">
        <v>496</v>
      </c>
      <c r="F112" s="95" t="s">
        <v>211</v>
      </c>
      <c r="G112" s="171" t="str">
        <f t="shared" si="6"/>
        <v>I</v>
      </c>
      <c r="H112" s="93" t="s">
        <v>73</v>
      </c>
      <c r="I112" s="91" t="s">
        <v>211</v>
      </c>
      <c r="J112" s="91"/>
      <c r="K112" s="25" t="s">
        <v>115</v>
      </c>
      <c r="L112" s="25"/>
      <c r="M112" s="62" t="s">
        <v>745</v>
      </c>
      <c r="N112" s="25" t="s">
        <v>660</v>
      </c>
      <c r="O112" s="186" t="s">
        <v>743</v>
      </c>
      <c r="P112" s="107"/>
      <c r="Q112" s="107">
        <f>+'SL33'!M24</f>
        <v>0</v>
      </c>
      <c r="R112" s="108">
        <f t="shared" si="7"/>
        <v>0</v>
      </c>
      <c r="S112" s="107">
        <f>+'SL33'!L12</f>
        <v>0</v>
      </c>
      <c r="T112" s="107">
        <f>+'SL33'!M12</f>
        <v>0</v>
      </c>
      <c r="U112" s="107">
        <f>+'SL33'!N12</f>
        <v>0</v>
      </c>
      <c r="V112" s="107">
        <f>+'SL33'!O12</f>
        <v>0</v>
      </c>
      <c r="W112" s="107">
        <f>+'SL33'!P12</f>
        <v>0</v>
      </c>
      <c r="X112" s="107">
        <f>+'SL33'!Q12</f>
        <v>0</v>
      </c>
      <c r="Y112" s="107">
        <f>+'SL33'!R12</f>
        <v>0</v>
      </c>
      <c r="Z112" s="107">
        <f>+'SL33'!S12</f>
        <v>0</v>
      </c>
    </row>
    <row r="113" spans="1:26" ht="72" x14ac:dyDescent="0.25">
      <c r="A113" t="str">
        <f t="shared" si="5"/>
        <v>I</v>
      </c>
      <c r="B113" s="227"/>
      <c r="C113" s="93" t="s">
        <v>215</v>
      </c>
      <c r="D113" s="93" t="s">
        <v>214</v>
      </c>
      <c r="E113" s="92" t="s">
        <v>498</v>
      </c>
      <c r="F113" s="93" t="s">
        <v>213</v>
      </c>
      <c r="G113" s="171" t="str">
        <f t="shared" si="6"/>
        <v>I</v>
      </c>
      <c r="H113" s="93" t="s">
        <v>74</v>
      </c>
      <c r="I113" s="85" t="s">
        <v>213</v>
      </c>
      <c r="J113" s="85"/>
      <c r="K113" s="25" t="s">
        <v>91</v>
      </c>
      <c r="L113" s="25" t="s">
        <v>605</v>
      </c>
      <c r="M113" s="62" t="s">
        <v>745</v>
      </c>
      <c r="N113" s="25" t="s">
        <v>723</v>
      </c>
      <c r="O113" s="186" t="s">
        <v>742</v>
      </c>
      <c r="P113" s="107"/>
      <c r="Q113" s="107">
        <f>+'SL34'!M23</f>
        <v>267.47547169811327</v>
      </c>
      <c r="R113" s="108">
        <f t="shared" si="7"/>
        <v>283.52400000000006</v>
      </c>
      <c r="S113" s="107">
        <f>+'SL34'!L12</f>
        <v>0</v>
      </c>
      <c r="T113" s="107">
        <f>+'SL34'!M12</f>
        <v>0</v>
      </c>
      <c r="U113" s="107">
        <f>+'SL34'!N12</f>
        <v>0</v>
      </c>
      <c r="V113" s="107">
        <f>+'SL34'!O12</f>
        <v>0</v>
      </c>
      <c r="W113" s="107">
        <f>+'SL34'!P12</f>
        <v>0</v>
      </c>
      <c r="X113" s="107">
        <f>+'SL34'!Q12</f>
        <v>283.52400000000006</v>
      </c>
      <c r="Y113" s="107">
        <f>+'SL34'!R12</f>
        <v>0</v>
      </c>
      <c r="Z113" s="107">
        <f>+'SL34'!S12</f>
        <v>0</v>
      </c>
    </row>
    <row r="114" spans="1:26" ht="48" x14ac:dyDescent="0.25">
      <c r="A114" t="str">
        <f t="shared" si="5"/>
        <v>I</v>
      </c>
      <c r="B114" s="227"/>
      <c r="C114" s="246" t="s">
        <v>135</v>
      </c>
      <c r="D114" s="246" t="s">
        <v>216</v>
      </c>
      <c r="E114" s="92" t="s">
        <v>501</v>
      </c>
      <c r="F114" s="93" t="s">
        <v>509</v>
      </c>
      <c r="G114" s="171" t="str">
        <f t="shared" si="6"/>
        <v>I</v>
      </c>
      <c r="H114" s="93" t="s">
        <v>75</v>
      </c>
      <c r="I114" s="62" t="s">
        <v>511</v>
      </c>
      <c r="J114" s="62"/>
      <c r="K114" s="25" t="s">
        <v>91</v>
      </c>
      <c r="L114" s="25" t="s">
        <v>571</v>
      </c>
      <c r="M114" s="62" t="s">
        <v>745</v>
      </c>
      <c r="N114" s="25" t="s">
        <v>735</v>
      </c>
      <c r="O114" s="186" t="s">
        <v>738</v>
      </c>
      <c r="P114" s="107"/>
      <c r="Q114" s="107">
        <f>+'SL35'!M24</f>
        <v>220.00711997152013</v>
      </c>
      <c r="R114" s="108">
        <f t="shared" si="7"/>
        <v>240</v>
      </c>
      <c r="S114" s="107">
        <f>+'SL35'!L20</f>
        <v>0</v>
      </c>
      <c r="T114" s="107">
        <f>+'SL35'!M20</f>
        <v>0</v>
      </c>
      <c r="U114" s="107">
        <f>+'SL35'!N20</f>
        <v>0</v>
      </c>
      <c r="V114" s="107">
        <f>+'SL35'!O20</f>
        <v>0</v>
      </c>
      <c r="W114" s="107">
        <f>+'SL35'!P20</f>
        <v>0</v>
      </c>
      <c r="X114" s="107">
        <f>+'SL35'!Q20</f>
        <v>240</v>
      </c>
      <c r="Y114" s="107">
        <f>+'SL35'!R20</f>
        <v>0</v>
      </c>
      <c r="Z114" s="107">
        <f>+'SL35'!S20</f>
        <v>0</v>
      </c>
    </row>
    <row r="115" spans="1:26" ht="60" x14ac:dyDescent="0.25">
      <c r="A115" t="str">
        <f t="shared" si="5"/>
        <v>I</v>
      </c>
      <c r="B115" s="228"/>
      <c r="C115" s="248"/>
      <c r="D115" s="248"/>
      <c r="E115" s="92" t="s">
        <v>504</v>
      </c>
      <c r="F115" s="93" t="s">
        <v>218</v>
      </c>
      <c r="G115" s="171" t="str">
        <f t="shared" si="6"/>
        <v>I</v>
      </c>
      <c r="H115" s="93" t="s">
        <v>715</v>
      </c>
      <c r="I115" s="85" t="s">
        <v>218</v>
      </c>
      <c r="J115" s="85"/>
      <c r="K115" s="25" t="s">
        <v>115</v>
      </c>
      <c r="L115" s="25"/>
      <c r="M115" s="62" t="s">
        <v>745</v>
      </c>
      <c r="N115" s="25" t="s">
        <v>736</v>
      </c>
      <c r="O115" s="186" t="s">
        <v>738</v>
      </c>
      <c r="P115" s="107"/>
      <c r="Q115" s="107">
        <f>+'SL36'!M24</f>
        <v>0</v>
      </c>
      <c r="R115" s="108">
        <f t="shared" si="7"/>
        <v>0</v>
      </c>
      <c r="S115" s="107">
        <f>+'SL36'!L12</f>
        <v>0</v>
      </c>
      <c r="T115" s="107">
        <f>+'SL36'!M12</f>
        <v>0</v>
      </c>
      <c r="U115" s="107">
        <f>+'SL36'!N12</f>
        <v>0</v>
      </c>
      <c r="V115" s="107">
        <f>+'SL36'!O12</f>
        <v>0</v>
      </c>
      <c r="W115" s="107">
        <f>+'SL36'!P12</f>
        <v>0</v>
      </c>
      <c r="X115" s="107">
        <f>+'SL36'!Q12</f>
        <v>0</v>
      </c>
      <c r="Y115" s="107">
        <f>+'SL36'!R12</f>
        <v>0</v>
      </c>
      <c r="Z115" s="107">
        <f>+'SL36'!S12</f>
        <v>0</v>
      </c>
    </row>
    <row r="116" spans="1:26" ht="48" x14ac:dyDescent="0.25">
      <c r="A116" t="str">
        <f t="shared" si="5"/>
        <v>I</v>
      </c>
      <c r="B116" s="226" t="s">
        <v>750</v>
      </c>
      <c r="C116" s="237" t="s">
        <v>221</v>
      </c>
      <c r="D116" s="237" t="s">
        <v>220</v>
      </c>
      <c r="E116" s="96" t="s">
        <v>506</v>
      </c>
      <c r="F116" s="97" t="s">
        <v>219</v>
      </c>
      <c r="G116" s="171" t="str">
        <f t="shared" si="6"/>
        <v>I</v>
      </c>
      <c r="H116" s="97" t="s">
        <v>716</v>
      </c>
      <c r="I116" s="85" t="s">
        <v>746</v>
      </c>
      <c r="J116" s="85"/>
      <c r="K116" s="25" t="s">
        <v>91</v>
      </c>
      <c r="L116" s="25" t="s">
        <v>571</v>
      </c>
      <c r="M116" s="62" t="s">
        <v>580</v>
      </c>
      <c r="N116" s="25" t="s">
        <v>736</v>
      </c>
      <c r="O116" s="186" t="s">
        <v>737</v>
      </c>
      <c r="P116" s="107"/>
      <c r="Q116" s="107">
        <f>+'SL37'!M24</f>
        <v>414.53008187967248</v>
      </c>
      <c r="R116" s="108">
        <f t="shared" si="7"/>
        <v>452.2</v>
      </c>
      <c r="S116" s="107">
        <f>+'SL37'!L12</f>
        <v>0</v>
      </c>
      <c r="T116" s="107">
        <f>+'SL37'!M12</f>
        <v>226.1</v>
      </c>
      <c r="U116" s="107">
        <f>+'SL37'!N12</f>
        <v>226.1</v>
      </c>
      <c r="V116" s="107">
        <f>+'SL37'!O12</f>
        <v>0</v>
      </c>
      <c r="W116" s="107">
        <f>+'SL37'!P12</f>
        <v>0</v>
      </c>
      <c r="X116" s="107">
        <f>+'SL37'!Q12</f>
        <v>0</v>
      </c>
      <c r="Y116" s="107">
        <f>+'SL37'!R12</f>
        <v>0</v>
      </c>
      <c r="Z116" s="107">
        <f>+'SL37'!S12</f>
        <v>0</v>
      </c>
    </row>
    <row r="117" spans="1:26" ht="48" x14ac:dyDescent="0.25">
      <c r="A117" t="str">
        <f t="shared" si="5"/>
        <v>I</v>
      </c>
      <c r="B117" s="227"/>
      <c r="C117" s="238"/>
      <c r="D117" s="238"/>
      <c r="E117" s="96" t="s">
        <v>508</v>
      </c>
      <c r="F117" s="97" t="s">
        <v>223</v>
      </c>
      <c r="G117" s="171" t="str">
        <f t="shared" si="6"/>
        <v>I</v>
      </c>
      <c r="H117" s="97" t="s">
        <v>717</v>
      </c>
      <c r="I117" s="85" t="s">
        <v>223</v>
      </c>
      <c r="J117" s="85"/>
      <c r="K117" s="25" t="s">
        <v>91</v>
      </c>
      <c r="L117" s="25" t="s">
        <v>571</v>
      </c>
      <c r="M117" s="62" t="s">
        <v>618</v>
      </c>
      <c r="N117" s="25" t="s">
        <v>736</v>
      </c>
      <c r="O117" s="186" t="s">
        <v>738</v>
      </c>
      <c r="P117" s="107"/>
      <c r="Q117" s="107">
        <f>+'SL38'!M24</f>
        <v>250.94339622641508</v>
      </c>
      <c r="R117" s="108">
        <f t="shared" si="7"/>
        <v>266</v>
      </c>
      <c r="S117" s="107">
        <f>+'SL38'!L12</f>
        <v>0</v>
      </c>
      <c r="T117" s="107">
        <f>+'SL38'!M12</f>
        <v>0</v>
      </c>
      <c r="U117" s="107">
        <f>+'SL38'!N12</f>
        <v>0</v>
      </c>
      <c r="V117" s="107">
        <f>+'SL38'!O12</f>
        <v>0</v>
      </c>
      <c r="W117" s="107">
        <f>+'SL38'!P12</f>
        <v>0</v>
      </c>
      <c r="X117" s="107">
        <f>+'SL38'!Q12</f>
        <v>266</v>
      </c>
      <c r="Y117" s="107">
        <f>+'SL38'!R12</f>
        <v>0</v>
      </c>
      <c r="Z117" s="107">
        <f>+'SL38'!S12</f>
        <v>0</v>
      </c>
    </row>
    <row r="118" spans="1:26" ht="48" x14ac:dyDescent="0.25">
      <c r="A118" t="str">
        <f t="shared" si="5"/>
        <v>I</v>
      </c>
      <c r="B118" s="227"/>
      <c r="C118" s="238"/>
      <c r="D118" s="239"/>
      <c r="E118" s="96" t="s">
        <v>512</v>
      </c>
      <c r="F118" s="97" t="s">
        <v>224</v>
      </c>
      <c r="G118" s="171" t="str">
        <f t="shared" si="6"/>
        <v>I</v>
      </c>
      <c r="H118" s="97" t="s">
        <v>493</v>
      </c>
      <c r="I118" s="85" t="s">
        <v>224</v>
      </c>
      <c r="J118" s="85"/>
      <c r="K118" s="25" t="s">
        <v>91</v>
      </c>
      <c r="L118" s="25" t="s">
        <v>571</v>
      </c>
      <c r="M118" s="62" t="s">
        <v>580</v>
      </c>
      <c r="N118" s="25" t="s">
        <v>721</v>
      </c>
      <c r="O118" s="186" t="s">
        <v>737</v>
      </c>
      <c r="P118" s="107"/>
      <c r="Q118" s="107">
        <f>+'SL39'!M24</f>
        <v>414.53008187967248</v>
      </c>
      <c r="R118" s="108">
        <f t="shared" si="7"/>
        <v>452.2</v>
      </c>
      <c r="S118" s="107">
        <f>+'SL39'!L12</f>
        <v>0</v>
      </c>
      <c r="T118" s="107">
        <f>+'SL39'!M12</f>
        <v>0</v>
      </c>
      <c r="U118" s="107">
        <f>+'SL39'!N12</f>
        <v>0</v>
      </c>
      <c r="V118" s="107">
        <f>+'SL39'!O12</f>
        <v>0</v>
      </c>
      <c r="W118" s="107">
        <f>+'SL39'!P12</f>
        <v>0</v>
      </c>
      <c r="X118" s="107">
        <f>+'SL39'!Q12</f>
        <v>452.2</v>
      </c>
      <c r="Y118" s="107">
        <f>+'SL39'!R12</f>
        <v>0</v>
      </c>
      <c r="Z118" s="107">
        <f>+'SL39'!S12</f>
        <v>0</v>
      </c>
    </row>
    <row r="119" spans="1:26" ht="60" x14ac:dyDescent="0.25">
      <c r="A119" t="str">
        <f t="shared" si="5"/>
        <v>I</v>
      </c>
      <c r="B119" s="228"/>
      <c r="C119" s="239"/>
      <c r="D119" s="97" t="s">
        <v>226</v>
      </c>
      <c r="E119" s="96" t="s">
        <v>515</v>
      </c>
      <c r="F119" s="97" t="s">
        <v>225</v>
      </c>
      <c r="G119" s="171" t="str">
        <f t="shared" si="6"/>
        <v>I</v>
      </c>
      <c r="H119" s="97" t="s">
        <v>497</v>
      </c>
      <c r="I119" s="85" t="s">
        <v>225</v>
      </c>
      <c r="J119" s="85"/>
      <c r="K119" s="25" t="s">
        <v>115</v>
      </c>
      <c r="L119" s="25"/>
      <c r="M119" s="62" t="s">
        <v>617</v>
      </c>
      <c r="N119" s="25" t="s">
        <v>723</v>
      </c>
      <c r="O119" s="186" t="s">
        <v>742</v>
      </c>
      <c r="P119" s="107"/>
      <c r="Q119" s="107">
        <f>+'SL40'!M24</f>
        <v>0</v>
      </c>
      <c r="R119" s="108">
        <f t="shared" si="7"/>
        <v>0</v>
      </c>
      <c r="S119" s="107">
        <f>+'SL40'!L12</f>
        <v>0</v>
      </c>
      <c r="T119" s="107">
        <f>+'SL40'!M12</f>
        <v>0</v>
      </c>
      <c r="U119" s="107">
        <f>+'SL40'!N12</f>
        <v>0</v>
      </c>
      <c r="V119" s="107">
        <f>+'SL40'!O12</f>
        <v>0</v>
      </c>
      <c r="W119" s="107">
        <f>+'SL40'!P12</f>
        <v>0</v>
      </c>
      <c r="X119" s="107">
        <f>+'SL40'!Q12</f>
        <v>0</v>
      </c>
      <c r="Y119" s="107">
        <f>+'SL40'!R12</f>
        <v>0</v>
      </c>
      <c r="Z119" s="107">
        <f>+'SL40'!S12</f>
        <v>0</v>
      </c>
    </row>
    <row r="120" spans="1:26" ht="15" customHeight="1" x14ac:dyDescent="0.25">
      <c r="A120" t="str">
        <f t="shared" si="5"/>
        <v>I</v>
      </c>
      <c r="B120" s="226" t="s">
        <v>751</v>
      </c>
      <c r="C120" s="223" t="s">
        <v>524</v>
      </c>
      <c r="D120" s="223" t="s">
        <v>228</v>
      </c>
      <c r="E120" s="220" t="s">
        <v>517</v>
      </c>
      <c r="F120" s="223" t="s">
        <v>227</v>
      </c>
      <c r="G120" s="171" t="str">
        <f t="shared" si="6"/>
        <v>I</v>
      </c>
      <c r="H120" s="98" t="s">
        <v>499</v>
      </c>
      <c r="I120" s="62" t="s">
        <v>526</v>
      </c>
      <c r="J120" s="62"/>
      <c r="K120" s="25" t="s">
        <v>91</v>
      </c>
      <c r="L120" s="25" t="s">
        <v>571</v>
      </c>
      <c r="M120" s="62" t="s">
        <v>803</v>
      </c>
      <c r="N120" s="25" t="s">
        <v>134</v>
      </c>
      <c r="O120" s="186" t="s">
        <v>743</v>
      </c>
      <c r="P120" s="107"/>
      <c r="Q120" s="107">
        <f>+'SL41'!M24</f>
        <v>224.66027055891777</v>
      </c>
      <c r="R120" s="108">
        <f t="shared" si="7"/>
        <v>245.07600000000002</v>
      </c>
      <c r="S120" s="107">
        <f>+'SL41'!L12</f>
        <v>0</v>
      </c>
      <c r="T120" s="107">
        <f>+'SL41'!M12</f>
        <v>0</v>
      </c>
      <c r="U120" s="107">
        <f>+'SL41'!N12</f>
        <v>0</v>
      </c>
      <c r="V120" s="107">
        <f>+'SL41'!O12</f>
        <v>0</v>
      </c>
      <c r="W120" s="107">
        <f>+'SL41'!P12</f>
        <v>0</v>
      </c>
      <c r="X120" s="107">
        <f>+'SL41'!Q12</f>
        <v>245.07600000000002</v>
      </c>
      <c r="Y120" s="107">
        <f>+'SL41'!R12</f>
        <v>0</v>
      </c>
      <c r="Z120" s="107">
        <f>+'SL41'!S12</f>
        <v>0</v>
      </c>
    </row>
    <row r="121" spans="1:26" x14ac:dyDescent="0.25">
      <c r="A121" t="str">
        <f t="shared" si="5"/>
        <v>I</v>
      </c>
      <c r="B121" s="227"/>
      <c r="C121" s="224"/>
      <c r="D121" s="224"/>
      <c r="E121" s="221"/>
      <c r="F121" s="224"/>
      <c r="G121" s="171" t="str">
        <f t="shared" si="6"/>
        <v>I</v>
      </c>
      <c r="H121" s="98" t="s">
        <v>502</v>
      </c>
      <c r="I121" s="62" t="s">
        <v>528</v>
      </c>
      <c r="J121" s="62"/>
      <c r="K121" s="25" t="s">
        <v>91</v>
      </c>
      <c r="L121" s="25" t="s">
        <v>571</v>
      </c>
      <c r="M121" s="62" t="s">
        <v>803</v>
      </c>
      <c r="N121" s="25" t="s">
        <v>134</v>
      </c>
      <c r="O121" s="186" t="s">
        <v>743</v>
      </c>
      <c r="P121" s="107"/>
      <c r="Q121" s="107">
        <f>+'SL41'!M25</f>
        <v>295.15055179779284</v>
      </c>
      <c r="R121" s="108">
        <f t="shared" si="7"/>
        <v>321.97200000000004</v>
      </c>
      <c r="S121" s="107">
        <f>+'SL41'!L13</f>
        <v>0</v>
      </c>
      <c r="T121" s="107">
        <f>+'SL41'!M13</f>
        <v>0</v>
      </c>
      <c r="U121" s="107">
        <f>+'SL41'!N13</f>
        <v>0</v>
      </c>
      <c r="V121" s="107">
        <f>+'SL41'!O13</f>
        <v>0</v>
      </c>
      <c r="W121" s="107">
        <f>+'SL41'!P13</f>
        <v>0</v>
      </c>
      <c r="X121" s="107">
        <f>+'SL41'!Q13</f>
        <v>321.97200000000004</v>
      </c>
      <c r="Y121" s="107">
        <f>+'SL41'!R13</f>
        <v>0</v>
      </c>
      <c r="Z121" s="107">
        <f>+'SL41'!S13</f>
        <v>0</v>
      </c>
    </row>
    <row r="122" spans="1:26" x14ac:dyDescent="0.25">
      <c r="A122" t="str">
        <f t="shared" si="5"/>
        <v>I</v>
      </c>
      <c r="B122" s="227"/>
      <c r="C122" s="224"/>
      <c r="D122" s="224"/>
      <c r="E122" s="221"/>
      <c r="F122" s="224"/>
      <c r="G122" s="171" t="str">
        <f t="shared" si="6"/>
        <v>I</v>
      </c>
      <c r="H122" s="98" t="s">
        <v>505</v>
      </c>
      <c r="I122" s="62" t="s">
        <v>530</v>
      </c>
      <c r="J122" s="62"/>
      <c r="K122" s="25" t="s">
        <v>91</v>
      </c>
      <c r="L122" s="25" t="s">
        <v>571</v>
      </c>
      <c r="M122" s="62" t="s">
        <v>803</v>
      </c>
      <c r="N122" s="25" t="s">
        <v>134</v>
      </c>
      <c r="O122" s="186" t="s">
        <v>743</v>
      </c>
      <c r="P122" s="107"/>
      <c r="Q122" s="107">
        <f>+'SL41'!M26</f>
        <v>224.66027055891777</v>
      </c>
      <c r="R122" s="108">
        <f t="shared" si="7"/>
        <v>245.07600000000002</v>
      </c>
      <c r="S122" s="107">
        <f>+'SL41'!L14</f>
        <v>122.53800000000001</v>
      </c>
      <c r="T122" s="107">
        <f>+'SL41'!M14</f>
        <v>122.53800000000001</v>
      </c>
      <c r="U122" s="107">
        <f>+'SL41'!N14</f>
        <v>0</v>
      </c>
      <c r="V122" s="107">
        <f>+'SL41'!O14</f>
        <v>0</v>
      </c>
      <c r="W122" s="107">
        <f>+'SL41'!P14</f>
        <v>0</v>
      </c>
      <c r="X122" s="107">
        <f>+'SL41'!Q14</f>
        <v>0</v>
      </c>
      <c r="Y122" s="107">
        <f>+'SL41'!R14</f>
        <v>0</v>
      </c>
      <c r="Z122" s="107">
        <f>+'SL41'!S14</f>
        <v>0</v>
      </c>
    </row>
    <row r="123" spans="1:26" x14ac:dyDescent="0.25">
      <c r="A123" t="str">
        <f t="shared" si="5"/>
        <v>I</v>
      </c>
      <c r="B123" s="227"/>
      <c r="C123" s="224"/>
      <c r="D123" s="224"/>
      <c r="E123" s="222"/>
      <c r="F123" s="225"/>
      <c r="G123" s="171" t="str">
        <f t="shared" si="6"/>
        <v>I</v>
      </c>
      <c r="H123" s="98" t="s">
        <v>507</v>
      </c>
      <c r="I123" s="62" t="s">
        <v>532</v>
      </c>
      <c r="J123" s="62"/>
      <c r="K123" s="25" t="s">
        <v>91</v>
      </c>
      <c r="L123" s="25" t="s">
        <v>571</v>
      </c>
      <c r="M123" s="62" t="s">
        <v>803</v>
      </c>
      <c r="N123" s="25" t="s">
        <v>134</v>
      </c>
      <c r="O123" s="186" t="s">
        <v>743</v>
      </c>
      <c r="P123" s="107"/>
      <c r="Q123" s="107">
        <f>+'SL41'!M27</f>
        <v>224.66027055891777</v>
      </c>
      <c r="R123" s="108">
        <f t="shared" si="7"/>
        <v>245.07600000000002</v>
      </c>
      <c r="S123" s="107">
        <f>+'SL41'!L15</f>
        <v>0</v>
      </c>
      <c r="T123" s="107">
        <f>+'SL41'!M15</f>
        <v>0</v>
      </c>
      <c r="U123" s="107">
        <f>+'SL41'!N15</f>
        <v>0</v>
      </c>
      <c r="V123" s="107">
        <f>+'SL41'!O15</f>
        <v>0</v>
      </c>
      <c r="W123" s="107">
        <f>+'SL41'!P15</f>
        <v>0</v>
      </c>
      <c r="X123" s="107">
        <f>+'SL41'!Q15</f>
        <v>245.07600000000002</v>
      </c>
      <c r="Y123" s="107">
        <f>+'SL41'!R15</f>
        <v>0</v>
      </c>
      <c r="Z123" s="107">
        <f>+'SL41'!S15</f>
        <v>0</v>
      </c>
    </row>
    <row r="124" spans="1:26" ht="48" x14ac:dyDescent="0.25">
      <c r="A124" t="str">
        <f t="shared" si="5"/>
        <v>I</v>
      </c>
      <c r="B124" s="227"/>
      <c r="C124" s="224"/>
      <c r="D124" s="224"/>
      <c r="E124" s="99" t="s">
        <v>519</v>
      </c>
      <c r="F124" s="98" t="s">
        <v>230</v>
      </c>
      <c r="G124" s="171" t="str">
        <f t="shared" si="6"/>
        <v>I</v>
      </c>
      <c r="H124" s="98" t="s">
        <v>510</v>
      </c>
      <c r="I124" s="62" t="s">
        <v>534</v>
      </c>
      <c r="J124" s="62"/>
      <c r="K124" s="25" t="s">
        <v>91</v>
      </c>
      <c r="L124" s="25" t="s">
        <v>571</v>
      </c>
      <c r="M124" s="62" t="s">
        <v>803</v>
      </c>
      <c r="N124" s="25" t="s">
        <v>134</v>
      </c>
      <c r="O124" s="186" t="s">
        <v>743</v>
      </c>
      <c r="P124" s="107"/>
      <c r="Q124" s="107">
        <f>+'SL42'!M22</f>
        <v>231.20377358490566</v>
      </c>
      <c r="R124" s="108">
        <f t="shared" si="7"/>
        <v>245.07600000000002</v>
      </c>
      <c r="S124" s="107">
        <f>+'SL42'!L12</f>
        <v>0</v>
      </c>
      <c r="T124" s="107">
        <f>+'SL42'!M12</f>
        <v>0</v>
      </c>
      <c r="U124" s="107">
        <f>+'SL42'!N12</f>
        <v>245.07600000000002</v>
      </c>
      <c r="V124" s="107">
        <f>+'SL42'!O12</f>
        <v>0</v>
      </c>
      <c r="W124" s="107">
        <f>+'SL42'!P12</f>
        <v>0</v>
      </c>
      <c r="X124" s="107">
        <f>+'SL42'!Q12</f>
        <v>0</v>
      </c>
      <c r="Y124" s="107">
        <f>+'SL42'!R12</f>
        <v>0</v>
      </c>
      <c r="Z124" s="107">
        <f>+'SL42'!S12</f>
        <v>0</v>
      </c>
    </row>
    <row r="125" spans="1:26" ht="36" x14ac:dyDescent="0.25">
      <c r="A125" t="str">
        <f t="shared" si="5"/>
        <v>I</v>
      </c>
      <c r="B125" s="228"/>
      <c r="C125" s="225"/>
      <c r="D125" s="225"/>
      <c r="E125" s="99" t="s">
        <v>521</v>
      </c>
      <c r="F125" s="98" t="s">
        <v>231</v>
      </c>
      <c r="G125" s="171" t="str">
        <f t="shared" si="6"/>
        <v>I</v>
      </c>
      <c r="H125" s="98" t="s">
        <v>513</v>
      </c>
      <c r="I125" s="62" t="s">
        <v>536</v>
      </c>
      <c r="J125" s="62"/>
      <c r="K125" s="25" t="s">
        <v>91</v>
      </c>
      <c r="L125" s="25" t="s">
        <v>571</v>
      </c>
      <c r="M125" s="62" t="s">
        <v>803</v>
      </c>
      <c r="N125" s="25" t="s">
        <v>134</v>
      </c>
      <c r="O125" s="186" t="s">
        <v>743</v>
      </c>
      <c r="P125" s="107"/>
      <c r="Q125" s="107">
        <f>+'SL43'!M22</f>
        <v>224.66027055891777</v>
      </c>
      <c r="R125" s="108">
        <f t="shared" si="7"/>
        <v>245.07600000000002</v>
      </c>
      <c r="S125" s="107">
        <f>+'SL43'!L12</f>
        <v>0</v>
      </c>
      <c r="T125" s="107">
        <f>+'SL43'!M12</f>
        <v>0</v>
      </c>
      <c r="U125" s="107">
        <f>+'SL43'!N12</f>
        <v>0</v>
      </c>
      <c r="V125" s="107">
        <f>+'SL43'!O12</f>
        <v>122.53800000000001</v>
      </c>
      <c r="W125" s="107">
        <f>+'SL43'!P12</f>
        <v>122.53800000000001</v>
      </c>
      <c r="X125" s="107">
        <f>+'SL43'!Q12</f>
        <v>0</v>
      </c>
      <c r="Y125" s="107">
        <f>+'SL43'!R12</f>
        <v>0</v>
      </c>
      <c r="Z125" s="107">
        <f>+'SL43'!S12</f>
        <v>0</v>
      </c>
    </row>
    <row r="126" spans="1:26" ht="24" x14ac:dyDescent="0.25">
      <c r="A126" t="str">
        <f t="shared" si="5"/>
        <v>I</v>
      </c>
      <c r="B126" s="226" t="s">
        <v>624</v>
      </c>
      <c r="C126" s="229" t="s">
        <v>538</v>
      </c>
      <c r="D126" s="229" t="s">
        <v>233</v>
      </c>
      <c r="E126" s="100" t="s">
        <v>539</v>
      </c>
      <c r="F126" s="101" t="s">
        <v>232</v>
      </c>
      <c r="G126" s="171" t="str">
        <f t="shared" si="6"/>
        <v>I</v>
      </c>
      <c r="H126" s="101" t="s">
        <v>516</v>
      </c>
      <c r="I126" s="102" t="s">
        <v>232</v>
      </c>
      <c r="J126" s="102"/>
      <c r="K126" s="25" t="s">
        <v>115</v>
      </c>
      <c r="L126" s="25" t="s">
        <v>115</v>
      </c>
      <c r="M126" s="62" t="s">
        <v>624</v>
      </c>
      <c r="N126" s="25" t="s">
        <v>134</v>
      </c>
      <c r="O126" s="186" t="s">
        <v>743</v>
      </c>
      <c r="P126" s="107"/>
      <c r="Q126" s="107">
        <f>+'SLI01'!M22</f>
        <v>25.274182713394278</v>
      </c>
      <c r="R126" s="108">
        <f t="shared" si="7"/>
        <v>30</v>
      </c>
      <c r="S126" s="107">
        <f>+'SLI01'!L12</f>
        <v>6</v>
      </c>
      <c r="T126" s="107">
        <f>+'SLI01'!M12</f>
        <v>6</v>
      </c>
      <c r="U126" s="107">
        <f>+'SLI01'!N12</f>
        <v>6</v>
      </c>
      <c r="V126" s="107">
        <f>+'SLI01'!O12</f>
        <v>6</v>
      </c>
      <c r="W126" s="107">
        <f>+'SLI01'!P12</f>
        <v>6</v>
      </c>
      <c r="X126" s="107">
        <f>+'SLI01'!Q12</f>
        <v>0</v>
      </c>
      <c r="Y126" s="107">
        <f>+'SLI01'!R12</f>
        <v>0</v>
      </c>
      <c r="Z126" s="107">
        <f>+'SLI01'!S12</f>
        <v>0</v>
      </c>
    </row>
    <row r="127" spans="1:26" ht="36" x14ac:dyDescent="0.25">
      <c r="A127" t="str">
        <f t="shared" si="5"/>
        <v>I</v>
      </c>
      <c r="B127" s="227"/>
      <c r="C127" s="230"/>
      <c r="D127" s="230"/>
      <c r="E127" s="100" t="s">
        <v>541</v>
      </c>
      <c r="F127" s="101" t="s">
        <v>235</v>
      </c>
      <c r="G127" s="171" t="str">
        <f t="shared" si="6"/>
        <v>I</v>
      </c>
      <c r="H127" s="164" t="s">
        <v>518</v>
      </c>
      <c r="I127" s="102" t="s">
        <v>235</v>
      </c>
      <c r="J127" s="102"/>
      <c r="K127" s="25" t="s">
        <v>115</v>
      </c>
      <c r="L127" s="25" t="s">
        <v>115</v>
      </c>
      <c r="M127" s="62" t="s">
        <v>624</v>
      </c>
      <c r="N127" s="25" t="s">
        <v>134</v>
      </c>
      <c r="O127" s="186" t="s">
        <v>743</v>
      </c>
      <c r="P127" s="107"/>
      <c r="Q127" s="107">
        <f>+'SLI02'!M22</f>
        <v>0</v>
      </c>
      <c r="R127" s="108">
        <f t="shared" si="7"/>
        <v>0</v>
      </c>
      <c r="S127" s="107">
        <f>+'SLI02'!L12</f>
        <v>0</v>
      </c>
      <c r="T127" s="107">
        <f>+'SLI02'!M12</f>
        <v>0</v>
      </c>
      <c r="U127" s="107">
        <f>+'SLI02'!N12</f>
        <v>0</v>
      </c>
      <c r="V127" s="107">
        <f>+'SLI02'!O12</f>
        <v>0</v>
      </c>
      <c r="W127" s="107">
        <f>+'SLI02'!P12</f>
        <v>0</v>
      </c>
      <c r="X127" s="107">
        <f>+'SLI02'!Q12</f>
        <v>0</v>
      </c>
      <c r="Y127" s="107">
        <f>+'SLI02'!R12</f>
        <v>0</v>
      </c>
      <c r="Z127" s="107">
        <f>+'SLI02'!S12</f>
        <v>0</v>
      </c>
    </row>
    <row r="128" spans="1:26" ht="48" x14ac:dyDescent="0.25">
      <c r="A128" t="str">
        <f t="shared" si="5"/>
        <v>I</v>
      </c>
      <c r="B128" s="227"/>
      <c r="C128" s="231"/>
      <c r="D128" s="231"/>
      <c r="E128" s="100" t="s">
        <v>543</v>
      </c>
      <c r="F128" s="101" t="s">
        <v>236</v>
      </c>
      <c r="G128" s="171" t="str">
        <f t="shared" si="6"/>
        <v>I</v>
      </c>
      <c r="H128" s="164" t="s">
        <v>520</v>
      </c>
      <c r="I128" s="102" t="s">
        <v>236</v>
      </c>
      <c r="J128" s="102"/>
      <c r="K128" s="25" t="s">
        <v>115</v>
      </c>
      <c r="L128" s="25" t="s">
        <v>115</v>
      </c>
      <c r="M128" s="62" t="s">
        <v>624</v>
      </c>
      <c r="N128" s="25" t="s">
        <v>134</v>
      </c>
      <c r="O128" s="186" t="s">
        <v>743</v>
      </c>
      <c r="P128" s="107"/>
      <c r="Q128" s="107">
        <f>+'SLI03'!M22</f>
        <v>42.123637855657137</v>
      </c>
      <c r="R128" s="108">
        <f t="shared" si="7"/>
        <v>50</v>
      </c>
      <c r="S128" s="107">
        <f>+'SLI03'!L12</f>
        <v>10</v>
      </c>
      <c r="T128" s="107">
        <f>+'SLI03'!M12</f>
        <v>10</v>
      </c>
      <c r="U128" s="107">
        <f>+'SLI03'!N12</f>
        <v>10</v>
      </c>
      <c r="V128" s="107">
        <f>+'SLI03'!O12</f>
        <v>10</v>
      </c>
      <c r="W128" s="107">
        <f>+'SLI03'!P12</f>
        <v>10</v>
      </c>
      <c r="X128" s="107">
        <f>+'SLI03'!Q12</f>
        <v>0</v>
      </c>
      <c r="Y128" s="107">
        <f>+'SLI03'!R12</f>
        <v>0</v>
      </c>
      <c r="Z128" s="107">
        <f>+'SLI03'!S12</f>
        <v>0</v>
      </c>
    </row>
    <row r="129" spans="1:26" ht="72" x14ac:dyDescent="0.25">
      <c r="A129" t="str">
        <f t="shared" si="5"/>
        <v>I</v>
      </c>
      <c r="B129" s="227"/>
      <c r="C129" s="101" t="s">
        <v>238</v>
      </c>
      <c r="D129" s="101" t="s">
        <v>237</v>
      </c>
      <c r="E129" s="100" t="s">
        <v>545</v>
      </c>
      <c r="F129" s="101" t="s">
        <v>239</v>
      </c>
      <c r="G129" s="171" t="str">
        <f t="shared" si="6"/>
        <v>I</v>
      </c>
      <c r="H129" s="164" t="s">
        <v>522</v>
      </c>
      <c r="I129" s="102" t="s">
        <v>239</v>
      </c>
      <c r="J129" s="102"/>
      <c r="K129" s="25" t="s">
        <v>115</v>
      </c>
      <c r="L129" s="25" t="s">
        <v>115</v>
      </c>
      <c r="M129" s="62" t="s">
        <v>624</v>
      </c>
      <c r="N129" s="25" t="s">
        <v>134</v>
      </c>
      <c r="O129" s="186" t="s">
        <v>743</v>
      </c>
      <c r="P129" s="107"/>
      <c r="Q129" s="107">
        <f>+'SLI04'!M22</f>
        <v>113.73382221027425</v>
      </c>
      <c r="R129" s="108">
        <f t="shared" si="7"/>
        <v>135</v>
      </c>
      <c r="S129" s="107">
        <f>+'SLI04'!L18</f>
        <v>27</v>
      </c>
      <c r="T129" s="107">
        <f>+'SLI04'!M18</f>
        <v>27</v>
      </c>
      <c r="U129" s="107">
        <f>+'SLI04'!N18</f>
        <v>27</v>
      </c>
      <c r="V129" s="107">
        <f>+'SLI04'!O18</f>
        <v>27</v>
      </c>
      <c r="W129" s="107">
        <f>+'SLI04'!P18</f>
        <v>27</v>
      </c>
      <c r="X129" s="107">
        <f>+'SLI04'!Q18</f>
        <v>0</v>
      </c>
      <c r="Y129" s="107">
        <f>+'SLI04'!R18</f>
        <v>0</v>
      </c>
      <c r="Z129" s="107">
        <f>+'SLI04'!S18</f>
        <v>0</v>
      </c>
    </row>
    <row r="130" spans="1:26" ht="48" x14ac:dyDescent="0.25">
      <c r="A130" t="str">
        <f t="shared" si="5"/>
        <v>I</v>
      </c>
      <c r="B130" s="227"/>
      <c r="C130" s="229" t="s">
        <v>241</v>
      </c>
      <c r="D130" s="232" t="s">
        <v>240</v>
      </c>
      <c r="E130" s="100" t="s">
        <v>547</v>
      </c>
      <c r="F130" s="101" t="s">
        <v>548</v>
      </c>
      <c r="G130" s="171" t="str">
        <f t="shared" si="6"/>
        <v>I</v>
      </c>
      <c r="H130" s="164" t="s">
        <v>525</v>
      </c>
      <c r="I130" s="102" t="s">
        <v>548</v>
      </c>
      <c r="J130" s="102"/>
      <c r="K130" s="25" t="s">
        <v>115</v>
      </c>
      <c r="L130" s="25" t="s">
        <v>115</v>
      </c>
      <c r="M130" s="62" t="s">
        <v>624</v>
      </c>
      <c r="N130" s="25" t="s">
        <v>134</v>
      </c>
      <c r="O130" s="186" t="s">
        <v>743</v>
      </c>
      <c r="P130" s="107"/>
      <c r="Q130" s="107">
        <f>+'SLI05'!M24</f>
        <v>1194.6095201312939</v>
      </c>
      <c r="R130" s="108">
        <f t="shared" si="7"/>
        <v>1417.98</v>
      </c>
      <c r="S130" s="107">
        <f>+'SLI05'!L20</f>
        <v>283.596</v>
      </c>
      <c r="T130" s="107">
        <f>+'SLI05'!M20</f>
        <v>283.596</v>
      </c>
      <c r="U130" s="107">
        <f>+'SLI05'!N20</f>
        <v>283.596</v>
      </c>
      <c r="V130" s="107">
        <f>+'SLI05'!O20</f>
        <v>283.596</v>
      </c>
      <c r="W130" s="107">
        <f>+'SLI05'!P20</f>
        <v>283.596</v>
      </c>
      <c r="X130" s="107">
        <f>+'SLI05'!Q20</f>
        <v>0</v>
      </c>
      <c r="Y130" s="107">
        <f>+'SLI05'!R20</f>
        <v>0</v>
      </c>
      <c r="Z130" s="107">
        <f>+'SLI05'!S20</f>
        <v>0</v>
      </c>
    </row>
    <row r="131" spans="1:26" ht="72" x14ac:dyDescent="0.25">
      <c r="A131" t="str">
        <f t="shared" si="5"/>
        <v>I</v>
      </c>
      <c r="B131" s="227"/>
      <c r="C131" s="230"/>
      <c r="D131" s="232"/>
      <c r="E131" s="100" t="s">
        <v>550</v>
      </c>
      <c r="F131" s="101" t="s">
        <v>243</v>
      </c>
      <c r="G131" s="171" t="str">
        <f t="shared" si="6"/>
        <v>I</v>
      </c>
      <c r="H131" s="164" t="s">
        <v>527</v>
      </c>
      <c r="I131" s="102" t="s">
        <v>243</v>
      </c>
      <c r="J131" s="102"/>
      <c r="K131" s="25" t="s">
        <v>115</v>
      </c>
      <c r="L131" s="25" t="s">
        <v>115</v>
      </c>
      <c r="M131" s="62" t="s">
        <v>624</v>
      </c>
      <c r="N131" s="25" t="s">
        <v>134</v>
      </c>
      <c r="O131" s="186" t="s">
        <v>743</v>
      </c>
      <c r="P131" s="107"/>
      <c r="Q131" s="107">
        <f>+'SLI06'!M22</f>
        <v>123.33801164136409</v>
      </c>
      <c r="R131" s="108">
        <f t="shared" si="7"/>
        <v>146.39999999999998</v>
      </c>
      <c r="S131" s="107">
        <f>+'SLI06'!L18</f>
        <v>29.279999999999998</v>
      </c>
      <c r="T131" s="107">
        <f>+'SLI06'!M18</f>
        <v>29.279999999999998</v>
      </c>
      <c r="U131" s="107">
        <f>+'SLI06'!N18</f>
        <v>29.279999999999998</v>
      </c>
      <c r="V131" s="107">
        <f>+'SLI06'!O18</f>
        <v>29.279999999999998</v>
      </c>
      <c r="W131" s="107">
        <f>+'SLI06'!P18</f>
        <v>29.279999999999998</v>
      </c>
      <c r="X131" s="107">
        <f>+'SLI06'!Q18</f>
        <v>0</v>
      </c>
      <c r="Y131" s="107">
        <f>+'SLI06'!R18</f>
        <v>0</v>
      </c>
      <c r="Z131" s="107">
        <f>+'SLI06'!S18</f>
        <v>0</v>
      </c>
    </row>
    <row r="132" spans="1:26" ht="72" x14ac:dyDescent="0.25">
      <c r="A132" t="str">
        <f t="shared" si="5"/>
        <v>I</v>
      </c>
      <c r="B132" s="227"/>
      <c r="C132" s="230"/>
      <c r="D132" s="101" t="s">
        <v>244</v>
      </c>
      <c r="E132" s="100" t="s">
        <v>552</v>
      </c>
      <c r="F132" s="101" t="s">
        <v>245</v>
      </c>
      <c r="G132" s="171" t="str">
        <f t="shared" si="6"/>
        <v>I</v>
      </c>
      <c r="H132" s="164" t="s">
        <v>529</v>
      </c>
      <c r="I132" s="102" t="s">
        <v>245</v>
      </c>
      <c r="J132" s="102"/>
      <c r="K132" s="25" t="s">
        <v>115</v>
      </c>
      <c r="L132" s="25" t="s">
        <v>115</v>
      </c>
      <c r="M132" s="62" t="s">
        <v>624</v>
      </c>
      <c r="N132" s="25" t="s">
        <v>134</v>
      </c>
      <c r="O132" s="186" t="s">
        <v>743</v>
      </c>
      <c r="P132" s="107"/>
      <c r="Q132" s="107">
        <f>+'SLI07'!M22</f>
        <v>0</v>
      </c>
      <c r="R132" s="108">
        <f t="shared" si="7"/>
        <v>0</v>
      </c>
      <c r="S132" s="107">
        <f>+'SLI07'!L12</f>
        <v>0</v>
      </c>
      <c r="T132" s="107">
        <f>+'SLI07'!M12</f>
        <v>0</v>
      </c>
      <c r="U132" s="107">
        <f>+'SLI07'!N12</f>
        <v>0</v>
      </c>
      <c r="V132" s="107">
        <f>+'SLI07'!O12</f>
        <v>0</v>
      </c>
      <c r="W132" s="107">
        <f>+'SLI07'!P12</f>
        <v>0</v>
      </c>
      <c r="X132" s="107">
        <f>+'SLI07'!Q12</f>
        <v>0</v>
      </c>
      <c r="Y132" s="107">
        <f>+'SLI07'!R12</f>
        <v>0</v>
      </c>
      <c r="Z132" s="107">
        <f>+'SLI07'!S12</f>
        <v>0</v>
      </c>
    </row>
    <row r="133" spans="1:26" ht="84" x14ac:dyDescent="0.25">
      <c r="A133" t="str">
        <f t="shared" si="5"/>
        <v>I</v>
      </c>
      <c r="B133" s="227"/>
      <c r="C133" s="231"/>
      <c r="D133" s="101" t="s">
        <v>246</v>
      </c>
      <c r="E133" s="100" t="s">
        <v>553</v>
      </c>
      <c r="F133" s="101" t="s">
        <v>247</v>
      </c>
      <c r="G133" s="171" t="str">
        <f t="shared" si="6"/>
        <v>I</v>
      </c>
      <c r="H133" s="164" t="s">
        <v>531</v>
      </c>
      <c r="I133" s="102" t="s">
        <v>247</v>
      </c>
      <c r="J133" s="102"/>
      <c r="K133" s="25" t="s">
        <v>115</v>
      </c>
      <c r="L133" s="25" t="s">
        <v>115</v>
      </c>
      <c r="M133" s="62" t="s">
        <v>624</v>
      </c>
      <c r="N133" s="25" t="s">
        <v>134</v>
      </c>
      <c r="O133" s="186" t="s">
        <v>743</v>
      </c>
      <c r="P133" s="107"/>
      <c r="Q133" s="107">
        <f>+'SLI08'!M22</f>
        <v>266.99893200427198</v>
      </c>
      <c r="R133" s="108">
        <f t="shared" si="7"/>
        <v>300</v>
      </c>
      <c r="S133" s="107">
        <f>+'SLI08'!L12</f>
        <v>0</v>
      </c>
      <c r="T133" s="107">
        <f>+'SLI08'!M12</f>
        <v>300</v>
      </c>
      <c r="U133" s="107">
        <f>+'SLI08'!N12</f>
        <v>0</v>
      </c>
      <c r="V133" s="107">
        <f>+'SLI08'!O12</f>
        <v>0</v>
      </c>
      <c r="W133" s="107">
        <f>+'SLI08'!P12</f>
        <v>0</v>
      </c>
      <c r="X133" s="107">
        <f>+'SLI08'!Q12</f>
        <v>0</v>
      </c>
      <c r="Y133" s="107">
        <f>+'SLI08'!R12</f>
        <v>0</v>
      </c>
      <c r="Z133" s="107">
        <f>+'SLI08'!S12</f>
        <v>0</v>
      </c>
    </row>
    <row r="134" spans="1:26" ht="36" x14ac:dyDescent="0.25">
      <c r="A134" t="str">
        <f t="shared" si="5"/>
        <v>I</v>
      </c>
      <c r="B134" s="227"/>
      <c r="C134" s="229" t="s">
        <v>250</v>
      </c>
      <c r="D134" s="229" t="s">
        <v>249</v>
      </c>
      <c r="E134" s="100" t="s">
        <v>554</v>
      </c>
      <c r="F134" s="101" t="s">
        <v>248</v>
      </c>
      <c r="G134" s="171" t="str">
        <f t="shared" si="6"/>
        <v>I</v>
      </c>
      <c r="H134" s="164" t="s">
        <v>533</v>
      </c>
      <c r="I134" s="102" t="s">
        <v>248</v>
      </c>
      <c r="J134" s="102"/>
      <c r="K134" s="25" t="s">
        <v>115</v>
      </c>
      <c r="L134" s="25" t="s">
        <v>115</v>
      </c>
      <c r="M134" s="62" t="s">
        <v>624</v>
      </c>
      <c r="N134" s="25" t="s">
        <v>134</v>
      </c>
      <c r="O134" s="186" t="s">
        <v>743</v>
      </c>
      <c r="P134" s="107"/>
      <c r="Q134" s="107">
        <f>+'SLI09'!M22</f>
        <v>101.09673085357711</v>
      </c>
      <c r="R134" s="108">
        <f t="shared" ref="R134:R142" si="8">SUM(S134:Z134)</f>
        <v>120</v>
      </c>
      <c r="S134" s="107">
        <f>+'SLI09'!L18</f>
        <v>24</v>
      </c>
      <c r="T134" s="107">
        <f>+'SLI09'!M18</f>
        <v>24</v>
      </c>
      <c r="U134" s="107">
        <f>+'SLI09'!N18</f>
        <v>24</v>
      </c>
      <c r="V134" s="107">
        <f>+'SLI09'!O18</f>
        <v>24</v>
      </c>
      <c r="W134" s="107">
        <f>+'SLI09'!P18</f>
        <v>24</v>
      </c>
      <c r="X134" s="107">
        <f>+'SLI09'!Q18</f>
        <v>0</v>
      </c>
      <c r="Y134" s="107">
        <f>+'SLI09'!R18</f>
        <v>0</v>
      </c>
      <c r="Z134" s="107">
        <f>+'SLI09'!S18</f>
        <v>0</v>
      </c>
    </row>
    <row r="135" spans="1:26" ht="72" x14ac:dyDescent="0.25">
      <c r="A135" t="str">
        <f t="shared" ref="A135:A142" si="9">MID(H135,1,1)</f>
        <v>I</v>
      </c>
      <c r="B135" s="227"/>
      <c r="C135" s="230"/>
      <c r="D135" s="230"/>
      <c r="E135" s="100" t="s">
        <v>555</v>
      </c>
      <c r="F135" s="101" t="s">
        <v>556</v>
      </c>
      <c r="G135" s="171" t="str">
        <f t="shared" ref="G135:G142" si="10">LEFT(H135,1)</f>
        <v>I</v>
      </c>
      <c r="H135" s="164" t="s">
        <v>535</v>
      </c>
      <c r="I135" s="102" t="s">
        <v>556</v>
      </c>
      <c r="J135" s="102"/>
      <c r="K135" s="25" t="s">
        <v>115</v>
      </c>
      <c r="L135" s="25" t="s">
        <v>115</v>
      </c>
      <c r="M135" s="62" t="s">
        <v>624</v>
      </c>
      <c r="N135" s="25" t="s">
        <v>134</v>
      </c>
      <c r="O135" s="186" t="s">
        <v>743</v>
      </c>
      <c r="P135" s="107"/>
      <c r="Q135" s="107">
        <f>+'SLI10'!M23</f>
        <v>202.56075471698114</v>
      </c>
      <c r="R135" s="108">
        <f t="shared" si="8"/>
        <v>214.71440000000001</v>
      </c>
      <c r="S135" s="107">
        <f>+'SLI10'!L19</f>
        <v>214.71440000000001</v>
      </c>
      <c r="T135" s="107">
        <f>+'SLI10'!M19</f>
        <v>0</v>
      </c>
      <c r="U135" s="107">
        <f>+'SLI10'!N19</f>
        <v>0</v>
      </c>
      <c r="V135" s="107">
        <f>+'SLI10'!O19</f>
        <v>0</v>
      </c>
      <c r="W135" s="107">
        <f>+'SLI10'!P19</f>
        <v>0</v>
      </c>
      <c r="X135" s="107">
        <f>+'SLI10'!Q19</f>
        <v>0</v>
      </c>
      <c r="Y135" s="107">
        <f>+'SLI10'!R19</f>
        <v>0</v>
      </c>
      <c r="Z135" s="107">
        <f>+'SLI10'!S19</f>
        <v>0</v>
      </c>
    </row>
    <row r="136" spans="1:26" ht="48" x14ac:dyDescent="0.25">
      <c r="A136" t="str">
        <f t="shared" si="9"/>
        <v>I</v>
      </c>
      <c r="B136" s="227"/>
      <c r="C136" s="231"/>
      <c r="D136" s="231"/>
      <c r="E136" s="100" t="s">
        <v>557</v>
      </c>
      <c r="F136" s="101" t="s">
        <v>558</v>
      </c>
      <c r="G136" s="171" t="str">
        <f t="shared" si="10"/>
        <v>I</v>
      </c>
      <c r="H136" s="164" t="s">
        <v>540</v>
      </c>
      <c r="I136" s="102" t="s">
        <v>558</v>
      </c>
      <c r="J136" s="102"/>
      <c r="K136" s="25" t="s">
        <v>115</v>
      </c>
      <c r="L136" s="25" t="s">
        <v>115</v>
      </c>
      <c r="M136" s="62" t="s">
        <v>624</v>
      </c>
      <c r="N136" s="25" t="s">
        <v>134</v>
      </c>
      <c r="O136" s="186" t="s">
        <v>743</v>
      </c>
      <c r="P136" s="107"/>
      <c r="Q136" s="107">
        <f>+'SLI11'!M22</f>
        <v>0</v>
      </c>
      <c r="R136" s="108">
        <f t="shared" si="8"/>
        <v>0</v>
      </c>
      <c r="S136" s="107">
        <f>+'SLI11'!L18</f>
        <v>0</v>
      </c>
      <c r="T136" s="107">
        <f>+'SLI11'!M18</f>
        <v>0</v>
      </c>
      <c r="U136" s="107">
        <f>+'SLI11'!N18</f>
        <v>0</v>
      </c>
      <c r="V136" s="107">
        <f>+'SLI11'!O18</f>
        <v>0</v>
      </c>
      <c r="W136" s="107">
        <f>+'SLI11'!P18</f>
        <v>0</v>
      </c>
      <c r="X136" s="107">
        <f>+'SLI11'!Q18</f>
        <v>0</v>
      </c>
      <c r="Y136" s="107">
        <f>+'SLI11'!R18</f>
        <v>0</v>
      </c>
      <c r="Z136" s="107">
        <f>+'SLI11'!S18</f>
        <v>0</v>
      </c>
    </row>
    <row r="137" spans="1:26" ht="36" x14ac:dyDescent="0.25">
      <c r="A137" t="str">
        <f t="shared" si="9"/>
        <v>I</v>
      </c>
      <c r="B137" s="227"/>
      <c r="C137" s="229" t="s">
        <v>256</v>
      </c>
      <c r="D137" s="229" t="s">
        <v>255</v>
      </c>
      <c r="E137" s="100" t="s">
        <v>559</v>
      </c>
      <c r="F137" s="101" t="s">
        <v>254</v>
      </c>
      <c r="G137" s="171" t="str">
        <f t="shared" si="10"/>
        <v>I</v>
      </c>
      <c r="H137" s="164" t="s">
        <v>542</v>
      </c>
      <c r="I137" s="102" t="s">
        <v>254</v>
      </c>
      <c r="J137" s="102"/>
      <c r="K137" s="25" t="s">
        <v>115</v>
      </c>
      <c r="L137" s="25" t="s">
        <v>115</v>
      </c>
      <c r="M137" s="62" t="s">
        <v>624</v>
      </c>
      <c r="N137" s="25" t="s">
        <v>134</v>
      </c>
      <c r="O137" s="186" t="s">
        <v>743</v>
      </c>
      <c r="P137" s="107"/>
      <c r="Q137" s="107">
        <f>+'SLI12'!M22</f>
        <v>0</v>
      </c>
      <c r="R137" s="108">
        <f t="shared" si="8"/>
        <v>0</v>
      </c>
      <c r="S137" s="107">
        <f>+'SLI12'!L18</f>
        <v>0</v>
      </c>
      <c r="T137" s="107">
        <f>+'SLI12'!M18</f>
        <v>0</v>
      </c>
      <c r="U137" s="107">
        <f>+'SLI12'!N18</f>
        <v>0</v>
      </c>
      <c r="V137" s="107">
        <f>+'SLI12'!O18</f>
        <v>0</v>
      </c>
      <c r="W137" s="107">
        <f>+'SLI12'!P18</f>
        <v>0</v>
      </c>
      <c r="X137" s="107">
        <f>+'SLI12'!Q18</f>
        <v>0</v>
      </c>
      <c r="Y137" s="107">
        <f>+'SLI12'!R18</f>
        <v>0</v>
      </c>
      <c r="Z137" s="107">
        <f>+'SLI12'!S18</f>
        <v>0</v>
      </c>
    </row>
    <row r="138" spans="1:26" ht="36" x14ac:dyDescent="0.25">
      <c r="A138" t="str">
        <f t="shared" si="9"/>
        <v>I</v>
      </c>
      <c r="B138" s="227"/>
      <c r="C138" s="230"/>
      <c r="D138" s="230"/>
      <c r="E138" s="100" t="s">
        <v>560</v>
      </c>
      <c r="F138" s="101" t="s">
        <v>257</v>
      </c>
      <c r="G138" s="171" t="str">
        <f t="shared" si="10"/>
        <v>I</v>
      </c>
      <c r="H138" s="164" t="s">
        <v>544</v>
      </c>
      <c r="I138" s="102" t="s">
        <v>257</v>
      </c>
      <c r="J138" s="102"/>
      <c r="K138" s="25" t="s">
        <v>115</v>
      </c>
      <c r="L138" s="25" t="s">
        <v>115</v>
      </c>
      <c r="M138" s="62" t="s">
        <v>624</v>
      </c>
      <c r="N138" s="25" t="s">
        <v>134</v>
      </c>
      <c r="O138" s="186" t="s">
        <v>743</v>
      </c>
      <c r="P138" s="107"/>
      <c r="Q138" s="107">
        <f>+'SLI13'!M22</f>
        <v>0</v>
      </c>
      <c r="R138" s="108">
        <f t="shared" si="8"/>
        <v>0</v>
      </c>
      <c r="S138" s="107">
        <f>+'SLI13'!L20</f>
        <v>0</v>
      </c>
      <c r="T138" s="107">
        <f>+'SLI13'!M20</f>
        <v>0</v>
      </c>
      <c r="U138" s="107">
        <f>+'SLI13'!N20</f>
        <v>0</v>
      </c>
      <c r="V138" s="107">
        <f>+'SLI13'!O20</f>
        <v>0</v>
      </c>
      <c r="W138" s="107">
        <f>+'SLI13'!P20</f>
        <v>0</v>
      </c>
      <c r="X138" s="107">
        <f>+'SLI13'!Q20</f>
        <v>0</v>
      </c>
      <c r="Y138" s="107">
        <f>+'SLI13'!R20</f>
        <v>0</v>
      </c>
      <c r="Z138" s="107">
        <f>+'SLI13'!S20</f>
        <v>0</v>
      </c>
    </row>
    <row r="139" spans="1:26" ht="72" x14ac:dyDescent="0.25">
      <c r="A139" t="str">
        <f t="shared" si="9"/>
        <v>I</v>
      </c>
      <c r="B139" s="227"/>
      <c r="C139" s="231"/>
      <c r="D139" s="231"/>
      <c r="E139" s="100" t="s">
        <v>561</v>
      </c>
      <c r="F139" s="101" t="s">
        <v>562</v>
      </c>
      <c r="G139" s="171" t="str">
        <f t="shared" si="10"/>
        <v>I</v>
      </c>
      <c r="H139" s="164" t="s">
        <v>546</v>
      </c>
      <c r="I139" s="102" t="s">
        <v>562</v>
      </c>
      <c r="J139" s="102"/>
      <c r="K139" s="25" t="s">
        <v>115</v>
      </c>
      <c r="L139" s="25" t="s">
        <v>115</v>
      </c>
      <c r="M139" s="62" t="s">
        <v>624</v>
      </c>
      <c r="N139" s="25" t="s">
        <v>134</v>
      </c>
      <c r="O139" s="186" t="s">
        <v>743</v>
      </c>
      <c r="P139" s="107"/>
      <c r="Q139" s="107">
        <f>+'SLI14'!M24</f>
        <v>50.548365426788557</v>
      </c>
      <c r="R139" s="108">
        <f t="shared" si="8"/>
        <v>60</v>
      </c>
      <c r="S139" s="107">
        <f>+'SLI14'!L20</f>
        <v>12</v>
      </c>
      <c r="T139" s="107">
        <f>+'SLI14'!M20</f>
        <v>12</v>
      </c>
      <c r="U139" s="107">
        <f>+'SLI14'!N20</f>
        <v>12</v>
      </c>
      <c r="V139" s="107">
        <f>+'SLI14'!O20</f>
        <v>12</v>
      </c>
      <c r="W139" s="107">
        <f>+'SLI14'!P20</f>
        <v>12</v>
      </c>
      <c r="X139" s="107">
        <f>+'SLI14'!Q20</f>
        <v>0</v>
      </c>
      <c r="Y139" s="107">
        <f>+'SLI14'!R20</f>
        <v>0</v>
      </c>
      <c r="Z139" s="107">
        <f>+'SLI14'!S20</f>
        <v>0</v>
      </c>
    </row>
    <row r="140" spans="1:26" ht="72" x14ac:dyDescent="0.25">
      <c r="A140" t="str">
        <f t="shared" si="9"/>
        <v>I</v>
      </c>
      <c r="B140" s="227"/>
      <c r="C140" s="229" t="s">
        <v>563</v>
      </c>
      <c r="D140" s="101" t="s">
        <v>259</v>
      </c>
      <c r="E140" s="100" t="s">
        <v>564</v>
      </c>
      <c r="F140" s="101" t="s">
        <v>258</v>
      </c>
      <c r="G140" s="171" t="str">
        <f t="shared" si="10"/>
        <v>I</v>
      </c>
      <c r="H140" s="164" t="s">
        <v>549</v>
      </c>
      <c r="I140" s="102" t="s">
        <v>258</v>
      </c>
      <c r="J140" s="102"/>
      <c r="K140" s="25" t="s">
        <v>115</v>
      </c>
      <c r="L140" s="25" t="s">
        <v>115</v>
      </c>
      <c r="M140" s="62" t="s">
        <v>624</v>
      </c>
      <c r="N140" s="25" t="s">
        <v>134</v>
      </c>
      <c r="O140" s="186" t="s">
        <v>743</v>
      </c>
      <c r="P140" s="107"/>
      <c r="Q140" s="107">
        <f>+'SLI15'!M22</f>
        <v>0</v>
      </c>
      <c r="R140" s="108">
        <f t="shared" si="8"/>
        <v>0</v>
      </c>
      <c r="S140" s="107">
        <f>+'SLI15'!L12</f>
        <v>0</v>
      </c>
      <c r="T140" s="107">
        <f>+'SLI15'!M12</f>
        <v>0</v>
      </c>
      <c r="U140" s="107">
        <f>+'SLI15'!N12</f>
        <v>0</v>
      </c>
      <c r="V140" s="107">
        <f>+'SLI15'!O12</f>
        <v>0</v>
      </c>
      <c r="W140" s="107">
        <f>+'SLI15'!P12</f>
        <v>0</v>
      </c>
      <c r="X140" s="107">
        <f>+'SLI15'!Q12</f>
        <v>0</v>
      </c>
      <c r="Y140" s="107">
        <f>+'SLI15'!R12</f>
        <v>0</v>
      </c>
      <c r="Z140" s="107">
        <f>+'SLI15'!S12</f>
        <v>0</v>
      </c>
    </row>
    <row r="141" spans="1:26" ht="24" customHeight="1" x14ac:dyDescent="0.25">
      <c r="A141" t="str">
        <f t="shared" si="9"/>
        <v>C</v>
      </c>
      <c r="B141" s="227"/>
      <c r="C141" s="230"/>
      <c r="D141" s="233" t="s">
        <v>261</v>
      </c>
      <c r="E141" s="235" t="s">
        <v>565</v>
      </c>
      <c r="F141" s="233" t="s">
        <v>566</v>
      </c>
      <c r="G141" s="171" t="str">
        <f t="shared" si="10"/>
        <v>C</v>
      </c>
      <c r="H141" s="101" t="s">
        <v>471</v>
      </c>
      <c r="I141" s="167" t="s">
        <v>567</v>
      </c>
      <c r="J141" s="167" t="s">
        <v>568</v>
      </c>
      <c r="K141" s="25" t="s">
        <v>91</v>
      </c>
      <c r="L141" s="25" t="s">
        <v>571</v>
      </c>
      <c r="M141" s="62" t="s">
        <v>580</v>
      </c>
      <c r="N141" s="25" t="s">
        <v>659</v>
      </c>
      <c r="O141" s="186" t="s">
        <v>737</v>
      </c>
      <c r="P141" s="107"/>
      <c r="Q141" s="107">
        <f>+'SLI16'!M22</f>
        <v>188.67924528301887</v>
      </c>
      <c r="R141" s="108">
        <f t="shared" si="8"/>
        <v>200</v>
      </c>
      <c r="S141" s="107">
        <f>+'SLI16'!L13</f>
        <v>200</v>
      </c>
      <c r="T141" s="107">
        <f>+'SLI16'!M13</f>
        <v>0</v>
      </c>
      <c r="U141" s="107">
        <f>+'SLI16'!N13</f>
        <v>0</v>
      </c>
      <c r="V141" s="107">
        <f>+'SLI16'!O13</f>
        <v>0</v>
      </c>
      <c r="W141" s="107">
        <f>+'SLI16'!P13</f>
        <v>0</v>
      </c>
      <c r="X141" s="107">
        <f>+'SLI16'!Q13</f>
        <v>0</v>
      </c>
      <c r="Y141" s="107">
        <f>+'SLI16'!R13</f>
        <v>0</v>
      </c>
      <c r="Z141" s="107">
        <f>+'SLI16'!S13</f>
        <v>0</v>
      </c>
    </row>
    <row r="142" spans="1:26" ht="24" x14ac:dyDescent="0.25">
      <c r="A142" t="str">
        <f t="shared" si="9"/>
        <v>I</v>
      </c>
      <c r="B142" s="228"/>
      <c r="C142" s="231"/>
      <c r="D142" s="234"/>
      <c r="E142" s="236"/>
      <c r="F142" s="234"/>
      <c r="G142" s="171" t="str">
        <f t="shared" si="10"/>
        <v>I</v>
      </c>
      <c r="H142" s="101" t="s">
        <v>551</v>
      </c>
      <c r="I142" s="102" t="s">
        <v>566</v>
      </c>
      <c r="J142" s="102"/>
      <c r="K142" s="25" t="s">
        <v>115</v>
      </c>
      <c r="L142" s="25" t="s">
        <v>115</v>
      </c>
      <c r="M142" s="62" t="s">
        <v>624</v>
      </c>
      <c r="N142" s="25" t="s">
        <v>134</v>
      </c>
      <c r="O142" s="186" t="s">
        <v>743</v>
      </c>
      <c r="P142" s="107"/>
      <c r="Q142" s="107">
        <f>+'SLI16'!M23</f>
        <v>0</v>
      </c>
      <c r="R142" s="108">
        <f t="shared" si="8"/>
        <v>0</v>
      </c>
      <c r="S142" s="107">
        <f>+'SLI16'!L14</f>
        <v>0</v>
      </c>
      <c r="T142" s="107">
        <f>+'SLI16'!M14</f>
        <v>0</v>
      </c>
      <c r="U142" s="107">
        <f>+'SLI16'!N14</f>
        <v>0</v>
      </c>
      <c r="V142" s="107">
        <f>+'SLI16'!O14</f>
        <v>0</v>
      </c>
      <c r="W142" s="107">
        <f>+'SLI16'!P14</f>
        <v>0</v>
      </c>
      <c r="X142" s="107">
        <f>+'SLI16'!Q14</f>
        <v>0</v>
      </c>
      <c r="Y142" s="107">
        <f>+'SLI16'!R14</f>
        <v>0</v>
      </c>
      <c r="Z142" s="107">
        <f>+'SLI16'!S14</f>
        <v>0</v>
      </c>
    </row>
    <row r="143" spans="1:26" x14ac:dyDescent="0.25">
      <c r="S143" s="104">
        <f>COUNTIFS(S8:S142,"&gt;0",$G$8:$G$142,"=I")</f>
        <v>9</v>
      </c>
      <c r="T143" s="104">
        <f>COUNTIFS(T8:T142,"&gt;0",$G$8:$G$142,"=I")</f>
        <v>20</v>
      </c>
      <c r="U143" s="104">
        <f>COUNTIFS(U8:U142,"&gt;0",$G$8:$G$142,"=I")</f>
        <v>20</v>
      </c>
      <c r="V143" s="104">
        <f>COUNTIFS(V8:V142,"&gt;0",$G$8:$G$142,"=I")</f>
        <v>15</v>
      </c>
      <c r="W143" s="104">
        <f>COUNTIFS(W8:W142,"&gt;0",$G$8:$G$142,"=I")</f>
        <v>12</v>
      </c>
    </row>
  </sheetData>
  <autoFilter ref="A7:Z143"/>
  <mergeCells count="92">
    <mergeCell ref="F45:F48"/>
    <mergeCell ref="Y6:Z6"/>
    <mergeCell ref="E65:E66"/>
    <mergeCell ref="F65:F66"/>
    <mergeCell ref="E68:E69"/>
    <mergeCell ref="F68:F69"/>
    <mergeCell ref="F18:F37"/>
    <mergeCell ref="F50:F53"/>
    <mergeCell ref="E55:E60"/>
    <mergeCell ref="E61:E64"/>
    <mergeCell ref="F61:F64"/>
    <mergeCell ref="E40:E44"/>
    <mergeCell ref="F38:F39"/>
    <mergeCell ref="F40:F44"/>
    <mergeCell ref="F55:F60"/>
    <mergeCell ref="S6:W6"/>
    <mergeCell ref="E8:E12"/>
    <mergeCell ref="E13:E17"/>
    <mergeCell ref="D18:D44"/>
    <mergeCell ref="E18:E37"/>
    <mergeCell ref="E38:E39"/>
    <mergeCell ref="B2:B4"/>
    <mergeCell ref="B8:B64"/>
    <mergeCell ref="C8:C44"/>
    <mergeCell ref="D8:D17"/>
    <mergeCell ref="C45:C54"/>
    <mergeCell ref="D45:D53"/>
    <mergeCell ref="C2:W2"/>
    <mergeCell ref="C3:W3"/>
    <mergeCell ref="C4:W4"/>
    <mergeCell ref="F8:F12"/>
    <mergeCell ref="F13:F17"/>
    <mergeCell ref="E50:E53"/>
    <mergeCell ref="E45:E48"/>
    <mergeCell ref="C55:C64"/>
    <mergeCell ref="D55:D60"/>
    <mergeCell ref="D61:D64"/>
    <mergeCell ref="D96:D104"/>
    <mergeCell ref="D70:D72"/>
    <mergeCell ref="C105:C106"/>
    <mergeCell ref="C107:C108"/>
    <mergeCell ref="D107:D108"/>
    <mergeCell ref="C65:C72"/>
    <mergeCell ref="C73:C104"/>
    <mergeCell ref="D73:D82"/>
    <mergeCell ref="E73:E80"/>
    <mergeCell ref="F73:F80"/>
    <mergeCell ref="D83:D95"/>
    <mergeCell ref="E83:E86"/>
    <mergeCell ref="F83:F86"/>
    <mergeCell ref="E87:E91"/>
    <mergeCell ref="F87:F91"/>
    <mergeCell ref="E92:E93"/>
    <mergeCell ref="F92:F93"/>
    <mergeCell ref="E94:E95"/>
    <mergeCell ref="F94:F95"/>
    <mergeCell ref="E96:E100"/>
    <mergeCell ref="F96:F100"/>
    <mergeCell ref="E101:E104"/>
    <mergeCell ref="F101:F104"/>
    <mergeCell ref="B109:B115"/>
    <mergeCell ref="C109:C112"/>
    <mergeCell ref="D109:D110"/>
    <mergeCell ref="D111:D112"/>
    <mergeCell ref="C114:C115"/>
    <mergeCell ref="D114:D115"/>
    <mergeCell ref="B65:B108"/>
    <mergeCell ref="D65:D66"/>
    <mergeCell ref="D67:D69"/>
    <mergeCell ref="E71:E72"/>
    <mergeCell ref="F71:F72"/>
    <mergeCell ref="B116:B119"/>
    <mergeCell ref="C116:C119"/>
    <mergeCell ref="D116:D118"/>
    <mergeCell ref="B120:B125"/>
    <mergeCell ref="C120:C125"/>
    <mergeCell ref="D120:D125"/>
    <mergeCell ref="E120:E123"/>
    <mergeCell ref="F120:F123"/>
    <mergeCell ref="B126:B142"/>
    <mergeCell ref="C126:C128"/>
    <mergeCell ref="D126:D128"/>
    <mergeCell ref="C130:C133"/>
    <mergeCell ref="D130:D131"/>
    <mergeCell ref="C134:C136"/>
    <mergeCell ref="D134:D136"/>
    <mergeCell ref="C137:C139"/>
    <mergeCell ref="D137:D139"/>
    <mergeCell ref="C140:C142"/>
    <mergeCell ref="D141:D142"/>
    <mergeCell ref="E141:E142"/>
    <mergeCell ref="F141:F142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66675</xdr:colOff>
                <xdr:row>1</xdr:row>
                <xdr:rowOff>19050</xdr:rowOff>
              </from>
              <to>
                <xdr:col>1</xdr:col>
                <xdr:colOff>619125</xdr:colOff>
                <xdr:row>3</xdr:row>
                <xdr:rowOff>161925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48"/>
  <sheetViews>
    <sheetView showGridLines="0" zoomScale="80" zoomScaleNormal="80" workbookViewId="0">
      <pane xSplit="8" ySplit="11" topLeftCell="I21" activePane="bottomRight" state="frozen"/>
      <selection activeCell="K8" sqref="K8:O8"/>
      <selection pane="topRight" activeCell="K8" sqref="K8:O8"/>
      <selection pane="bottomLeft" activeCell="K8" sqref="K8:O8"/>
      <selection pane="bottomRight" activeCell="K36" sqref="K36"/>
    </sheetView>
  </sheetViews>
  <sheetFormatPr baseColWidth="10" defaultRowHeight="15" x14ac:dyDescent="0.25"/>
  <cols>
    <col min="1" max="1" width="4.140625" customWidth="1"/>
    <col min="2" max="2" width="23.2851562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185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17" t="s">
        <v>187</v>
      </c>
      <c r="C8" s="317"/>
      <c r="D8" s="317"/>
      <c r="E8" s="317"/>
      <c r="F8" s="317"/>
      <c r="G8" s="18" t="s">
        <v>47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636</v>
      </c>
      <c r="N8" s="25">
        <v>1.5</v>
      </c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82</v>
      </c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/>
      <c r="J12" s="25"/>
      <c r="K12" s="6"/>
      <c r="L12" s="6"/>
      <c r="M12" s="6"/>
      <c r="N12" s="6"/>
      <c r="O12" s="6"/>
      <c r="P12" s="6"/>
      <c r="Q12" s="6"/>
      <c r="R12" s="6"/>
      <c r="S12" s="6"/>
    </row>
    <row r="13" spans="1:19" ht="45.75" x14ac:dyDescent="0.25">
      <c r="A13" s="137" t="s">
        <v>403</v>
      </c>
      <c r="B13" s="82" t="s">
        <v>419</v>
      </c>
      <c r="C13" s="5" t="s">
        <v>683</v>
      </c>
      <c r="D13" s="5" t="s">
        <v>90</v>
      </c>
      <c r="E13" s="6">
        <v>1</v>
      </c>
      <c r="F13" s="107">
        <v>25</v>
      </c>
      <c r="G13" s="6">
        <f t="shared" ref="G13:G20" si="0">+F13*E13</f>
        <v>25</v>
      </c>
      <c r="I13" s="15" t="str">
        <f t="shared" ref="I13:I20" si="1">+A13</f>
        <v>CA37</v>
      </c>
      <c r="J13" s="25" t="s">
        <v>22</v>
      </c>
      <c r="K13" s="6">
        <f t="shared" ref="K13:K18" si="2">SUM(L13:Q13)</f>
        <v>25</v>
      </c>
      <c r="L13" s="6">
        <f t="shared" ref="L13" si="3">+G13</f>
        <v>25</v>
      </c>
      <c r="M13" s="6"/>
      <c r="N13" s="6"/>
      <c r="O13" s="6"/>
      <c r="P13" s="6"/>
      <c r="Q13" s="6"/>
      <c r="R13" s="6"/>
      <c r="S13" s="6"/>
    </row>
    <row r="14" spans="1:19" ht="45.75" x14ac:dyDescent="0.25">
      <c r="A14" s="211" t="s">
        <v>411</v>
      </c>
      <c r="B14" s="82" t="s">
        <v>422</v>
      </c>
      <c r="C14" s="5" t="s">
        <v>683</v>
      </c>
      <c r="D14" s="5" t="s">
        <v>90</v>
      </c>
      <c r="E14" s="6">
        <v>1</v>
      </c>
      <c r="F14" s="107">
        <v>480</v>
      </c>
      <c r="G14" s="6">
        <f t="shared" si="0"/>
        <v>480</v>
      </c>
      <c r="I14" s="15" t="str">
        <f t="shared" si="1"/>
        <v>CA38</v>
      </c>
      <c r="J14" s="25" t="s">
        <v>22</v>
      </c>
      <c r="K14" s="6">
        <f>SUM(M14:Q14)</f>
        <v>480</v>
      </c>
      <c r="L14" s="2"/>
      <c r="M14" s="6">
        <f>+G14*0.5</f>
        <v>240</v>
      </c>
      <c r="N14" s="6">
        <f>+M14</f>
        <v>240</v>
      </c>
      <c r="O14" s="6"/>
      <c r="P14" s="6"/>
      <c r="Q14" s="6"/>
      <c r="R14" s="6"/>
      <c r="S14" s="6"/>
    </row>
    <row r="15" spans="1:19" ht="45.75" x14ac:dyDescent="0.25">
      <c r="A15" s="211" t="s">
        <v>630</v>
      </c>
      <c r="B15" s="82" t="s">
        <v>425</v>
      </c>
      <c r="C15" s="5" t="s">
        <v>683</v>
      </c>
      <c r="D15" s="5" t="s">
        <v>90</v>
      </c>
      <c r="E15" s="6">
        <v>1</v>
      </c>
      <c r="F15" s="107">
        <v>600</v>
      </c>
      <c r="G15" s="6">
        <f t="shared" si="0"/>
        <v>600</v>
      </c>
      <c r="I15" s="15" t="str">
        <f t="shared" si="1"/>
        <v>CA39</v>
      </c>
      <c r="J15" s="25" t="s">
        <v>22</v>
      </c>
      <c r="K15" s="6">
        <f>SUM(M15:Q15)</f>
        <v>600</v>
      </c>
      <c r="L15" s="2"/>
      <c r="M15" s="6">
        <f>+G15*0.5</f>
        <v>300</v>
      </c>
      <c r="N15" s="6">
        <f>+M15</f>
        <v>300</v>
      </c>
      <c r="O15" s="6"/>
      <c r="P15" s="6"/>
      <c r="Q15" s="6"/>
      <c r="R15" s="6"/>
      <c r="S15" s="6"/>
    </row>
    <row r="16" spans="1:19" ht="68.25" x14ac:dyDescent="0.25">
      <c r="A16" s="211" t="s">
        <v>417</v>
      </c>
      <c r="B16" s="82" t="s">
        <v>428</v>
      </c>
      <c r="C16" s="5" t="s">
        <v>683</v>
      </c>
      <c r="D16" s="5" t="s">
        <v>90</v>
      </c>
      <c r="E16" s="6">
        <v>1</v>
      </c>
      <c r="F16" s="107">
        <v>220</v>
      </c>
      <c r="G16" s="6">
        <f t="shared" si="0"/>
        <v>220</v>
      </c>
      <c r="I16" s="15" t="str">
        <f t="shared" si="1"/>
        <v>CA40</v>
      </c>
      <c r="J16" s="25" t="s">
        <v>22</v>
      </c>
      <c r="K16" s="6">
        <f t="shared" si="2"/>
        <v>220</v>
      </c>
      <c r="L16" s="6">
        <f>+G16</f>
        <v>220</v>
      </c>
      <c r="M16" s="6"/>
      <c r="N16" s="6"/>
      <c r="O16" s="6"/>
      <c r="P16" s="6"/>
      <c r="Q16" s="6"/>
      <c r="R16" s="5"/>
      <c r="S16" s="5"/>
    </row>
    <row r="17" spans="1:19" ht="34.5" x14ac:dyDescent="0.25">
      <c r="A17" s="211" t="s">
        <v>418</v>
      </c>
      <c r="B17" s="82" t="s">
        <v>431</v>
      </c>
      <c r="C17" s="5" t="s">
        <v>683</v>
      </c>
      <c r="D17" s="5" t="s">
        <v>90</v>
      </c>
      <c r="E17" s="6">
        <v>1</v>
      </c>
      <c r="F17" s="107">
        <v>200</v>
      </c>
      <c r="G17" s="6">
        <f t="shared" si="0"/>
        <v>200</v>
      </c>
      <c r="I17" s="15" t="str">
        <f t="shared" si="1"/>
        <v>CA41</v>
      </c>
      <c r="J17" s="25" t="s">
        <v>22</v>
      </c>
      <c r="K17" s="6">
        <f t="shared" si="2"/>
        <v>200</v>
      </c>
      <c r="L17" s="6">
        <f>+G17</f>
        <v>200</v>
      </c>
      <c r="M17" s="16"/>
      <c r="N17" s="5"/>
      <c r="O17" s="5"/>
      <c r="P17" s="5"/>
      <c r="Q17" s="5"/>
      <c r="R17" s="5"/>
      <c r="S17" s="5"/>
    </row>
    <row r="18" spans="1:19" ht="45.75" x14ac:dyDescent="0.25">
      <c r="A18" s="211" t="s">
        <v>421</v>
      </c>
      <c r="B18" s="82" t="s">
        <v>434</v>
      </c>
      <c r="C18" s="5" t="s">
        <v>683</v>
      </c>
      <c r="D18" s="79" t="s">
        <v>90</v>
      </c>
      <c r="E18" s="112">
        <v>1</v>
      </c>
      <c r="F18" s="205">
        <v>400</v>
      </c>
      <c r="G18" s="112">
        <f t="shared" si="0"/>
        <v>400</v>
      </c>
      <c r="I18" s="15" t="str">
        <f t="shared" si="1"/>
        <v>CA42</v>
      </c>
      <c r="J18" s="25" t="s">
        <v>22</v>
      </c>
      <c r="K18" s="6">
        <f t="shared" si="2"/>
        <v>400</v>
      </c>
      <c r="L18" s="6">
        <f>+G18*0.5</f>
        <v>200</v>
      </c>
      <c r="M18" s="16">
        <f>+L18</f>
        <v>200</v>
      </c>
      <c r="N18" s="5"/>
      <c r="O18" s="5"/>
      <c r="P18" s="5"/>
      <c r="Q18" s="5"/>
      <c r="R18" s="5"/>
      <c r="S18" s="5"/>
    </row>
    <row r="19" spans="1:19" ht="34.5" x14ac:dyDescent="0.25">
      <c r="A19" s="211" t="s">
        <v>424</v>
      </c>
      <c r="B19" s="82" t="s">
        <v>438</v>
      </c>
      <c r="C19" s="5" t="s">
        <v>683</v>
      </c>
      <c r="D19" s="79" t="s">
        <v>90</v>
      </c>
      <c r="E19" s="112">
        <v>1</v>
      </c>
      <c r="F19" s="205">
        <v>467</v>
      </c>
      <c r="G19" s="112">
        <f t="shared" si="0"/>
        <v>467</v>
      </c>
      <c r="I19" s="15" t="str">
        <f t="shared" si="1"/>
        <v>CA43</v>
      </c>
      <c r="J19" s="25" t="s">
        <v>22</v>
      </c>
      <c r="K19" s="6">
        <f>SUM(M19:Q19)</f>
        <v>467</v>
      </c>
      <c r="L19" s="2"/>
      <c r="M19" s="6">
        <f>+G19*0.5</f>
        <v>233.5</v>
      </c>
      <c r="N19" s="16">
        <f>+M19</f>
        <v>233.5</v>
      </c>
      <c r="O19" s="5"/>
      <c r="P19" s="5"/>
      <c r="Q19" s="5"/>
      <c r="R19" s="5"/>
      <c r="S19" s="5"/>
    </row>
    <row r="20" spans="1:19" ht="34.5" x14ac:dyDescent="0.25">
      <c r="A20" s="211" t="s">
        <v>427</v>
      </c>
      <c r="B20" s="80" t="s">
        <v>604</v>
      </c>
      <c r="C20" s="5" t="s">
        <v>683</v>
      </c>
      <c r="D20" s="79" t="s">
        <v>90</v>
      </c>
      <c r="E20" s="112">
        <v>1</v>
      </c>
      <c r="F20" s="205">
        <v>224.8</v>
      </c>
      <c r="G20" s="112">
        <f t="shared" si="0"/>
        <v>224.8</v>
      </c>
      <c r="I20" s="15" t="str">
        <f t="shared" si="1"/>
        <v>CA44</v>
      </c>
      <c r="J20" s="25" t="s">
        <v>22</v>
      </c>
      <c r="K20" s="6">
        <f>SUM(M20:Q20)</f>
        <v>224.8</v>
      </c>
      <c r="L20" s="2"/>
      <c r="M20" s="6">
        <f>+G20</f>
        <v>224.8</v>
      </c>
      <c r="N20" s="16"/>
      <c r="O20" s="5"/>
      <c r="P20" s="5"/>
      <c r="Q20" s="5"/>
      <c r="R20" s="5"/>
      <c r="S20" s="5"/>
    </row>
    <row r="21" spans="1:19" x14ac:dyDescent="0.25">
      <c r="A21" s="139"/>
      <c r="B21" s="140"/>
      <c r="C21" s="5"/>
      <c r="D21" s="5"/>
      <c r="E21" s="6"/>
      <c r="F21" s="107"/>
      <c r="G21" s="6"/>
      <c r="I21" s="15"/>
      <c r="J21" s="25"/>
      <c r="K21" s="6"/>
      <c r="L21" s="6"/>
      <c r="M21" s="5"/>
      <c r="N21" s="5"/>
      <c r="O21" s="5"/>
      <c r="P21" s="5"/>
      <c r="Q21" s="5"/>
      <c r="R21" s="5"/>
      <c r="S21" s="5"/>
    </row>
    <row r="22" spans="1:19" x14ac:dyDescent="0.25">
      <c r="A22" s="137"/>
      <c r="B22" s="82"/>
      <c r="C22" s="5"/>
      <c r="D22" s="5"/>
      <c r="E22" s="6"/>
      <c r="F22" s="6"/>
      <c r="G22" s="6"/>
      <c r="I22" s="15"/>
      <c r="J22" s="5"/>
      <c r="K22" s="6"/>
      <c r="L22" s="6"/>
      <c r="M22" s="5"/>
      <c r="N22" s="5"/>
      <c r="O22" s="5"/>
      <c r="P22" s="5"/>
      <c r="Q22" s="5"/>
      <c r="R22" s="5"/>
      <c r="S22" s="5"/>
    </row>
    <row r="23" spans="1:19" x14ac:dyDescent="0.25">
      <c r="B23" s="10" t="s">
        <v>2</v>
      </c>
      <c r="C23" s="11"/>
      <c r="D23" s="11"/>
      <c r="E23" s="12"/>
      <c r="F23" s="7"/>
      <c r="G23" s="24">
        <f>SUM(G13:G16)</f>
        <v>1325</v>
      </c>
      <c r="I23" s="17" t="s">
        <v>2</v>
      </c>
      <c r="J23" s="14"/>
      <c r="K23" s="16">
        <f t="shared" ref="K23:S23" si="4">SUM(K12:K22)</f>
        <v>2616.8000000000002</v>
      </c>
      <c r="L23" s="16">
        <f t="shared" si="4"/>
        <v>645</v>
      </c>
      <c r="M23" s="16">
        <f t="shared" si="4"/>
        <v>1198.3</v>
      </c>
      <c r="N23" s="16">
        <f t="shared" si="4"/>
        <v>773.5</v>
      </c>
      <c r="O23" s="16">
        <f t="shared" si="4"/>
        <v>0</v>
      </c>
      <c r="P23" s="16">
        <f t="shared" si="4"/>
        <v>0</v>
      </c>
      <c r="Q23" s="16">
        <f t="shared" si="4"/>
        <v>0</v>
      </c>
      <c r="R23" s="16">
        <f t="shared" si="4"/>
        <v>0</v>
      </c>
      <c r="S23" s="16">
        <f t="shared" si="4"/>
        <v>0</v>
      </c>
    </row>
    <row r="24" spans="1:19" x14ac:dyDescent="0.25">
      <c r="B24" s="67"/>
      <c r="C24" s="67"/>
      <c r="D24" s="67"/>
      <c r="E24" s="66"/>
      <c r="F24" s="66"/>
      <c r="G24" s="66"/>
    </row>
    <row r="25" spans="1:19" x14ac:dyDescent="0.25">
      <c r="B25" s="67"/>
      <c r="C25" s="67"/>
      <c r="D25" s="67"/>
      <c r="E25" s="66"/>
      <c r="F25" s="66"/>
      <c r="G25" s="66"/>
      <c r="I25" s="174" t="s">
        <v>265</v>
      </c>
      <c r="J25" s="174"/>
      <c r="K25" s="174"/>
      <c r="L25" s="174"/>
      <c r="M25" s="174"/>
      <c r="N25" s="174"/>
      <c r="O25" s="110"/>
      <c r="P25" s="110"/>
      <c r="Q25" s="110"/>
      <c r="R25" s="110"/>
    </row>
    <row r="26" spans="1:19" x14ac:dyDescent="0.25">
      <c r="B26" s="67"/>
      <c r="C26" s="67"/>
      <c r="D26" s="67"/>
      <c r="E26" s="66"/>
      <c r="F26" s="66"/>
      <c r="G26" s="146"/>
      <c r="I26" s="29" t="s">
        <v>3</v>
      </c>
      <c r="J26" s="29" t="s">
        <v>582</v>
      </c>
      <c r="K26" s="29" t="s">
        <v>78</v>
      </c>
      <c r="L26" s="29" t="s">
        <v>80</v>
      </c>
      <c r="M26" s="29" t="s">
        <v>263</v>
      </c>
      <c r="N26" s="29" t="s">
        <v>264</v>
      </c>
      <c r="O26" s="111">
        <v>0</v>
      </c>
      <c r="P26" s="111">
        <v>1</v>
      </c>
      <c r="Q26" s="111">
        <v>2</v>
      </c>
      <c r="R26" s="111">
        <v>3</v>
      </c>
    </row>
    <row r="27" spans="1:19" x14ac:dyDescent="0.25">
      <c r="B27" s="65"/>
      <c r="C27" s="142"/>
      <c r="D27" s="142"/>
      <c r="E27" s="142"/>
      <c r="F27" s="142"/>
      <c r="G27" s="142"/>
      <c r="I27" s="15" t="str">
        <f t="shared" ref="I27:I34" si="5">+I13</f>
        <v>CA37</v>
      </c>
      <c r="J27" s="15"/>
      <c r="K27" s="109"/>
      <c r="L27" s="6"/>
      <c r="M27" s="6">
        <f t="shared" ref="M27:M34" si="6">NPV($L$8,P27:Y27)+O27</f>
        <v>23.584905660377359</v>
      </c>
      <c r="N27" s="6">
        <f t="shared" ref="N27:N34" si="7">-PMT($L$8,2,M27)</f>
        <v>12.864077669902914</v>
      </c>
      <c r="O27" s="112">
        <v>0</v>
      </c>
      <c r="P27" s="112">
        <f>+L13</f>
        <v>25</v>
      </c>
      <c r="Q27" s="112"/>
      <c r="R27" s="112"/>
    </row>
    <row r="28" spans="1:19" x14ac:dyDescent="0.25">
      <c r="B28" s="143"/>
      <c r="C28" s="144"/>
      <c r="D28" s="144"/>
      <c r="E28" s="144"/>
      <c r="F28" s="144"/>
      <c r="G28" s="144"/>
      <c r="I28" s="15" t="str">
        <f t="shared" si="5"/>
        <v>CA38</v>
      </c>
      <c r="J28" s="2"/>
      <c r="K28" s="2"/>
      <c r="L28" s="2"/>
      <c r="M28" s="6">
        <f t="shared" si="6"/>
        <v>440.01423994304025</v>
      </c>
      <c r="N28" s="6">
        <f t="shared" si="7"/>
        <v>240.00000000000006</v>
      </c>
      <c r="O28" s="112">
        <v>0</v>
      </c>
      <c r="P28" s="112">
        <f>+M14</f>
        <v>240</v>
      </c>
      <c r="Q28" s="112">
        <f t="shared" ref="Q28:Q33" si="8">+P28</f>
        <v>240</v>
      </c>
      <c r="R28" s="112"/>
    </row>
    <row r="29" spans="1:19" x14ac:dyDescent="0.25">
      <c r="B29" s="67"/>
      <c r="C29" s="67"/>
      <c r="D29" s="67"/>
      <c r="E29" s="66"/>
      <c r="F29" s="66"/>
      <c r="G29" s="66"/>
      <c r="I29" s="15" t="str">
        <f t="shared" si="5"/>
        <v>CA39</v>
      </c>
      <c r="J29" s="2"/>
      <c r="K29" s="2"/>
      <c r="L29" s="2"/>
      <c r="M29" s="6">
        <f t="shared" si="6"/>
        <v>550.01779992880029</v>
      </c>
      <c r="N29" s="6">
        <f t="shared" si="7"/>
        <v>300.00000000000006</v>
      </c>
      <c r="O29" s="112">
        <v>0</v>
      </c>
      <c r="P29" s="112">
        <f>+M15</f>
        <v>300</v>
      </c>
      <c r="Q29" s="112">
        <f t="shared" si="8"/>
        <v>300</v>
      </c>
      <c r="R29" s="112"/>
    </row>
    <row r="30" spans="1:19" x14ac:dyDescent="0.25">
      <c r="B30" s="67"/>
      <c r="C30" s="67"/>
      <c r="D30" s="67"/>
      <c r="E30" s="66"/>
      <c r="F30" s="66"/>
      <c r="G30" s="66"/>
      <c r="I30" s="15" t="str">
        <f t="shared" si="5"/>
        <v>CA40</v>
      </c>
      <c r="J30" s="2"/>
      <c r="K30" s="2"/>
      <c r="L30" s="2"/>
      <c r="M30" s="6">
        <f t="shared" si="6"/>
        <v>207.54716981132074</v>
      </c>
      <c r="N30" s="6">
        <f t="shared" si="7"/>
        <v>113.20388349514563</v>
      </c>
      <c r="O30" s="112">
        <v>0</v>
      </c>
      <c r="P30" s="112">
        <f>+L16</f>
        <v>220</v>
      </c>
      <c r="Q30" s="112"/>
      <c r="R30" s="112"/>
    </row>
    <row r="31" spans="1:19" x14ac:dyDescent="0.25">
      <c r="B31" s="67"/>
      <c r="C31" s="67"/>
      <c r="D31" s="67"/>
      <c r="E31" s="66"/>
      <c r="F31" s="66"/>
      <c r="G31" s="66"/>
      <c r="I31" s="15" t="str">
        <f t="shared" si="5"/>
        <v>CA41</v>
      </c>
      <c r="J31" s="2"/>
      <c r="K31" s="2"/>
      <c r="L31" s="2"/>
      <c r="M31" s="6">
        <f t="shared" si="6"/>
        <v>188.67924528301887</v>
      </c>
      <c r="N31" s="6">
        <f t="shared" si="7"/>
        <v>102.91262135922331</v>
      </c>
      <c r="O31" s="112">
        <v>0</v>
      </c>
      <c r="P31" s="112">
        <f>+L17</f>
        <v>200</v>
      </c>
      <c r="Q31" s="112"/>
      <c r="R31" s="112"/>
    </row>
    <row r="32" spans="1:19" x14ac:dyDescent="0.25">
      <c r="B32" s="67"/>
      <c r="C32" s="67"/>
      <c r="D32" s="67"/>
      <c r="E32" s="66"/>
      <c r="F32" s="66"/>
      <c r="G32" s="66"/>
      <c r="I32" s="15" t="str">
        <f t="shared" si="5"/>
        <v>CA42</v>
      </c>
      <c r="J32" s="2"/>
      <c r="K32" s="2"/>
      <c r="L32" s="2"/>
      <c r="M32" s="6">
        <f t="shared" si="6"/>
        <v>366.67853328586682</v>
      </c>
      <c r="N32" s="6">
        <f t="shared" si="7"/>
        <v>200</v>
      </c>
      <c r="O32" s="112">
        <v>0</v>
      </c>
      <c r="P32" s="112">
        <f>+L18</f>
        <v>200</v>
      </c>
      <c r="Q32" s="112">
        <f t="shared" si="8"/>
        <v>200</v>
      </c>
      <c r="R32" s="112"/>
    </row>
    <row r="33" spans="2:18" x14ac:dyDescent="0.25">
      <c r="B33" s="67"/>
      <c r="C33" s="67"/>
      <c r="D33" s="67"/>
      <c r="E33" s="66"/>
      <c r="F33" s="66"/>
      <c r="G33" s="66"/>
      <c r="I33" s="15" t="str">
        <f t="shared" si="5"/>
        <v>CA43</v>
      </c>
      <c r="J33" s="2"/>
      <c r="K33" s="2"/>
      <c r="L33" s="2"/>
      <c r="M33" s="6">
        <f t="shared" si="6"/>
        <v>428.09718761124952</v>
      </c>
      <c r="N33" s="6">
        <f t="shared" si="7"/>
        <v>233.5</v>
      </c>
      <c r="O33" s="112">
        <v>0</v>
      </c>
      <c r="P33" s="112">
        <f>+M19</f>
        <v>233.5</v>
      </c>
      <c r="Q33" s="112">
        <f t="shared" si="8"/>
        <v>233.5</v>
      </c>
      <c r="R33" s="112"/>
    </row>
    <row r="34" spans="2:18" x14ac:dyDescent="0.25">
      <c r="B34" s="67"/>
      <c r="C34" s="67"/>
      <c r="D34" s="67"/>
      <c r="E34" s="66"/>
      <c r="F34" s="66"/>
      <c r="G34" s="66"/>
      <c r="I34" s="15" t="str">
        <f t="shared" si="5"/>
        <v>CA44</v>
      </c>
      <c r="J34" s="2"/>
      <c r="K34" s="2"/>
      <c r="L34" s="2"/>
      <c r="M34" s="6">
        <f t="shared" si="6"/>
        <v>212.0754716981132</v>
      </c>
      <c r="N34" s="6">
        <f t="shared" si="7"/>
        <v>115.673786407767</v>
      </c>
      <c r="O34" s="112">
        <v>0</v>
      </c>
      <c r="P34" s="112">
        <f>+M20</f>
        <v>224.8</v>
      </c>
      <c r="Q34" s="112"/>
      <c r="R34" s="112"/>
    </row>
    <row r="35" spans="2:18" x14ac:dyDescent="0.25">
      <c r="B35" s="67"/>
      <c r="C35" s="67"/>
      <c r="D35" s="67"/>
      <c r="E35" s="66"/>
      <c r="F35" s="66"/>
      <c r="G35" s="66"/>
    </row>
    <row r="36" spans="2:18" x14ac:dyDescent="0.25">
      <c r="B36" s="67"/>
      <c r="C36" s="67"/>
      <c r="D36" s="67"/>
      <c r="E36" s="66"/>
      <c r="F36" s="66"/>
      <c r="G36" s="66"/>
    </row>
    <row r="37" spans="2:18" x14ac:dyDescent="0.25">
      <c r="B37" s="67"/>
      <c r="C37" s="67"/>
      <c r="D37" s="67"/>
      <c r="E37" s="66"/>
      <c r="F37" s="66"/>
      <c r="G37" s="66"/>
    </row>
    <row r="38" spans="2:18" x14ac:dyDescent="0.25">
      <c r="B38" s="67"/>
      <c r="C38" s="67"/>
      <c r="D38" s="67"/>
      <c r="E38" s="66"/>
      <c r="F38" s="66"/>
      <c r="G38" s="66"/>
    </row>
    <row r="39" spans="2:18" x14ac:dyDescent="0.25">
      <c r="B39" s="72"/>
      <c r="C39" s="72"/>
      <c r="D39" s="72"/>
      <c r="E39" s="72"/>
      <c r="F39" s="72"/>
      <c r="G39" s="72"/>
    </row>
    <row r="40" spans="2:18" x14ac:dyDescent="0.25">
      <c r="B40" s="65"/>
      <c r="C40" s="142"/>
      <c r="D40" s="142"/>
      <c r="E40" s="142"/>
      <c r="F40" s="142"/>
      <c r="G40" s="142"/>
    </row>
    <row r="41" spans="2:18" x14ac:dyDescent="0.25">
      <c r="B41" s="143"/>
      <c r="C41" s="144"/>
      <c r="D41" s="144"/>
      <c r="E41" s="144"/>
      <c r="F41" s="144"/>
      <c r="G41" s="144"/>
    </row>
    <row r="42" spans="2:18" x14ac:dyDescent="0.25">
      <c r="B42" s="67"/>
      <c r="C42" s="67"/>
      <c r="D42" s="67"/>
      <c r="E42" s="66"/>
      <c r="F42" s="66"/>
      <c r="G42" s="66"/>
    </row>
    <row r="43" spans="2:18" x14ac:dyDescent="0.25">
      <c r="B43" s="67"/>
      <c r="C43" s="67"/>
      <c r="D43" s="67"/>
      <c r="E43" s="66"/>
      <c r="F43" s="66"/>
      <c r="G43" s="66"/>
    </row>
    <row r="44" spans="2:18" x14ac:dyDescent="0.25">
      <c r="B44" s="67"/>
      <c r="C44" s="67"/>
      <c r="D44" s="67"/>
      <c r="E44" s="66"/>
      <c r="F44" s="66"/>
      <c r="G44" s="66"/>
    </row>
    <row r="45" spans="2:18" x14ac:dyDescent="0.25">
      <c r="B45" s="67"/>
      <c r="C45" s="67"/>
      <c r="D45" s="67"/>
      <c r="E45" s="66"/>
      <c r="F45" s="66"/>
      <c r="G45" s="66"/>
    </row>
    <row r="46" spans="2:18" x14ac:dyDescent="0.25">
      <c r="B46" s="67"/>
      <c r="C46" s="67"/>
      <c r="D46" s="67"/>
      <c r="E46" s="66"/>
      <c r="F46" s="66"/>
      <c r="G46" s="66"/>
    </row>
    <row r="47" spans="2:18" x14ac:dyDescent="0.25">
      <c r="B47" s="67"/>
      <c r="C47" s="67"/>
      <c r="D47" s="67"/>
      <c r="E47" s="66"/>
      <c r="F47" s="66"/>
      <c r="G47" s="66"/>
    </row>
    <row r="48" spans="2:18" x14ac:dyDescent="0.25">
      <c r="B48" s="72"/>
      <c r="C48" s="72"/>
      <c r="D48" s="72"/>
      <c r="E48" s="72"/>
      <c r="F48" s="72"/>
      <c r="G48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1606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16065" r:id="rId3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2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C13" sqref="C13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7" customHeight="1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185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17" t="s">
        <v>188</v>
      </c>
      <c r="C8" s="317"/>
      <c r="D8" s="317"/>
      <c r="E8" s="317"/>
      <c r="F8" s="317"/>
      <c r="G8" s="18" t="s">
        <v>409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82</v>
      </c>
      <c r="D11" s="21"/>
      <c r="E11" s="21"/>
      <c r="F11" s="22" t="s">
        <v>268</v>
      </c>
      <c r="G11" s="22" t="s">
        <v>55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IN30</v>
      </c>
      <c r="J12" s="25" t="s">
        <v>22</v>
      </c>
      <c r="K12" s="6">
        <f>SUM(L12:Q12)</f>
        <v>534</v>
      </c>
      <c r="L12" s="6"/>
      <c r="M12" s="6">
        <f>+G18</f>
        <v>534</v>
      </c>
      <c r="N12" s="6"/>
      <c r="O12" s="6"/>
      <c r="P12" s="6"/>
      <c r="Q12" s="6"/>
      <c r="R12" s="6"/>
      <c r="S12" s="6"/>
    </row>
    <row r="13" spans="2:19" x14ac:dyDescent="0.25">
      <c r="B13" s="5" t="s">
        <v>684</v>
      </c>
      <c r="C13" s="5"/>
      <c r="D13" s="5" t="s">
        <v>685</v>
      </c>
      <c r="E13" s="6">
        <v>20</v>
      </c>
      <c r="F13" s="6">
        <f>26700*1000/1000000</f>
        <v>26.7</v>
      </c>
      <c r="G13" s="6">
        <f>+F13*E13</f>
        <v>534</v>
      </c>
      <c r="I13" s="15"/>
      <c r="J13" s="25"/>
      <c r="K13" s="6">
        <f t="shared" ref="K13:K19" si="0">SUM(L13:Q13)</f>
        <v>0</v>
      </c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5"/>
      <c r="J14" s="25"/>
      <c r="K14" s="6">
        <f t="shared" si="0"/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>
        <f t="shared" si="0"/>
        <v>0</v>
      </c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6"/>
      <c r="M17" s="6"/>
      <c r="N17" s="6"/>
      <c r="O17" s="6"/>
      <c r="P17" s="6"/>
      <c r="Q17" s="6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534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534</v>
      </c>
      <c r="L20" s="16">
        <f t="shared" ref="L20:S20" si="1">SUM(L12:L19)</f>
        <v>0</v>
      </c>
      <c r="M20" s="16">
        <f t="shared" si="1"/>
        <v>534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0</v>
      </c>
      <c r="R20" s="16">
        <f t="shared" si="1"/>
        <v>0</v>
      </c>
      <c r="S20" s="16">
        <f t="shared" si="1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74" t="s">
        <v>265</v>
      </c>
      <c r="J22" s="174"/>
      <c r="K22" s="174"/>
      <c r="L22" s="174"/>
      <c r="M22" s="174"/>
      <c r="N22" s="174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</row>
    <row r="24" spans="2:19" x14ac:dyDescent="0.25">
      <c r="I24" s="15" t="str">
        <f>+I12</f>
        <v>IN30</v>
      </c>
      <c r="J24" s="15"/>
      <c r="K24" s="109"/>
      <c r="L24" s="193">
        <v>0.06</v>
      </c>
      <c r="M24" s="6"/>
      <c r="N24" s="6"/>
      <c r="O24" t="s">
        <v>767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5600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56001" r:id="rId3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5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I13" sqref="I13"/>
    </sheetView>
  </sheetViews>
  <sheetFormatPr baseColWidth="10" defaultRowHeight="15" x14ac:dyDescent="0.25"/>
  <cols>
    <col min="1" max="1" width="4.140625" customWidth="1"/>
    <col min="2" max="2" width="21.570312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185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189</v>
      </c>
      <c r="C8" s="309"/>
      <c r="D8" s="309"/>
      <c r="E8" s="309"/>
      <c r="F8" s="309"/>
      <c r="G8" s="18" t="s">
        <v>413</v>
      </c>
      <c r="I8" s="25" t="s">
        <v>21</v>
      </c>
      <c r="J8" s="25" t="s">
        <v>91</v>
      </c>
      <c r="K8" s="25" t="s">
        <v>76</v>
      </c>
      <c r="L8" s="25" t="s">
        <v>77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430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">
        <v>430</v>
      </c>
      <c r="J12" s="25" t="s">
        <v>22</v>
      </c>
      <c r="K12" s="6">
        <f>SUM(L12:S12)</f>
        <v>1000</v>
      </c>
      <c r="L12" s="6">
        <v>0</v>
      </c>
      <c r="M12" s="6">
        <v>1000</v>
      </c>
      <c r="N12" s="6">
        <v>0</v>
      </c>
      <c r="O12" s="6">
        <f>+N12</f>
        <v>0</v>
      </c>
      <c r="P12" s="6">
        <f>+O12</f>
        <v>0</v>
      </c>
      <c r="Q12" s="6">
        <v>0</v>
      </c>
      <c r="R12" s="6"/>
      <c r="S12" s="6"/>
    </row>
    <row r="13" spans="1:19" ht="34.5" x14ac:dyDescent="0.25">
      <c r="A13" s="162" t="s">
        <v>430</v>
      </c>
      <c r="B13" s="82" t="s">
        <v>442</v>
      </c>
      <c r="C13" s="5" t="s">
        <v>687</v>
      </c>
      <c r="D13" s="5" t="s">
        <v>686</v>
      </c>
      <c r="E13" s="6">
        <v>1</v>
      </c>
      <c r="F13" s="112">
        <v>1000</v>
      </c>
      <c r="G13" s="6">
        <f>+F13*E13</f>
        <v>1000</v>
      </c>
      <c r="I13" s="15"/>
      <c r="J13" s="25"/>
      <c r="K13" s="6"/>
      <c r="L13" s="6">
        <f>+G27</f>
        <v>0</v>
      </c>
      <c r="M13" s="6">
        <f t="shared" ref="M13:P16" si="0">+L13</f>
        <v>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>+P13*5</f>
        <v>0</v>
      </c>
      <c r="R13" s="6">
        <f t="shared" ref="R13:S16" si="1">+Q13</f>
        <v>0</v>
      </c>
      <c r="S13" s="6">
        <f t="shared" si="1"/>
        <v>0</v>
      </c>
    </row>
    <row r="14" spans="1:19" x14ac:dyDescent="0.25">
      <c r="A14" s="137"/>
      <c r="B14" s="82"/>
      <c r="C14" s="5"/>
      <c r="D14" s="5"/>
      <c r="E14" s="6"/>
      <c r="F14" s="6"/>
      <c r="G14" s="6">
        <f>+F14*E14</f>
        <v>0</v>
      </c>
      <c r="I14" s="5"/>
      <c r="J14" s="25"/>
      <c r="K14" s="6">
        <f>SUM(L14:S14)</f>
        <v>0</v>
      </c>
      <c r="L14" s="6">
        <f>+G36</f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>
        <f>+P14*5</f>
        <v>0</v>
      </c>
      <c r="R14" s="6">
        <f t="shared" si="1"/>
        <v>0</v>
      </c>
      <c r="S14" s="6">
        <f t="shared" si="1"/>
        <v>0</v>
      </c>
    </row>
    <row r="15" spans="1:19" x14ac:dyDescent="0.25">
      <c r="A15" s="137"/>
      <c r="B15" s="82"/>
      <c r="C15" s="5"/>
      <c r="D15" s="5"/>
      <c r="E15" s="6"/>
      <c r="F15" s="6"/>
      <c r="G15" s="6">
        <f>+F15*E15</f>
        <v>0</v>
      </c>
      <c r="I15" s="5"/>
      <c r="J15" s="25"/>
      <c r="K15" s="6">
        <f>SUM(L15:S15)</f>
        <v>0</v>
      </c>
      <c r="L15" s="6">
        <f>+G45</f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>+P15*5</f>
        <v>0</v>
      </c>
      <c r="R15" s="6">
        <f t="shared" si="1"/>
        <v>0</v>
      </c>
      <c r="S15" s="6">
        <f t="shared" si="1"/>
        <v>0</v>
      </c>
    </row>
    <row r="16" spans="1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>
        <f>SUM(L16:S16)</f>
        <v>0</v>
      </c>
      <c r="L16" s="6">
        <f>+G54</f>
        <v>0</v>
      </c>
      <c r="M16" s="6">
        <f t="shared" si="0"/>
        <v>0</v>
      </c>
      <c r="N16" s="6">
        <f t="shared" si="0"/>
        <v>0</v>
      </c>
      <c r="O16" s="6">
        <f t="shared" si="0"/>
        <v>0</v>
      </c>
      <c r="P16" s="6">
        <f t="shared" si="0"/>
        <v>0</v>
      </c>
      <c r="Q16" s="6">
        <f>+P16*5</f>
        <v>0</v>
      </c>
      <c r="R16" s="6">
        <f t="shared" si="1"/>
        <v>0</v>
      </c>
      <c r="S16" s="6">
        <f t="shared" si="1"/>
        <v>0</v>
      </c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>SUM(L17:Q17)</f>
        <v>0</v>
      </c>
      <c r="L17" s="6"/>
      <c r="M17" s="6"/>
      <c r="N17" s="6"/>
      <c r="O17" s="6"/>
      <c r="P17" s="6"/>
      <c r="Q17" s="6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1000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1000</v>
      </c>
      <c r="L20" s="16">
        <f t="shared" ref="L20:S20" si="2">SUM(L12:L19)</f>
        <v>0</v>
      </c>
      <c r="M20" s="16">
        <f t="shared" si="2"/>
        <v>1000</v>
      </c>
      <c r="N20" s="16">
        <f t="shared" si="2"/>
        <v>0</v>
      </c>
      <c r="O20" s="16">
        <f t="shared" si="2"/>
        <v>0</v>
      </c>
      <c r="P20" s="16">
        <f t="shared" si="2"/>
        <v>0</v>
      </c>
      <c r="Q20" s="16">
        <f t="shared" si="2"/>
        <v>0</v>
      </c>
      <c r="R20" s="16">
        <f t="shared" si="2"/>
        <v>0</v>
      </c>
      <c r="S20" s="16">
        <f t="shared" si="2"/>
        <v>0</v>
      </c>
    </row>
    <row r="21" spans="2:19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67"/>
      <c r="C22" s="67"/>
      <c r="D22" s="67"/>
      <c r="E22" s="66"/>
      <c r="F22" s="66"/>
      <c r="G22" s="66"/>
      <c r="I22" s="174" t="s">
        <v>265</v>
      </c>
      <c r="J22" s="174"/>
      <c r="K22" s="174"/>
      <c r="L22" s="174"/>
      <c r="M22" s="174"/>
      <c r="N22" s="174"/>
    </row>
    <row r="23" spans="2:19" x14ac:dyDescent="0.25">
      <c r="B23" s="67"/>
      <c r="C23" s="67"/>
      <c r="D23" s="67"/>
      <c r="E23" s="66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</row>
    <row r="24" spans="2:19" x14ac:dyDescent="0.25">
      <c r="B24" s="67"/>
      <c r="C24" s="67"/>
      <c r="D24" s="67"/>
      <c r="E24" s="66"/>
      <c r="F24" s="66"/>
      <c r="G24" s="66"/>
      <c r="I24" s="15" t="str">
        <f>+I12</f>
        <v>CA45</v>
      </c>
      <c r="J24" s="15"/>
      <c r="K24" s="109"/>
      <c r="L24" s="193">
        <v>0.06</v>
      </c>
      <c r="M24" s="6"/>
      <c r="N24" s="6"/>
      <c r="O24" t="s">
        <v>767</v>
      </c>
    </row>
    <row r="25" spans="2:19" x14ac:dyDescent="0.25">
      <c r="B25" s="67"/>
      <c r="C25" s="67"/>
      <c r="D25" s="67"/>
      <c r="E25" s="66"/>
      <c r="F25" s="66"/>
      <c r="G25" s="66"/>
    </row>
    <row r="26" spans="2:19" x14ac:dyDescent="0.25">
      <c r="B26" s="67"/>
      <c r="C26" s="67"/>
      <c r="D26" s="67"/>
      <c r="E26" s="66"/>
      <c r="F26" s="66"/>
      <c r="G26" s="66"/>
    </row>
    <row r="27" spans="2:19" x14ac:dyDescent="0.25">
      <c r="B27" s="67"/>
      <c r="C27" s="67"/>
      <c r="D27" s="67"/>
      <c r="E27" s="66"/>
      <c r="F27" s="66"/>
      <c r="G27" s="146"/>
    </row>
    <row r="28" spans="2:19" x14ac:dyDescent="0.25">
      <c r="B28" s="72"/>
      <c r="C28" s="72"/>
      <c r="D28" s="72"/>
      <c r="E28" s="72"/>
      <c r="F28" s="72"/>
      <c r="G28" s="72"/>
    </row>
    <row r="29" spans="2:19" x14ac:dyDescent="0.25">
      <c r="B29" s="65"/>
      <c r="C29" s="142"/>
      <c r="D29" s="142"/>
      <c r="E29" s="142"/>
      <c r="F29" s="142"/>
      <c r="G29" s="142"/>
    </row>
    <row r="30" spans="2:19" x14ac:dyDescent="0.25">
      <c r="B30" s="143"/>
      <c r="C30" s="144"/>
      <c r="D30" s="144"/>
      <c r="E30" s="144"/>
      <c r="F30" s="144"/>
      <c r="G30" s="144"/>
    </row>
    <row r="31" spans="2:19" x14ac:dyDescent="0.25">
      <c r="B31" s="67"/>
      <c r="C31" s="67"/>
      <c r="D31" s="67"/>
      <c r="E31" s="66"/>
      <c r="F31" s="66"/>
      <c r="G31" s="66"/>
    </row>
    <row r="32" spans="2:19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1708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17089" r:id="rId3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55"/>
  <sheetViews>
    <sheetView showGridLines="0" topLeftCell="A8" workbookViewId="0">
      <selection activeCell="Q15" sqref="Q15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4.75" customHeight="1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190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93</v>
      </c>
      <c r="C8" s="309"/>
      <c r="D8" s="309"/>
      <c r="E8" s="309"/>
      <c r="F8" s="309"/>
      <c r="G8" s="18" t="s">
        <v>690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697</v>
      </c>
      <c r="D11" s="21"/>
      <c r="E11" s="21"/>
      <c r="F11" s="22" t="s">
        <v>1</v>
      </c>
      <c r="G11" s="22" t="s">
        <v>56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IN31</v>
      </c>
      <c r="J12" s="25" t="str">
        <f>+$J$8</f>
        <v>NO ESTRUCTURAL</v>
      </c>
      <c r="K12" s="6">
        <f>SUM(L12:Q12)</f>
        <v>230</v>
      </c>
      <c r="L12" s="6"/>
      <c r="M12" s="6"/>
      <c r="N12" s="6"/>
      <c r="O12" s="6"/>
      <c r="P12" s="6"/>
      <c r="Q12" s="6">
        <f>+G20</f>
        <v>230</v>
      </c>
      <c r="R12" s="6"/>
      <c r="S12" s="6"/>
    </row>
    <row r="13" spans="2:19" x14ac:dyDescent="0.25">
      <c r="B13" s="5" t="s">
        <v>662</v>
      </c>
      <c r="C13" s="5"/>
      <c r="D13" s="5" t="s">
        <v>128</v>
      </c>
      <c r="E13" s="6">
        <v>24</v>
      </c>
      <c r="F13" s="30">
        <v>1.4</v>
      </c>
      <c r="G13" s="30">
        <f t="shared" ref="G13:G19" si="0">+F13*E13</f>
        <v>33.599999999999994</v>
      </c>
      <c r="I13" s="5" t="str">
        <f>+G22</f>
        <v>IN32</v>
      </c>
      <c r="J13" s="25" t="str">
        <f>+$J$8</f>
        <v>NO ESTRUCTURAL</v>
      </c>
      <c r="K13" s="6">
        <f t="shared" ref="K13:K19" si="1">SUM(L13:Q13)</f>
        <v>230</v>
      </c>
      <c r="L13" s="6"/>
      <c r="M13" s="6"/>
      <c r="N13" s="6"/>
      <c r="O13" s="6"/>
      <c r="P13" s="6"/>
      <c r="Q13" s="6">
        <f>+G32</f>
        <v>230</v>
      </c>
      <c r="R13" s="6"/>
      <c r="S13" s="6"/>
    </row>
    <row r="14" spans="2:19" x14ac:dyDescent="0.25">
      <c r="B14" s="5" t="s">
        <v>699</v>
      </c>
      <c r="C14" s="5"/>
      <c r="D14" s="5" t="s">
        <v>128</v>
      </c>
      <c r="E14" s="6">
        <v>24</v>
      </c>
      <c r="F14" s="30">
        <v>1.4</v>
      </c>
      <c r="G14" s="30">
        <f t="shared" si="0"/>
        <v>33.599999999999994</v>
      </c>
      <c r="I14" s="5" t="str">
        <f>+G34</f>
        <v>IN33</v>
      </c>
      <c r="J14" s="25" t="str">
        <f>+$J$8</f>
        <v>NO ESTRUCTURAL</v>
      </c>
      <c r="K14" s="6">
        <f t="shared" si="1"/>
        <v>230</v>
      </c>
      <c r="L14" s="6"/>
      <c r="M14" s="6"/>
      <c r="N14" s="6"/>
      <c r="O14" s="6"/>
      <c r="P14" s="6"/>
      <c r="Q14" s="6">
        <f>+G44</f>
        <v>230</v>
      </c>
      <c r="R14" s="6"/>
      <c r="S14" s="6"/>
    </row>
    <row r="15" spans="2:19" x14ac:dyDescent="0.25">
      <c r="B15" s="5" t="s">
        <v>700</v>
      </c>
      <c r="C15" s="5"/>
      <c r="D15" s="5" t="s">
        <v>128</v>
      </c>
      <c r="E15" s="6">
        <v>24</v>
      </c>
      <c r="F15" s="30">
        <v>1.4</v>
      </c>
      <c r="G15" s="30">
        <f t="shared" si="0"/>
        <v>33.599999999999994</v>
      </c>
      <c r="I15" s="5" t="str">
        <f>+G46</f>
        <v>IN34</v>
      </c>
      <c r="J15" s="25" t="str">
        <f>+$J$8</f>
        <v>NO ESTRUCTURAL</v>
      </c>
      <c r="K15" s="6">
        <f t="shared" si="1"/>
        <v>230</v>
      </c>
      <c r="L15" s="6"/>
      <c r="M15" s="6">
        <f>+G55*0.5</f>
        <v>115</v>
      </c>
      <c r="N15" s="6">
        <f>+M15</f>
        <v>115</v>
      </c>
      <c r="O15" s="6"/>
      <c r="P15" s="6"/>
      <c r="Q15" s="6"/>
      <c r="R15" s="6"/>
      <c r="S15" s="6"/>
    </row>
    <row r="16" spans="2:19" x14ac:dyDescent="0.25">
      <c r="B16" s="5" t="s">
        <v>666</v>
      </c>
      <c r="C16" s="5"/>
      <c r="D16" s="5" t="s">
        <v>128</v>
      </c>
      <c r="E16" s="6">
        <v>24</v>
      </c>
      <c r="F16" s="30">
        <v>0.7</v>
      </c>
      <c r="G16" s="30">
        <f t="shared" si="0"/>
        <v>16.799999999999997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702</v>
      </c>
      <c r="C17" s="8"/>
      <c r="D17" s="8" t="s">
        <v>128</v>
      </c>
      <c r="E17" s="9">
        <v>24</v>
      </c>
      <c r="F17" s="31">
        <v>1.4</v>
      </c>
      <c r="G17" s="30">
        <f t="shared" si="0"/>
        <v>33.599999999999994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8" t="s">
        <v>701</v>
      </c>
      <c r="C18" s="8"/>
      <c r="D18" s="8" t="s">
        <v>128</v>
      </c>
      <c r="E18" s="9">
        <v>24</v>
      </c>
      <c r="F18" s="31">
        <v>2</v>
      </c>
      <c r="G18" s="30">
        <f t="shared" si="0"/>
        <v>48</v>
      </c>
      <c r="I18" s="5"/>
      <c r="J18" s="5"/>
      <c r="K18" s="6">
        <f t="shared" si="1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8" t="s">
        <v>113</v>
      </c>
      <c r="C19" s="8"/>
      <c r="D19" s="8" t="s">
        <v>90</v>
      </c>
      <c r="E19" s="9">
        <v>1</v>
      </c>
      <c r="F19" s="31">
        <v>30.8</v>
      </c>
      <c r="G19" s="30">
        <f t="shared" si="0"/>
        <v>30.8</v>
      </c>
      <c r="I19" s="5"/>
      <c r="J19" s="5"/>
      <c r="K19" s="6">
        <f t="shared" si="1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0" t="s">
        <v>2</v>
      </c>
      <c r="C20" s="11"/>
      <c r="D20" s="11"/>
      <c r="E20" s="12"/>
      <c r="F20" s="7"/>
      <c r="G20" s="40">
        <f>SUM(G13:G19)</f>
        <v>230</v>
      </c>
      <c r="I20" s="17" t="s">
        <v>2</v>
      </c>
      <c r="J20" s="14"/>
      <c r="K20" s="16">
        <f>SUM(K12:K19)</f>
        <v>920</v>
      </c>
      <c r="L20" s="16">
        <f t="shared" ref="L20:S20" si="2">SUM(L12:L19)</f>
        <v>0</v>
      </c>
      <c r="M20" s="16">
        <f t="shared" si="2"/>
        <v>115</v>
      </c>
      <c r="N20" s="16">
        <f t="shared" si="2"/>
        <v>115</v>
      </c>
      <c r="O20" s="16">
        <f t="shared" si="2"/>
        <v>0</v>
      </c>
      <c r="P20" s="16">
        <f t="shared" si="2"/>
        <v>0</v>
      </c>
      <c r="Q20" s="16">
        <f t="shared" si="2"/>
        <v>690</v>
      </c>
      <c r="R20" s="16">
        <f t="shared" si="2"/>
        <v>0</v>
      </c>
      <c r="S20" s="16">
        <f t="shared" si="2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19" t="s">
        <v>3</v>
      </c>
      <c r="C22" s="20" t="s">
        <v>698</v>
      </c>
      <c r="D22" s="21"/>
      <c r="E22" s="21"/>
      <c r="F22" s="22" t="s">
        <v>1</v>
      </c>
      <c r="G22" s="22" t="s">
        <v>57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</row>
    <row r="23" spans="2:19" ht="23.25" x14ac:dyDescent="0.25">
      <c r="B23" s="3" t="s">
        <v>13</v>
      </c>
      <c r="C23" s="4" t="s">
        <v>11</v>
      </c>
      <c r="D23" s="4" t="s">
        <v>9</v>
      </c>
      <c r="E23" s="4" t="s">
        <v>10</v>
      </c>
      <c r="F23" s="4" t="s">
        <v>14</v>
      </c>
      <c r="G23" s="4" t="s">
        <v>12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</row>
    <row r="24" spans="2:19" x14ac:dyDescent="0.25">
      <c r="B24" s="5" t="s">
        <v>94</v>
      </c>
      <c r="C24" s="5"/>
      <c r="D24" s="5" t="s">
        <v>90</v>
      </c>
      <c r="E24" s="6">
        <v>1</v>
      </c>
      <c r="F24" s="6">
        <v>230</v>
      </c>
      <c r="G24" s="6">
        <f t="shared" ref="G24:G31" si="3">+F24*E24</f>
        <v>230</v>
      </c>
      <c r="I24" s="15" t="str">
        <f>+I12</f>
        <v>IN31</v>
      </c>
      <c r="J24" s="15"/>
      <c r="K24" s="109"/>
      <c r="L24" s="6"/>
      <c r="M24" s="6">
        <f>NPV($L$8,P24:R24)+O24</f>
        <v>210.84015663937342</v>
      </c>
      <c r="N24" s="6">
        <f>-PMT($L$8,2,M24)</f>
        <v>115</v>
      </c>
      <c r="O24" s="112">
        <v>0</v>
      </c>
      <c r="P24" s="112">
        <v>115</v>
      </c>
      <c r="Q24" s="112">
        <v>115</v>
      </c>
      <c r="R24" s="112">
        <f t="shared" ref="R24:R25" si="4">+O12</f>
        <v>0</v>
      </c>
    </row>
    <row r="25" spans="2:19" x14ac:dyDescent="0.25">
      <c r="B25" s="5" t="s">
        <v>662</v>
      </c>
      <c r="C25" s="5"/>
      <c r="D25" s="5" t="s">
        <v>128</v>
      </c>
      <c r="E25" s="6">
        <v>24</v>
      </c>
      <c r="F25" s="30">
        <v>1.4</v>
      </c>
      <c r="G25" s="30">
        <f t="shared" si="3"/>
        <v>33.599999999999994</v>
      </c>
      <c r="I25" s="15" t="str">
        <f>+I13</f>
        <v>IN32</v>
      </c>
      <c r="J25" s="15"/>
      <c r="K25" s="109"/>
      <c r="L25" s="6"/>
      <c r="M25" s="6">
        <f>NPV($L$8,P25:Y25)+O25</f>
        <v>210.84015663937342</v>
      </c>
      <c r="N25" s="6">
        <f>-PMT($L$8,2,M25)</f>
        <v>115</v>
      </c>
      <c r="O25" s="112"/>
      <c r="P25" s="112">
        <v>115</v>
      </c>
      <c r="Q25" s="112">
        <v>115</v>
      </c>
      <c r="R25" s="112">
        <f t="shared" si="4"/>
        <v>0</v>
      </c>
    </row>
    <row r="26" spans="2:19" x14ac:dyDescent="0.25">
      <c r="B26" s="5" t="s">
        <v>699</v>
      </c>
      <c r="C26" s="5"/>
      <c r="D26" s="5" t="s">
        <v>128</v>
      </c>
      <c r="E26" s="6">
        <v>24</v>
      </c>
      <c r="F26" s="30">
        <v>1.4</v>
      </c>
      <c r="G26" s="30">
        <f t="shared" si="3"/>
        <v>33.599999999999994</v>
      </c>
      <c r="I26" s="15" t="str">
        <f>+I14</f>
        <v>IN33</v>
      </c>
      <c r="J26" s="15"/>
      <c r="K26" s="109"/>
      <c r="L26" s="6"/>
      <c r="M26" s="6">
        <f>NPV($L$8,P26:Y26)+O26</f>
        <v>210.84015663937342</v>
      </c>
      <c r="N26" s="6">
        <f>-PMT($L$8,2,M26)</f>
        <v>115</v>
      </c>
      <c r="O26" s="112"/>
      <c r="P26" s="112">
        <v>115</v>
      </c>
      <c r="Q26" s="112">
        <v>115</v>
      </c>
      <c r="R26" s="112"/>
    </row>
    <row r="27" spans="2:19" x14ac:dyDescent="0.25">
      <c r="B27" s="5" t="s">
        <v>700</v>
      </c>
      <c r="C27" s="5"/>
      <c r="D27" s="5" t="s">
        <v>128</v>
      </c>
      <c r="E27" s="6">
        <v>24</v>
      </c>
      <c r="F27" s="30">
        <v>1.4</v>
      </c>
      <c r="G27" s="30">
        <f t="shared" si="3"/>
        <v>33.599999999999994</v>
      </c>
      <c r="I27" s="15" t="str">
        <f>+I15</f>
        <v>IN34</v>
      </c>
      <c r="J27" s="15"/>
      <c r="K27" s="109"/>
      <c r="L27" s="6"/>
      <c r="M27" s="6">
        <f>NPV($L$8,P27:Y27)+O27</f>
        <v>210.84015663937342</v>
      </c>
      <c r="N27" s="6">
        <f>-PMT($L$8,2,M27)</f>
        <v>115</v>
      </c>
      <c r="O27" s="112"/>
      <c r="P27" s="112">
        <v>115</v>
      </c>
      <c r="Q27" s="112">
        <v>115</v>
      </c>
      <c r="R27" s="112"/>
    </row>
    <row r="28" spans="2:19" x14ac:dyDescent="0.25">
      <c r="B28" s="5" t="s">
        <v>666</v>
      </c>
      <c r="C28" s="5"/>
      <c r="D28" s="5" t="s">
        <v>128</v>
      </c>
      <c r="E28" s="6">
        <v>24</v>
      </c>
      <c r="F28" s="30">
        <v>0.7</v>
      </c>
      <c r="G28" s="30">
        <f t="shared" si="3"/>
        <v>16.799999999999997</v>
      </c>
    </row>
    <row r="29" spans="2:19" x14ac:dyDescent="0.25">
      <c r="B29" s="8" t="s">
        <v>702</v>
      </c>
      <c r="C29" s="8"/>
      <c r="D29" s="8" t="s">
        <v>128</v>
      </c>
      <c r="E29" s="9">
        <v>24</v>
      </c>
      <c r="F29" s="31">
        <v>1.4</v>
      </c>
      <c r="G29" s="30">
        <f t="shared" si="3"/>
        <v>33.599999999999994</v>
      </c>
    </row>
    <row r="30" spans="2:19" x14ac:dyDescent="0.25">
      <c r="B30" s="8" t="s">
        <v>701</v>
      </c>
      <c r="C30" s="8"/>
      <c r="D30" s="8" t="s">
        <v>128</v>
      </c>
      <c r="E30" s="9">
        <v>24</v>
      </c>
      <c r="F30" s="31">
        <v>2</v>
      </c>
      <c r="G30" s="30">
        <f t="shared" si="3"/>
        <v>48</v>
      </c>
    </row>
    <row r="31" spans="2:19" x14ac:dyDescent="0.25">
      <c r="B31" s="8" t="s">
        <v>113</v>
      </c>
      <c r="C31" s="8"/>
      <c r="D31" s="8" t="s">
        <v>90</v>
      </c>
      <c r="E31" s="9">
        <v>1</v>
      </c>
      <c r="F31" s="31">
        <v>30.8</v>
      </c>
      <c r="G31" s="30">
        <f t="shared" si="3"/>
        <v>30.8</v>
      </c>
    </row>
    <row r="32" spans="2:19" x14ac:dyDescent="0.25">
      <c r="B32" s="10" t="s">
        <v>2</v>
      </c>
      <c r="C32" s="11"/>
      <c r="D32" s="11"/>
      <c r="E32" s="12"/>
      <c r="F32" s="7"/>
      <c r="G32" s="40">
        <f>SUM(G25:G31)</f>
        <v>230</v>
      </c>
    </row>
    <row r="34" spans="2:7" x14ac:dyDescent="0.25">
      <c r="B34" s="19" t="s">
        <v>3</v>
      </c>
      <c r="C34" s="20" t="s">
        <v>695</v>
      </c>
      <c r="D34" s="21"/>
      <c r="E34" s="21"/>
      <c r="F34" s="22" t="s">
        <v>1</v>
      </c>
      <c r="G34" s="22" t="s">
        <v>58</v>
      </c>
    </row>
    <row r="35" spans="2:7" ht="23.25" x14ac:dyDescent="0.25">
      <c r="B35" s="3" t="s">
        <v>13</v>
      </c>
      <c r="C35" s="4" t="s">
        <v>11</v>
      </c>
      <c r="D35" s="4" t="s">
        <v>9</v>
      </c>
      <c r="E35" s="4" t="s">
        <v>10</v>
      </c>
      <c r="F35" s="4" t="s">
        <v>14</v>
      </c>
      <c r="G35" s="4" t="s">
        <v>12</v>
      </c>
    </row>
    <row r="36" spans="2:7" x14ac:dyDescent="0.25">
      <c r="B36" s="5" t="s">
        <v>94</v>
      </c>
      <c r="C36" s="5"/>
      <c r="D36" s="5" t="s">
        <v>90</v>
      </c>
      <c r="E36" s="6">
        <v>1</v>
      </c>
      <c r="F36" s="6">
        <v>230</v>
      </c>
      <c r="G36" s="6">
        <f t="shared" ref="G36:G43" si="5">+F36*E36</f>
        <v>230</v>
      </c>
    </row>
    <row r="37" spans="2:7" x14ac:dyDescent="0.25">
      <c r="B37" s="5" t="s">
        <v>662</v>
      </c>
      <c r="C37" s="5"/>
      <c r="D37" s="5" t="s">
        <v>128</v>
      </c>
      <c r="E37" s="6">
        <v>24</v>
      </c>
      <c r="F37" s="30">
        <v>1.4</v>
      </c>
      <c r="G37" s="30">
        <f t="shared" si="5"/>
        <v>33.599999999999994</v>
      </c>
    </row>
    <row r="38" spans="2:7" x14ac:dyDescent="0.25">
      <c r="B38" s="5" t="s">
        <v>699</v>
      </c>
      <c r="C38" s="5"/>
      <c r="D38" s="5" t="s">
        <v>128</v>
      </c>
      <c r="E38" s="6">
        <v>24</v>
      </c>
      <c r="F38" s="30">
        <v>1.4</v>
      </c>
      <c r="G38" s="30">
        <f t="shared" si="5"/>
        <v>33.599999999999994</v>
      </c>
    </row>
    <row r="39" spans="2:7" x14ac:dyDescent="0.25">
      <c r="B39" s="5" t="s">
        <v>700</v>
      </c>
      <c r="C39" s="5"/>
      <c r="D39" s="5" t="s">
        <v>128</v>
      </c>
      <c r="E39" s="6">
        <v>24</v>
      </c>
      <c r="F39" s="30">
        <v>1.4</v>
      </c>
      <c r="G39" s="30">
        <f t="shared" si="5"/>
        <v>33.599999999999994</v>
      </c>
    </row>
    <row r="40" spans="2:7" x14ac:dyDescent="0.25">
      <c r="B40" s="5" t="s">
        <v>666</v>
      </c>
      <c r="C40" s="5"/>
      <c r="D40" s="5" t="s">
        <v>128</v>
      </c>
      <c r="E40" s="6">
        <v>24</v>
      </c>
      <c r="F40" s="30">
        <v>0.7</v>
      </c>
      <c r="G40" s="30">
        <f t="shared" si="5"/>
        <v>16.799999999999997</v>
      </c>
    </row>
    <row r="41" spans="2:7" x14ac:dyDescent="0.25">
      <c r="B41" s="8" t="s">
        <v>702</v>
      </c>
      <c r="C41" s="8"/>
      <c r="D41" s="8" t="s">
        <v>128</v>
      </c>
      <c r="E41" s="9">
        <v>24</v>
      </c>
      <c r="F41" s="31">
        <v>1.4</v>
      </c>
      <c r="G41" s="30">
        <f t="shared" si="5"/>
        <v>33.599999999999994</v>
      </c>
    </row>
    <row r="42" spans="2:7" x14ac:dyDescent="0.25">
      <c r="B42" s="8" t="s">
        <v>701</v>
      </c>
      <c r="C42" s="8"/>
      <c r="D42" s="8" t="s">
        <v>128</v>
      </c>
      <c r="E42" s="9">
        <v>24</v>
      </c>
      <c r="F42" s="31">
        <v>2</v>
      </c>
      <c r="G42" s="30">
        <f t="shared" si="5"/>
        <v>48</v>
      </c>
    </row>
    <row r="43" spans="2:7" x14ac:dyDescent="0.25">
      <c r="B43" s="8" t="s">
        <v>113</v>
      </c>
      <c r="C43" s="8"/>
      <c r="D43" s="8" t="s">
        <v>90</v>
      </c>
      <c r="E43" s="9">
        <v>1</v>
      </c>
      <c r="F43" s="31">
        <v>30.8</v>
      </c>
      <c r="G43" s="30">
        <f t="shared" si="5"/>
        <v>30.8</v>
      </c>
    </row>
    <row r="44" spans="2:7" x14ac:dyDescent="0.25">
      <c r="B44" s="10" t="s">
        <v>2</v>
      </c>
      <c r="C44" s="11"/>
      <c r="D44" s="11"/>
      <c r="E44" s="12"/>
      <c r="F44" s="7"/>
      <c r="G44" s="40">
        <f>SUM(G37:G43)</f>
        <v>230</v>
      </c>
    </row>
    <row r="46" spans="2:7" x14ac:dyDescent="0.25">
      <c r="B46" s="19" t="s">
        <v>3</v>
      </c>
      <c r="C46" s="20" t="s">
        <v>696</v>
      </c>
      <c r="D46" s="21"/>
      <c r="E46" s="21"/>
      <c r="F46" s="22" t="s">
        <v>1</v>
      </c>
      <c r="G46" s="22" t="s">
        <v>59</v>
      </c>
    </row>
    <row r="47" spans="2:7" ht="23.25" x14ac:dyDescent="0.25">
      <c r="B47" s="3" t="s">
        <v>13</v>
      </c>
      <c r="C47" s="4" t="s">
        <v>11</v>
      </c>
      <c r="D47" s="4" t="s">
        <v>9</v>
      </c>
      <c r="E47" s="4" t="s">
        <v>10</v>
      </c>
      <c r="F47" s="4" t="s">
        <v>14</v>
      </c>
      <c r="G47" s="4" t="s">
        <v>12</v>
      </c>
    </row>
    <row r="48" spans="2:7" x14ac:dyDescent="0.25">
      <c r="B48" s="5" t="s">
        <v>662</v>
      </c>
      <c r="C48" s="5"/>
      <c r="D48" s="5" t="s">
        <v>128</v>
      </c>
      <c r="E48" s="6">
        <v>24</v>
      </c>
      <c r="F48" s="30">
        <v>1.4</v>
      </c>
      <c r="G48" s="30">
        <f t="shared" ref="G48:G54" si="6">+F48*E48</f>
        <v>33.599999999999994</v>
      </c>
    </row>
    <row r="49" spans="2:7" x14ac:dyDescent="0.25">
      <c r="B49" s="5" t="s">
        <v>699</v>
      </c>
      <c r="C49" s="5"/>
      <c r="D49" s="5" t="s">
        <v>128</v>
      </c>
      <c r="E49" s="6">
        <v>24</v>
      </c>
      <c r="F49" s="30">
        <v>1.4</v>
      </c>
      <c r="G49" s="30">
        <f t="shared" si="6"/>
        <v>33.599999999999994</v>
      </c>
    </row>
    <row r="50" spans="2:7" x14ac:dyDescent="0.25">
      <c r="B50" s="5" t="s">
        <v>700</v>
      </c>
      <c r="C50" s="5"/>
      <c r="D50" s="5" t="s">
        <v>128</v>
      </c>
      <c r="E50" s="6">
        <v>24</v>
      </c>
      <c r="F50" s="30">
        <v>1.4</v>
      </c>
      <c r="G50" s="30">
        <f t="shared" si="6"/>
        <v>33.599999999999994</v>
      </c>
    </row>
    <row r="51" spans="2:7" x14ac:dyDescent="0.25">
      <c r="B51" s="5" t="s">
        <v>666</v>
      </c>
      <c r="C51" s="5"/>
      <c r="D51" s="5" t="s">
        <v>128</v>
      </c>
      <c r="E51" s="6">
        <v>24</v>
      </c>
      <c r="F51" s="30">
        <v>0.7</v>
      </c>
      <c r="G51" s="30">
        <f t="shared" si="6"/>
        <v>16.799999999999997</v>
      </c>
    </row>
    <row r="52" spans="2:7" x14ac:dyDescent="0.25">
      <c r="B52" s="8" t="s">
        <v>702</v>
      </c>
      <c r="C52" s="8"/>
      <c r="D52" s="8" t="s">
        <v>128</v>
      </c>
      <c r="E52" s="9">
        <v>24</v>
      </c>
      <c r="F52" s="31">
        <v>1.4</v>
      </c>
      <c r="G52" s="30">
        <f t="shared" si="6"/>
        <v>33.599999999999994</v>
      </c>
    </row>
    <row r="53" spans="2:7" x14ac:dyDescent="0.25">
      <c r="B53" s="8" t="s">
        <v>701</v>
      </c>
      <c r="C53" s="8"/>
      <c r="D53" s="8" t="s">
        <v>128</v>
      </c>
      <c r="E53" s="9">
        <v>24</v>
      </c>
      <c r="F53" s="31">
        <v>2</v>
      </c>
      <c r="G53" s="30">
        <f t="shared" si="6"/>
        <v>48</v>
      </c>
    </row>
    <row r="54" spans="2:7" x14ac:dyDescent="0.25">
      <c r="B54" s="8" t="s">
        <v>113</v>
      </c>
      <c r="C54" s="8"/>
      <c r="D54" s="8" t="s">
        <v>90</v>
      </c>
      <c r="E54" s="9">
        <v>1</v>
      </c>
      <c r="F54" s="31">
        <v>30.8</v>
      </c>
      <c r="G54" s="30">
        <f t="shared" si="6"/>
        <v>30.8</v>
      </c>
    </row>
    <row r="55" spans="2:7" x14ac:dyDescent="0.25">
      <c r="B55" s="10" t="s">
        <v>2</v>
      </c>
      <c r="C55" s="11"/>
      <c r="D55" s="11"/>
      <c r="E55" s="12"/>
      <c r="F55" s="7"/>
      <c r="G55" s="40">
        <f>SUM(G48:G54)</f>
        <v>230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94209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94209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28"/>
  <sheetViews>
    <sheetView showGridLines="0" workbookViewId="0">
      <pane xSplit="8" ySplit="11" topLeftCell="I21" activePane="bottomRight" state="frozen"/>
      <selection activeCell="K8" sqref="K8:O8"/>
      <selection pane="topRight" activeCell="K8" sqref="K8:O8"/>
      <selection pane="bottomLeft" activeCell="K8" sqref="K8:O8"/>
      <selection pane="bottomRight" activeCell="A18" sqref="A18"/>
    </sheetView>
  </sheetViews>
  <sheetFormatPr baseColWidth="10" defaultRowHeight="15" x14ac:dyDescent="0.25"/>
  <cols>
    <col min="1" max="1" width="6.85546875" customWidth="1"/>
    <col min="2" max="2" width="25.28515625" customWidth="1"/>
    <col min="6" max="6" width="14.28515625" customWidth="1"/>
    <col min="8" max="8" width="5.4257812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ht="25.5" customHeight="1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ht="27.75" customHeight="1" x14ac:dyDescent="0.25">
      <c r="B7" s="306"/>
      <c r="C7" s="306"/>
      <c r="D7" s="307" t="s">
        <v>190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133</v>
      </c>
      <c r="C8" s="309"/>
      <c r="D8" s="309"/>
      <c r="E8" s="309"/>
      <c r="F8" s="309"/>
      <c r="G8" s="18" t="s">
        <v>704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/>
      <c r="J12" s="25"/>
      <c r="K12" s="6"/>
      <c r="L12" s="6"/>
      <c r="M12" s="6"/>
      <c r="N12" s="6"/>
      <c r="O12" s="6"/>
      <c r="P12" s="6"/>
      <c r="Q12" s="6"/>
      <c r="R12" s="6"/>
      <c r="S12" s="6"/>
    </row>
    <row r="13" spans="1:19" ht="102" x14ac:dyDescent="0.25">
      <c r="A13" s="138" t="s">
        <v>433</v>
      </c>
      <c r="B13" s="82" t="s">
        <v>449</v>
      </c>
      <c r="C13" s="5"/>
      <c r="D13" s="5" t="s">
        <v>90</v>
      </c>
      <c r="E13" s="6">
        <v>1</v>
      </c>
      <c r="F13" s="107">
        <v>144</v>
      </c>
      <c r="G13" s="6">
        <f>+F13*E13</f>
        <v>144</v>
      </c>
      <c r="H13" s="107"/>
      <c r="I13" s="5" t="str">
        <f>+A13</f>
        <v>CA46</v>
      </c>
      <c r="J13" s="25" t="str">
        <f>+$J$8</f>
        <v>NO ESTRUCTURAL</v>
      </c>
      <c r="K13" s="6">
        <f t="shared" ref="K13:K19" si="0">SUM(L13:Q13)</f>
        <v>144</v>
      </c>
      <c r="L13" s="6">
        <f>+G13</f>
        <v>144</v>
      </c>
      <c r="M13" s="6"/>
      <c r="N13" s="6"/>
      <c r="O13" s="6"/>
      <c r="P13" s="6"/>
      <c r="Q13" s="6"/>
      <c r="R13" s="6"/>
      <c r="S13" s="6"/>
    </row>
    <row r="14" spans="1:19" ht="90.75" x14ac:dyDescent="0.25">
      <c r="A14" s="138" t="s">
        <v>437</v>
      </c>
      <c r="B14" s="82" t="s">
        <v>452</v>
      </c>
      <c r="C14" s="5"/>
      <c r="D14" s="5" t="s">
        <v>90</v>
      </c>
      <c r="E14" s="6">
        <v>1</v>
      </c>
      <c r="F14" s="107">
        <v>86</v>
      </c>
      <c r="G14" s="6">
        <f>+F14*E14</f>
        <v>86</v>
      </c>
      <c r="H14" s="107"/>
      <c r="I14" s="5" t="str">
        <f>+A14</f>
        <v>CA47</v>
      </c>
      <c r="J14" s="25" t="str">
        <f>+$J$8</f>
        <v>NO ESTRUCTURAL</v>
      </c>
      <c r="K14" s="6">
        <f t="shared" si="0"/>
        <v>86</v>
      </c>
      <c r="L14" s="6">
        <f>+G14</f>
        <v>86</v>
      </c>
      <c r="M14" s="6"/>
      <c r="N14" s="6"/>
      <c r="O14" s="6"/>
      <c r="P14" s="6"/>
      <c r="Q14" s="6"/>
      <c r="R14" s="6"/>
      <c r="S14" s="6"/>
    </row>
    <row r="15" spans="1:19" ht="90.75" x14ac:dyDescent="0.25">
      <c r="A15" s="138" t="s">
        <v>440</v>
      </c>
      <c r="B15" s="82" t="s">
        <v>455</v>
      </c>
      <c r="C15" s="5"/>
      <c r="D15" s="5" t="s">
        <v>90</v>
      </c>
      <c r="E15" s="6">
        <v>1</v>
      </c>
      <c r="F15" s="107">
        <v>86</v>
      </c>
      <c r="G15" s="6">
        <f>+F15*E15</f>
        <v>86</v>
      </c>
      <c r="H15" s="107"/>
      <c r="I15" s="5" t="str">
        <f>+A15</f>
        <v>CA48</v>
      </c>
      <c r="J15" s="25" t="str">
        <f>+$J$8</f>
        <v>NO ESTRUCTURAL</v>
      </c>
      <c r="K15" s="6">
        <f t="shared" si="0"/>
        <v>86</v>
      </c>
      <c r="L15" s="6">
        <f>+G15</f>
        <v>86</v>
      </c>
      <c r="M15" s="6"/>
      <c r="N15" s="6"/>
      <c r="O15" s="6"/>
      <c r="P15" s="6"/>
      <c r="Q15" s="6"/>
      <c r="R15" s="6"/>
      <c r="S15" s="6"/>
    </row>
    <row r="16" spans="1:19" ht="34.5" x14ac:dyDescent="0.25">
      <c r="A16" s="138" t="s">
        <v>441</v>
      </c>
      <c r="B16" s="82" t="s">
        <v>458</v>
      </c>
      <c r="C16" s="5"/>
      <c r="D16" s="5" t="s">
        <v>90</v>
      </c>
      <c r="E16" s="6">
        <v>1</v>
      </c>
      <c r="F16" s="107">
        <v>120</v>
      </c>
      <c r="G16" s="6">
        <f>+F16*E16</f>
        <v>120</v>
      </c>
      <c r="H16" s="107"/>
      <c r="I16" s="5" t="str">
        <f>+A16</f>
        <v>CA49</v>
      </c>
      <c r="J16" s="25" t="str">
        <f>+$J$8</f>
        <v>NO ESTRUCTURAL</v>
      </c>
      <c r="K16" s="6">
        <f t="shared" si="0"/>
        <v>120</v>
      </c>
      <c r="L16" s="6">
        <f>+G16</f>
        <v>120</v>
      </c>
      <c r="M16" s="6"/>
      <c r="N16" s="6"/>
      <c r="O16" s="6"/>
      <c r="P16" s="6"/>
      <c r="Q16" s="6"/>
      <c r="R16" s="6"/>
      <c r="S16" s="6"/>
    </row>
    <row r="17" spans="1:19" ht="45.75" x14ac:dyDescent="0.25">
      <c r="A17" s="138" t="s">
        <v>448</v>
      </c>
      <c r="B17" s="82" t="s">
        <v>461</v>
      </c>
      <c r="C17" s="8"/>
      <c r="D17" s="5" t="s">
        <v>90</v>
      </c>
      <c r="E17" s="6">
        <v>1</v>
      </c>
      <c r="F17" s="107">
        <v>90</v>
      </c>
      <c r="G17" s="6">
        <f>+F17*E17</f>
        <v>90</v>
      </c>
      <c r="H17" s="107"/>
      <c r="I17" s="5" t="str">
        <f>+A17</f>
        <v>CA50</v>
      </c>
      <c r="J17" s="25" t="str">
        <f>+$J$8</f>
        <v>NO ESTRUCTURAL</v>
      </c>
      <c r="K17" s="6">
        <f t="shared" si="0"/>
        <v>90</v>
      </c>
      <c r="L17" s="6">
        <f>+G17</f>
        <v>90</v>
      </c>
      <c r="M17" s="5"/>
      <c r="N17" s="5"/>
      <c r="O17" s="5"/>
      <c r="P17" s="5"/>
      <c r="Q17" s="5"/>
      <c r="R17" s="5"/>
      <c r="S17" s="5"/>
    </row>
    <row r="18" spans="1:19" x14ac:dyDescent="0.25">
      <c r="B18" s="10" t="s">
        <v>2</v>
      </c>
      <c r="C18" s="11"/>
      <c r="D18" s="11"/>
      <c r="E18" s="12"/>
      <c r="F18" s="7"/>
      <c r="G18" s="24">
        <f>SUM(G13:G17)</f>
        <v>526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1:19" x14ac:dyDescent="0.25">
      <c r="I20" s="17" t="s">
        <v>2</v>
      </c>
      <c r="J20" s="14"/>
      <c r="K20" s="16">
        <f>SUM(K12:K19)</f>
        <v>526</v>
      </c>
      <c r="L20" s="16">
        <f t="shared" ref="L20:S20" si="1">SUM(L12:L19)</f>
        <v>526</v>
      </c>
      <c r="M20" s="16">
        <f t="shared" si="1"/>
        <v>0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0</v>
      </c>
      <c r="R20" s="16">
        <f t="shared" si="1"/>
        <v>0</v>
      </c>
      <c r="S20" s="16">
        <f t="shared" si="1"/>
        <v>0</v>
      </c>
    </row>
    <row r="21" spans="1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1:19" x14ac:dyDescent="0.25">
      <c r="I22" s="113" t="s">
        <v>265</v>
      </c>
      <c r="J22" s="114"/>
      <c r="K22" s="114"/>
      <c r="L22" s="114"/>
      <c r="M22" s="114"/>
      <c r="N22" s="115"/>
    </row>
    <row r="23" spans="1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1:19" x14ac:dyDescent="0.25">
      <c r="I24" s="15" t="str">
        <f>+I13</f>
        <v>CA46</v>
      </c>
      <c r="J24" s="15"/>
      <c r="K24" s="109"/>
      <c r="L24" s="6"/>
      <c r="M24" s="6">
        <f>NPV($L$8,P24:R24)+O24</f>
        <v>135.84905660377359</v>
      </c>
      <c r="N24" s="6">
        <f>-PMT($L$8,1,M24)</f>
        <v>144.00000000000003</v>
      </c>
      <c r="O24" s="2"/>
      <c r="P24" s="192">
        <f>+K13</f>
        <v>144</v>
      </c>
      <c r="Q24" s="2"/>
      <c r="R24" s="2"/>
    </row>
    <row r="25" spans="1:19" x14ac:dyDescent="0.25">
      <c r="I25" s="15" t="str">
        <f t="shared" ref="I25:I28" si="2">+I14</f>
        <v>CA47</v>
      </c>
      <c r="J25" s="15"/>
      <c r="K25" s="109"/>
      <c r="L25" s="6"/>
      <c r="M25" s="6">
        <f>NPV($L$8,P25:Y25)+O25</f>
        <v>81.132075471698116</v>
      </c>
      <c r="N25" s="6">
        <f t="shared" ref="N25:N28" si="3">-PMT($L$8,1,M25)</f>
        <v>86</v>
      </c>
      <c r="O25" s="2"/>
      <c r="P25" s="192">
        <f t="shared" ref="P25:P28" si="4">+K14</f>
        <v>86</v>
      </c>
      <c r="Q25" s="2"/>
      <c r="R25" s="2"/>
    </row>
    <row r="26" spans="1:19" x14ac:dyDescent="0.25">
      <c r="I26" s="15" t="str">
        <f t="shared" si="2"/>
        <v>CA48</v>
      </c>
      <c r="J26" s="15"/>
      <c r="K26" s="109"/>
      <c r="L26" s="6"/>
      <c r="M26" s="6">
        <f>NPV($L$8,P26:Y26)+O26</f>
        <v>81.132075471698116</v>
      </c>
      <c r="N26" s="6">
        <f t="shared" si="3"/>
        <v>86</v>
      </c>
      <c r="O26" s="2"/>
      <c r="P26" s="192">
        <f t="shared" si="4"/>
        <v>86</v>
      </c>
      <c r="Q26" s="2"/>
      <c r="R26" s="2"/>
    </row>
    <row r="27" spans="1:19" x14ac:dyDescent="0.25">
      <c r="I27" s="15" t="str">
        <f t="shared" si="2"/>
        <v>CA49</v>
      </c>
      <c r="J27" s="15"/>
      <c r="K27" s="109"/>
      <c r="L27" s="6"/>
      <c r="M27" s="6">
        <f>NPV($L$8,P27:Y27)+O27</f>
        <v>113.20754716981132</v>
      </c>
      <c r="N27" s="6">
        <f t="shared" si="3"/>
        <v>120.00000000000001</v>
      </c>
      <c r="O27" s="2"/>
      <c r="P27" s="192">
        <f t="shared" si="4"/>
        <v>120</v>
      </c>
      <c r="Q27" s="2"/>
      <c r="R27" s="2"/>
    </row>
    <row r="28" spans="1:19" x14ac:dyDescent="0.25">
      <c r="I28" s="15" t="str">
        <f t="shared" si="2"/>
        <v>CA50</v>
      </c>
      <c r="J28" s="2"/>
      <c r="K28" s="2"/>
      <c r="L28" s="2"/>
      <c r="M28" s="6">
        <f>NPV($L$8,P28:Y28)+O28</f>
        <v>84.905660377358487</v>
      </c>
      <c r="N28" s="6">
        <f t="shared" si="3"/>
        <v>90</v>
      </c>
      <c r="O28" s="2"/>
      <c r="P28" s="192">
        <f t="shared" si="4"/>
        <v>90</v>
      </c>
      <c r="Q28" s="2"/>
      <c r="R28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408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74081" r:id="rId3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28"/>
  <sheetViews>
    <sheetView showGridLines="0" workbookViewId="0">
      <pane xSplit="8" ySplit="11" topLeftCell="I15" activePane="bottomRight" state="frozen"/>
      <selection activeCell="K8" sqref="K8:O8"/>
      <selection pane="topRight" activeCell="K8" sqref="K8:O8"/>
      <selection pane="bottomLeft" activeCell="K8" sqref="K8:O8"/>
      <selection pane="bottomRight" activeCell="O14" sqref="O14"/>
    </sheetView>
  </sheetViews>
  <sheetFormatPr baseColWidth="10" defaultRowHeight="15" x14ac:dyDescent="0.25"/>
  <cols>
    <col min="1" max="1" width="4.28515625" customWidth="1"/>
    <col min="2" max="2" width="15.8554687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190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191</v>
      </c>
      <c r="C8" s="309"/>
      <c r="D8" s="309"/>
      <c r="E8" s="309"/>
      <c r="F8" s="309"/>
      <c r="G8" s="18" t="s">
        <v>705</v>
      </c>
      <c r="I8" s="25" t="s">
        <v>21</v>
      </c>
      <c r="J8" s="25" t="s">
        <v>91</v>
      </c>
      <c r="K8" s="25" t="s">
        <v>76</v>
      </c>
      <c r="L8" s="25" t="s">
        <v>77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454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+A13</f>
        <v>CA51</v>
      </c>
      <c r="J12" s="25" t="s">
        <v>22</v>
      </c>
      <c r="K12" s="6">
        <f>SUM(L12:S12)</f>
        <v>1804.935103</v>
      </c>
      <c r="L12" s="6">
        <f>+G13</f>
        <v>1804.935103</v>
      </c>
      <c r="M12" s="6"/>
      <c r="N12" s="6"/>
      <c r="O12" s="6"/>
      <c r="P12" s="6"/>
      <c r="Q12" s="6"/>
      <c r="R12" s="6"/>
      <c r="S12" s="6"/>
    </row>
    <row r="13" spans="1:19" ht="72" x14ac:dyDescent="0.25">
      <c r="A13" s="138" t="s">
        <v>451</v>
      </c>
      <c r="B13" s="89" t="s">
        <v>191</v>
      </c>
      <c r="C13" s="5"/>
      <c r="D13" s="5" t="s">
        <v>90</v>
      </c>
      <c r="E13" s="6">
        <v>1</v>
      </c>
      <c r="F13" s="6">
        <v>1804.935103</v>
      </c>
      <c r="G13" s="6">
        <f>+F13*E13</f>
        <v>1804.935103</v>
      </c>
      <c r="I13" s="5" t="str">
        <f>+G21</f>
        <v>IN35</v>
      </c>
      <c r="J13" s="25" t="s">
        <v>22</v>
      </c>
      <c r="K13" s="6">
        <f>SUM(L13:S13)</f>
        <v>600</v>
      </c>
      <c r="L13" s="6"/>
      <c r="M13" s="6"/>
      <c r="N13" s="6">
        <f>+G28*0.5</f>
        <v>300</v>
      </c>
      <c r="O13" s="6">
        <f>+N13</f>
        <v>300</v>
      </c>
      <c r="P13" s="6"/>
      <c r="Q13" s="6"/>
      <c r="R13" s="6"/>
      <c r="S13" s="6"/>
    </row>
    <row r="14" spans="1:19" x14ac:dyDescent="0.25">
      <c r="A14" s="138"/>
      <c r="B14" s="89"/>
      <c r="C14" s="5"/>
      <c r="D14" s="5"/>
      <c r="E14" s="6"/>
      <c r="F14" s="6"/>
      <c r="G14" s="6"/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>SUM(L17:Q17)</f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1804.935103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218" t="s">
        <v>16</v>
      </c>
      <c r="C20" s="218"/>
      <c r="D20" s="218"/>
      <c r="E20" s="218"/>
      <c r="F20" s="218"/>
      <c r="G20" s="218"/>
      <c r="I20" s="17" t="s">
        <v>2</v>
      </c>
      <c r="J20" s="14"/>
      <c r="K20" s="16">
        <f>SUM(K12:K19)</f>
        <v>2404.9351029999998</v>
      </c>
      <c r="L20" s="16">
        <f t="shared" ref="L20:S20" si="0">SUM(L12:L19)</f>
        <v>1804.935103</v>
      </c>
      <c r="M20" s="16">
        <f t="shared" si="0"/>
        <v>0</v>
      </c>
      <c r="N20" s="16">
        <f t="shared" si="0"/>
        <v>300</v>
      </c>
      <c r="O20" s="16">
        <f t="shared" si="0"/>
        <v>300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B21" s="19" t="s">
        <v>3</v>
      </c>
      <c r="C21" s="20" t="s">
        <v>466</v>
      </c>
      <c r="D21" s="21"/>
      <c r="E21" s="21"/>
      <c r="F21" s="22" t="s">
        <v>1</v>
      </c>
      <c r="G21" s="22" t="s">
        <v>60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ht="23.25" x14ac:dyDescent="0.25">
      <c r="B22" s="3" t="s">
        <v>13</v>
      </c>
      <c r="C22" s="4" t="s">
        <v>11</v>
      </c>
      <c r="D22" s="4" t="s">
        <v>9</v>
      </c>
      <c r="E22" s="4" t="s">
        <v>10</v>
      </c>
      <c r="F22" s="4" t="s">
        <v>14</v>
      </c>
      <c r="G22" s="4" t="s">
        <v>12</v>
      </c>
      <c r="I22" s="113" t="s">
        <v>265</v>
      </c>
      <c r="J22" s="114"/>
      <c r="K22" s="114"/>
      <c r="L22" s="114"/>
      <c r="M22" s="114"/>
      <c r="N22" s="115"/>
    </row>
    <row r="23" spans="2:19" x14ac:dyDescent="0.25">
      <c r="B23" s="5" t="s">
        <v>706</v>
      </c>
      <c r="C23" s="5"/>
      <c r="D23" s="5" t="s">
        <v>685</v>
      </c>
      <c r="E23" s="6">
        <v>15</v>
      </c>
      <c r="F23" s="6">
        <f>1500*26700/1000000</f>
        <v>40.049999999999997</v>
      </c>
      <c r="G23" s="6">
        <v>600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</row>
    <row r="24" spans="2:19" x14ac:dyDescent="0.25">
      <c r="B24" s="5"/>
      <c r="C24" s="5"/>
      <c r="D24" s="5"/>
      <c r="E24" s="6"/>
      <c r="F24" s="6"/>
      <c r="G24" s="6">
        <f>+F24*E24</f>
        <v>0</v>
      </c>
      <c r="I24" s="15" t="str">
        <f>+I12</f>
        <v>CA51</v>
      </c>
      <c r="J24" s="15"/>
      <c r="K24" s="109"/>
      <c r="L24" s="193">
        <v>0.06</v>
      </c>
      <c r="M24" s="6"/>
      <c r="N24" s="6"/>
      <c r="O24" t="s">
        <v>772</v>
      </c>
    </row>
    <row r="25" spans="2:19" x14ac:dyDescent="0.25">
      <c r="B25" s="5"/>
      <c r="C25" s="5"/>
      <c r="D25" s="5"/>
      <c r="E25" s="6"/>
      <c r="F25" s="6"/>
      <c r="G25" s="6">
        <f>+F25*E25</f>
        <v>0</v>
      </c>
      <c r="I25" s="15" t="str">
        <f>+I13</f>
        <v>IN35</v>
      </c>
      <c r="J25" s="15"/>
      <c r="K25" s="109"/>
      <c r="L25" s="193">
        <v>0.06</v>
      </c>
      <c r="M25" s="6"/>
      <c r="N25" s="6"/>
      <c r="O25" t="s">
        <v>772</v>
      </c>
    </row>
    <row r="26" spans="2:19" x14ac:dyDescent="0.25">
      <c r="B26" s="5"/>
      <c r="C26" s="5"/>
      <c r="D26" s="5"/>
      <c r="E26" s="6"/>
      <c r="F26" s="6"/>
      <c r="G26" s="6">
        <f>+F26*E26</f>
        <v>0</v>
      </c>
    </row>
    <row r="27" spans="2:19" x14ac:dyDescent="0.25">
      <c r="B27" s="8"/>
      <c r="C27" s="8"/>
      <c r="D27" s="8"/>
      <c r="E27" s="9"/>
      <c r="F27" s="9"/>
      <c r="G27" s="6">
        <f>+F27*E27</f>
        <v>0</v>
      </c>
    </row>
    <row r="28" spans="2:19" x14ac:dyDescent="0.25">
      <c r="B28" s="10" t="s">
        <v>2</v>
      </c>
      <c r="C28" s="11"/>
      <c r="D28" s="11"/>
      <c r="E28" s="12"/>
      <c r="F28" s="7"/>
      <c r="G28" s="24">
        <f>SUM(G23:G27)</f>
        <v>600</v>
      </c>
    </row>
  </sheetData>
  <mergeCells count="12">
    <mergeCell ref="B8:F8"/>
    <mergeCell ref="B10:G10"/>
    <mergeCell ref="I10:S10"/>
    <mergeCell ref="B20:G2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510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75105" r:id="rId3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27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A13" sqref="A13"/>
    </sheetView>
  </sheetViews>
  <sheetFormatPr baseColWidth="10" defaultRowHeight="15" x14ac:dyDescent="0.25"/>
  <cols>
    <col min="1" max="1" width="5.7109375" customWidth="1"/>
    <col min="2" max="2" width="17.14062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190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192</v>
      </c>
      <c r="C8" s="309"/>
      <c r="D8" s="309"/>
      <c r="E8" s="309"/>
      <c r="F8" s="309"/>
      <c r="G8" s="18" t="s">
        <v>444</v>
      </c>
      <c r="I8" s="25" t="s">
        <v>21</v>
      </c>
      <c r="J8" s="25" t="s">
        <v>91</v>
      </c>
      <c r="K8" s="25" t="s">
        <v>76</v>
      </c>
      <c r="L8" s="25" t="s">
        <v>77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708</v>
      </c>
      <c r="D11" s="21"/>
      <c r="E11" s="21"/>
      <c r="F11" s="22" t="s">
        <v>268</v>
      </c>
      <c r="G11" s="22" t="s">
        <v>454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/>
      <c r="J12" s="25"/>
      <c r="K12" s="6">
        <f>SUM(L12:Q12)</f>
        <v>0</v>
      </c>
      <c r="L12" s="6"/>
      <c r="M12" s="6"/>
      <c r="N12" s="6"/>
      <c r="O12" s="6"/>
      <c r="P12" s="6"/>
      <c r="Q12" s="6"/>
      <c r="R12" s="6"/>
      <c r="S12" s="6"/>
    </row>
    <row r="13" spans="1:19" ht="96" x14ac:dyDescent="0.25">
      <c r="A13" s="138" t="s">
        <v>454</v>
      </c>
      <c r="B13" s="89" t="s">
        <v>468</v>
      </c>
      <c r="C13" s="5"/>
      <c r="D13" s="5" t="s">
        <v>685</v>
      </c>
      <c r="E13" s="6">
        <v>20</v>
      </c>
      <c r="F13" s="6">
        <f>1000*26700/1000000</f>
        <v>26.7</v>
      </c>
      <c r="G13" s="6">
        <f>+F13*E13</f>
        <v>534</v>
      </c>
      <c r="I13" s="5" t="str">
        <f>+G11</f>
        <v>CA52</v>
      </c>
      <c r="J13" s="25" t="s">
        <v>22</v>
      </c>
      <c r="K13" s="6">
        <f t="shared" ref="K13:K19" si="0">SUM(L13:Q13)</f>
        <v>534</v>
      </c>
      <c r="L13" s="6">
        <f>+G18</f>
        <v>534</v>
      </c>
      <c r="M13" s="6"/>
      <c r="N13" s="6"/>
      <c r="O13" s="6"/>
      <c r="P13" s="6"/>
      <c r="Q13" s="6"/>
      <c r="R13" s="6"/>
      <c r="S13" s="6"/>
    </row>
    <row r="14" spans="1:19" x14ac:dyDescent="0.25">
      <c r="B14" s="5"/>
      <c r="C14" s="5"/>
      <c r="D14" s="5"/>
      <c r="E14" s="6"/>
      <c r="F14" s="6"/>
      <c r="G14" s="6">
        <f>+F14*E14</f>
        <v>0</v>
      </c>
      <c r="I14" s="5" t="str">
        <f>+G20</f>
        <v>IN36</v>
      </c>
      <c r="J14" s="25" t="s">
        <v>22</v>
      </c>
      <c r="K14" s="6">
        <f t="shared" si="0"/>
        <v>560.69999999999993</v>
      </c>
      <c r="L14" s="6"/>
      <c r="M14" s="6"/>
      <c r="N14" s="6"/>
      <c r="O14" s="6"/>
      <c r="P14" s="6"/>
      <c r="Q14" s="6">
        <f>+G27</f>
        <v>560.69999999999993</v>
      </c>
      <c r="R14" s="6"/>
      <c r="S14" s="6"/>
    </row>
    <row r="15" spans="1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>
        <f t="shared" si="0"/>
        <v>0</v>
      </c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534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470</v>
      </c>
      <c r="D20" s="21"/>
      <c r="E20" s="21"/>
      <c r="F20" s="22" t="s">
        <v>1</v>
      </c>
      <c r="G20" s="22" t="s">
        <v>61</v>
      </c>
      <c r="I20" s="17" t="s">
        <v>2</v>
      </c>
      <c r="J20" s="14"/>
      <c r="K20" s="16">
        <f>SUM(K12:K19)</f>
        <v>1094.6999999999998</v>
      </c>
      <c r="L20" s="16">
        <f t="shared" ref="L20:S20" si="1">SUM(L12:L19)</f>
        <v>534</v>
      </c>
      <c r="M20" s="16">
        <f t="shared" si="1"/>
        <v>0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560.69999999999993</v>
      </c>
      <c r="R20" s="16">
        <f t="shared" si="1"/>
        <v>0</v>
      </c>
      <c r="S20" s="16">
        <f t="shared" si="1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5" t="s">
        <v>707</v>
      </c>
      <c r="C22" s="5"/>
      <c r="D22" s="5" t="s">
        <v>685</v>
      </c>
      <c r="E22" s="6">
        <v>7</v>
      </c>
      <c r="F22" s="6">
        <f>3000*26700/1000000</f>
        <v>80.099999999999994</v>
      </c>
      <c r="G22" s="6">
        <f>+F22*E22</f>
        <v>560.69999999999993</v>
      </c>
      <c r="I22" s="113" t="s">
        <v>265</v>
      </c>
      <c r="J22" s="114"/>
      <c r="K22" s="114"/>
      <c r="L22" s="114"/>
      <c r="M22" s="114"/>
      <c r="N22" s="115"/>
    </row>
    <row r="23" spans="2:19" x14ac:dyDescent="0.25">
      <c r="B23" s="5"/>
      <c r="C23" s="5"/>
      <c r="D23" s="5"/>
      <c r="E23" s="6"/>
      <c r="F23" s="6"/>
      <c r="G23" s="6">
        <f>+F23*E23</f>
        <v>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</row>
    <row r="24" spans="2:19" x14ac:dyDescent="0.25">
      <c r="B24" s="5"/>
      <c r="C24" s="5"/>
      <c r="D24" s="5"/>
      <c r="E24" s="6"/>
      <c r="F24" s="6"/>
      <c r="G24" s="6">
        <f>+F24*E24</f>
        <v>0</v>
      </c>
      <c r="I24" s="15" t="str">
        <f>+I13</f>
        <v>CA52</v>
      </c>
      <c r="J24" s="15"/>
      <c r="K24" s="109"/>
      <c r="L24" s="193">
        <v>0.06</v>
      </c>
      <c r="M24" s="6"/>
      <c r="N24" s="6"/>
      <c r="O24" t="s">
        <v>772</v>
      </c>
    </row>
    <row r="25" spans="2:19" x14ac:dyDescent="0.25">
      <c r="B25" s="5"/>
      <c r="C25" s="5"/>
      <c r="D25" s="5"/>
      <c r="E25" s="6"/>
      <c r="F25" s="6"/>
      <c r="G25" s="6">
        <f>+F25*E25</f>
        <v>0</v>
      </c>
      <c r="I25" s="15" t="str">
        <f>+I14</f>
        <v>IN36</v>
      </c>
      <c r="J25" s="15"/>
      <c r="K25" s="109"/>
      <c r="L25" s="193">
        <v>0.06</v>
      </c>
      <c r="M25" s="6"/>
      <c r="N25" s="6"/>
      <c r="O25" t="s">
        <v>772</v>
      </c>
    </row>
    <row r="26" spans="2:19" x14ac:dyDescent="0.25">
      <c r="B26" s="8"/>
      <c r="C26" s="8"/>
      <c r="D26" s="8"/>
      <c r="E26" s="9"/>
      <c r="F26" s="9"/>
      <c r="G26" s="6">
        <f>+F26*E26</f>
        <v>0</v>
      </c>
    </row>
    <row r="27" spans="2:19" x14ac:dyDescent="0.25">
      <c r="B27" s="10" t="s">
        <v>2</v>
      </c>
      <c r="C27" s="11"/>
      <c r="D27" s="11"/>
      <c r="E27" s="12"/>
      <c r="F27" s="7"/>
      <c r="G27" s="24">
        <f>SUM(G22:G26)</f>
        <v>560.69999999999993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612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76129" r:id="rId3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A2:S56"/>
  <sheetViews>
    <sheetView showGridLines="0" workbookViewId="0">
      <pane xSplit="8" ySplit="11" topLeftCell="I18" activePane="bottomRight" state="frozen"/>
      <selection activeCell="K8" sqref="K8:O8"/>
      <selection pane="topRight" activeCell="K8" sqref="K8:O8"/>
      <selection pane="bottomLeft" activeCell="K8" sqref="K8:O8"/>
      <selection pane="bottomRight" activeCell="G8" sqref="G8"/>
    </sheetView>
  </sheetViews>
  <sheetFormatPr baseColWidth="10" defaultRowHeight="15" x14ac:dyDescent="0.25"/>
  <cols>
    <col min="1" max="1" width="5.42578125" customWidth="1"/>
    <col min="2" max="2" width="22.4257812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194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193</v>
      </c>
      <c r="C8" s="309"/>
      <c r="D8" s="309"/>
      <c r="E8" s="309"/>
      <c r="F8" s="309"/>
      <c r="G8" s="18" t="s">
        <v>446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/>
      <c r="J12" s="25"/>
      <c r="K12" s="6"/>
      <c r="L12" s="6"/>
      <c r="M12" s="6"/>
      <c r="N12" s="6"/>
      <c r="O12" s="6"/>
      <c r="P12" s="6"/>
      <c r="Q12" s="6"/>
      <c r="R12" s="6"/>
      <c r="S12" s="6"/>
    </row>
    <row r="13" spans="1:19" ht="79.5" x14ac:dyDescent="0.25">
      <c r="A13" s="162" t="s">
        <v>457</v>
      </c>
      <c r="B13" s="82" t="s">
        <v>472</v>
      </c>
      <c r="C13" s="5"/>
      <c r="D13" s="5" t="s">
        <v>90</v>
      </c>
      <c r="E13" s="6">
        <v>1</v>
      </c>
      <c r="F13" s="107">
        <v>360</v>
      </c>
      <c r="G13" s="6">
        <f>+F13*E13</f>
        <v>360</v>
      </c>
      <c r="I13" s="5" t="str">
        <f>+A13</f>
        <v>CA53</v>
      </c>
      <c r="J13" s="25" t="str">
        <f>+$J$8</f>
        <v>NO ESTRUCTURAL</v>
      </c>
      <c r="K13" s="6">
        <f t="shared" ref="K13:K19" si="0">SUM(L13:Q13)</f>
        <v>360</v>
      </c>
      <c r="L13" s="6"/>
      <c r="M13" s="6">
        <f>+G13*0.5</f>
        <v>180</v>
      </c>
      <c r="N13" s="6">
        <f>+M13</f>
        <v>180</v>
      </c>
      <c r="O13" s="6"/>
      <c r="P13" s="6"/>
      <c r="Q13" s="6"/>
      <c r="R13" s="6"/>
      <c r="S13" s="6"/>
    </row>
    <row r="14" spans="1:19" ht="68.25" x14ac:dyDescent="0.25">
      <c r="A14" s="162" t="s">
        <v>460</v>
      </c>
      <c r="B14" s="82" t="s">
        <v>475</v>
      </c>
      <c r="C14" s="5"/>
      <c r="D14" s="5" t="s">
        <v>90</v>
      </c>
      <c r="E14" s="6">
        <v>1</v>
      </c>
      <c r="F14" s="107">
        <v>600</v>
      </c>
      <c r="G14" s="6">
        <f>+F14*E14</f>
        <v>600</v>
      </c>
      <c r="I14" s="5" t="str">
        <f>+A14</f>
        <v>CA54</v>
      </c>
      <c r="J14" s="25" t="str">
        <f>+$J$8</f>
        <v>NO ESTRUCTURAL</v>
      </c>
      <c r="K14" s="6">
        <f t="shared" si="0"/>
        <v>600</v>
      </c>
      <c r="L14" s="6"/>
      <c r="M14" s="6">
        <f>+G14*0.5</f>
        <v>300</v>
      </c>
      <c r="N14" s="6">
        <f>+M14</f>
        <v>300</v>
      </c>
      <c r="O14" s="6"/>
      <c r="P14" s="6"/>
      <c r="Q14" s="6"/>
      <c r="R14" s="6"/>
      <c r="S14" s="6"/>
    </row>
    <row r="15" spans="1:19" ht="68.25" x14ac:dyDescent="0.25">
      <c r="A15" s="162" t="s">
        <v>463</v>
      </c>
      <c r="B15" s="82" t="s">
        <v>477</v>
      </c>
      <c r="C15" s="5"/>
      <c r="D15" s="5" t="s">
        <v>90</v>
      </c>
      <c r="E15" s="6">
        <v>1</v>
      </c>
      <c r="F15" s="107">
        <v>220</v>
      </c>
      <c r="G15" s="6">
        <f>+F15*E15</f>
        <v>220</v>
      </c>
      <c r="I15" s="5" t="str">
        <f>+A15</f>
        <v>CA55</v>
      </c>
      <c r="J15" s="25" t="str">
        <f>+$J$8</f>
        <v>NO ESTRUCTURAL</v>
      </c>
      <c r="K15" s="6">
        <f t="shared" si="0"/>
        <v>220</v>
      </c>
      <c r="L15" s="6"/>
      <c r="M15" s="6"/>
      <c r="N15" s="6">
        <f>+G15*0.5</f>
        <v>110</v>
      </c>
      <c r="O15" s="6">
        <f>+N15</f>
        <v>110</v>
      </c>
      <c r="P15" s="6"/>
      <c r="Q15" s="6"/>
      <c r="R15" s="6"/>
      <c r="S15" s="6"/>
    </row>
    <row r="16" spans="1:19" ht="57" x14ac:dyDescent="0.25">
      <c r="A16" s="162" t="s">
        <v>465</v>
      </c>
      <c r="B16" s="82" t="s">
        <v>479</v>
      </c>
      <c r="C16" s="5"/>
      <c r="D16" s="5" t="s">
        <v>90</v>
      </c>
      <c r="E16" s="6">
        <v>1</v>
      </c>
      <c r="F16" s="107">
        <v>220</v>
      </c>
      <c r="G16" s="6">
        <f>+F16*E16</f>
        <v>220</v>
      </c>
      <c r="I16" s="5" t="str">
        <f>+A16</f>
        <v>CA56</v>
      </c>
      <c r="J16" s="25" t="str">
        <f>+$J$8</f>
        <v>NO ESTRUCTURAL</v>
      </c>
      <c r="K16" s="6">
        <f t="shared" si="0"/>
        <v>220</v>
      </c>
      <c r="L16" s="6"/>
      <c r="M16" s="6"/>
      <c r="N16" s="6">
        <f>+G16*0.5</f>
        <v>110</v>
      </c>
      <c r="O16" s="6">
        <f>+N16</f>
        <v>110</v>
      </c>
      <c r="P16" s="6"/>
      <c r="Q16" s="6"/>
      <c r="R16" s="6"/>
      <c r="S16" s="6"/>
    </row>
    <row r="17" spans="1:19" ht="57" x14ac:dyDescent="0.25">
      <c r="A17" s="162" t="s">
        <v>467</v>
      </c>
      <c r="B17" s="82" t="s">
        <v>481</v>
      </c>
      <c r="C17" s="8"/>
      <c r="D17" s="5" t="s">
        <v>90</v>
      </c>
      <c r="E17" s="6">
        <v>1</v>
      </c>
      <c r="F17" s="107">
        <v>220</v>
      </c>
      <c r="G17" s="6">
        <f>+F17*E17</f>
        <v>220</v>
      </c>
      <c r="I17" s="5" t="str">
        <f>+A17</f>
        <v>CA57</v>
      </c>
      <c r="J17" s="5"/>
      <c r="K17" s="6">
        <f t="shared" si="0"/>
        <v>220</v>
      </c>
      <c r="L17" s="5"/>
      <c r="M17" s="5"/>
      <c r="N17" s="6">
        <f>+G17*0.5</f>
        <v>110</v>
      </c>
      <c r="O17" s="6">
        <f>+N17</f>
        <v>110</v>
      </c>
      <c r="P17" s="5"/>
      <c r="Q17" s="5"/>
      <c r="R17" s="5"/>
      <c r="S17" s="5"/>
    </row>
    <row r="18" spans="1:19" x14ac:dyDescent="0.25">
      <c r="B18" s="10" t="s">
        <v>2</v>
      </c>
      <c r="C18" s="11"/>
      <c r="D18" s="11"/>
      <c r="E18" s="12"/>
      <c r="F18" s="7"/>
      <c r="G18" s="24">
        <f>SUM(G13:G17)</f>
        <v>1620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1:19" x14ac:dyDescent="0.25">
      <c r="B20" s="65"/>
      <c r="C20" s="142"/>
      <c r="D20" s="142"/>
      <c r="E20" s="142"/>
      <c r="F20" s="142"/>
      <c r="G20" s="142"/>
      <c r="I20" s="17" t="s">
        <v>2</v>
      </c>
      <c r="J20" s="14"/>
      <c r="K20" s="16">
        <f>SUM(K12:K19)</f>
        <v>1620</v>
      </c>
      <c r="L20" s="16">
        <f t="shared" ref="L20:S20" si="1">SUM(L12:L19)</f>
        <v>0</v>
      </c>
      <c r="M20" s="16">
        <f t="shared" si="1"/>
        <v>480</v>
      </c>
      <c r="N20" s="16">
        <f t="shared" si="1"/>
        <v>810</v>
      </c>
      <c r="O20" s="16">
        <f t="shared" si="1"/>
        <v>330</v>
      </c>
      <c r="P20" s="16">
        <f t="shared" si="1"/>
        <v>0</v>
      </c>
      <c r="Q20" s="16">
        <f t="shared" si="1"/>
        <v>0</v>
      </c>
      <c r="R20" s="16">
        <f t="shared" si="1"/>
        <v>0</v>
      </c>
      <c r="S20" s="16">
        <f t="shared" si="1"/>
        <v>0</v>
      </c>
    </row>
    <row r="21" spans="1:19" x14ac:dyDescent="0.25">
      <c r="B21" s="143"/>
      <c r="C21" s="144"/>
      <c r="D21" s="144"/>
      <c r="E21" s="144"/>
      <c r="F21" s="144"/>
      <c r="G21" s="144"/>
      <c r="I21" s="13"/>
      <c r="J21" s="13"/>
      <c r="K21" s="13"/>
      <c r="L21" s="13"/>
      <c r="M21" s="13"/>
      <c r="N21" s="13"/>
      <c r="O21" s="13"/>
      <c r="P21" s="13"/>
      <c r="Q21" s="13"/>
    </row>
    <row r="22" spans="1:19" x14ac:dyDescent="0.25">
      <c r="B22" s="67"/>
      <c r="C22" s="67"/>
      <c r="D22" s="67"/>
      <c r="E22" s="66"/>
      <c r="F22" s="66"/>
      <c r="G22" s="66"/>
      <c r="I22" s="113" t="s">
        <v>265</v>
      </c>
      <c r="J22" s="114"/>
      <c r="K22" s="114"/>
      <c r="L22" s="114"/>
      <c r="M22" s="114"/>
      <c r="N22" s="115"/>
    </row>
    <row r="23" spans="1:19" x14ac:dyDescent="0.25">
      <c r="B23" s="67"/>
      <c r="C23" s="67"/>
      <c r="D23" s="67"/>
      <c r="E23" s="66"/>
      <c r="F23" s="66"/>
      <c r="G23" s="66"/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1:19" x14ac:dyDescent="0.25">
      <c r="B24" s="67"/>
      <c r="C24" s="67"/>
      <c r="D24" s="67"/>
      <c r="E24" s="66"/>
      <c r="F24" s="66"/>
      <c r="G24" s="66"/>
      <c r="I24" s="15" t="str">
        <f>+I13</f>
        <v>CA53</v>
      </c>
      <c r="J24" s="15"/>
      <c r="K24" s="109"/>
      <c r="L24" s="6"/>
      <c r="M24" s="6">
        <f>NPV($L$8,P24:R24)+O24</f>
        <v>330.01067995728016</v>
      </c>
      <c r="N24" s="6">
        <f>-PMT($L$8,1,M24)</f>
        <v>349.81132075471697</v>
      </c>
      <c r="O24" s="2"/>
      <c r="P24" s="16">
        <f>+M13</f>
        <v>180</v>
      </c>
      <c r="Q24" s="16">
        <f>+P24</f>
        <v>180</v>
      </c>
      <c r="R24" s="2"/>
    </row>
    <row r="25" spans="1:19" x14ac:dyDescent="0.25">
      <c r="B25" s="67"/>
      <c r="C25" s="67"/>
      <c r="D25" s="67"/>
      <c r="E25" s="66"/>
      <c r="F25" s="66"/>
      <c r="G25" s="66"/>
      <c r="I25" s="15" t="str">
        <f t="shared" ref="I25:I28" si="2">+I14</f>
        <v>CA54</v>
      </c>
      <c r="J25" s="15"/>
      <c r="K25" s="109"/>
      <c r="L25" s="6"/>
      <c r="M25" s="6">
        <f>NPV($L$8,P25:Y25)+O25</f>
        <v>550.01779992880029</v>
      </c>
      <c r="N25" s="6">
        <f t="shared" ref="N25:N28" si="3">-PMT($L$8,1,M25)</f>
        <v>583.01886792452831</v>
      </c>
      <c r="O25" s="2"/>
      <c r="P25" s="16">
        <f>+M14</f>
        <v>300</v>
      </c>
      <c r="Q25" s="16">
        <f t="shared" ref="Q25:Q28" si="4">+P25</f>
        <v>300</v>
      </c>
      <c r="R25" s="2"/>
    </row>
    <row r="26" spans="1:19" x14ac:dyDescent="0.25">
      <c r="B26" s="67"/>
      <c r="C26" s="67"/>
      <c r="D26" s="67"/>
      <c r="E26" s="66"/>
      <c r="F26" s="66"/>
      <c r="G26" s="66"/>
      <c r="I26" s="15" t="str">
        <f t="shared" si="2"/>
        <v>CA55</v>
      </c>
      <c r="J26" s="15"/>
      <c r="K26" s="109"/>
      <c r="L26" s="6"/>
      <c r="M26" s="6">
        <f>NPV($L$8,P26:Y26)+O26</f>
        <v>201.67319330722674</v>
      </c>
      <c r="N26" s="6">
        <f t="shared" si="3"/>
        <v>213.77358490566036</v>
      </c>
      <c r="O26" s="2"/>
      <c r="P26" s="16">
        <f>+N15</f>
        <v>110</v>
      </c>
      <c r="Q26" s="16">
        <f t="shared" si="4"/>
        <v>110</v>
      </c>
      <c r="R26" s="2"/>
    </row>
    <row r="27" spans="1:19" x14ac:dyDescent="0.25">
      <c r="B27" s="67"/>
      <c r="C27" s="67"/>
      <c r="D27" s="67"/>
      <c r="E27" s="66"/>
      <c r="F27" s="66"/>
      <c r="G27" s="146"/>
      <c r="I27" s="15" t="str">
        <f t="shared" si="2"/>
        <v>CA56</v>
      </c>
      <c r="J27" s="15"/>
      <c r="K27" s="109"/>
      <c r="L27" s="6"/>
      <c r="M27" s="6">
        <f>NPV($L$8,P27:Y27)+O27</f>
        <v>201.67319330722674</v>
      </c>
      <c r="N27" s="6">
        <f t="shared" si="3"/>
        <v>213.77358490566036</v>
      </c>
      <c r="O27" s="2"/>
      <c r="P27" s="16">
        <f>+N16</f>
        <v>110</v>
      </c>
      <c r="Q27" s="16">
        <f t="shared" si="4"/>
        <v>110</v>
      </c>
      <c r="R27" s="2"/>
    </row>
    <row r="28" spans="1:19" x14ac:dyDescent="0.25">
      <c r="B28" s="72"/>
      <c r="C28" s="72"/>
      <c r="D28" s="72"/>
      <c r="E28" s="72"/>
      <c r="F28" s="72"/>
      <c r="G28" s="72"/>
      <c r="I28" s="15" t="str">
        <f t="shared" si="2"/>
        <v>CA57</v>
      </c>
      <c r="J28" s="2"/>
      <c r="K28" s="2"/>
      <c r="L28" s="2"/>
      <c r="M28" s="6">
        <f>NPV($L$8,P28:Y28)+O28</f>
        <v>201.67319330722674</v>
      </c>
      <c r="N28" s="6">
        <f t="shared" si="3"/>
        <v>213.77358490566036</v>
      </c>
      <c r="O28" s="2"/>
      <c r="P28" s="16">
        <f>+N17</f>
        <v>110</v>
      </c>
      <c r="Q28" s="16">
        <f t="shared" si="4"/>
        <v>110</v>
      </c>
      <c r="R28" s="2"/>
    </row>
    <row r="29" spans="1:19" x14ac:dyDescent="0.25">
      <c r="B29" s="65"/>
      <c r="C29" s="142"/>
      <c r="D29" s="142"/>
      <c r="E29" s="142"/>
      <c r="F29" s="142"/>
      <c r="G29" s="142"/>
    </row>
    <row r="30" spans="1:19" x14ac:dyDescent="0.25">
      <c r="B30" s="143"/>
      <c r="C30" s="144"/>
      <c r="D30" s="144"/>
      <c r="E30" s="144"/>
      <c r="F30" s="144"/>
      <c r="G30" s="144"/>
    </row>
    <row r="31" spans="1:19" x14ac:dyDescent="0.25">
      <c r="B31" s="67"/>
      <c r="C31" s="67"/>
      <c r="D31" s="67"/>
      <c r="E31" s="66"/>
      <c r="F31" s="66"/>
      <c r="G31" s="66"/>
    </row>
    <row r="32" spans="1:19" x14ac:dyDescent="0.25">
      <c r="B32" s="67"/>
      <c r="C32" s="67"/>
      <c r="D32" s="67"/>
      <c r="E32" s="66"/>
      <c r="F32" s="66"/>
      <c r="G32" s="66"/>
    </row>
    <row r="33" spans="2:7" x14ac:dyDescent="0.25">
      <c r="B33" s="67"/>
      <c r="C33" s="67"/>
      <c r="D33" s="67"/>
      <c r="E33" s="66"/>
      <c r="F33" s="66"/>
      <c r="G33" s="66"/>
    </row>
    <row r="34" spans="2:7" x14ac:dyDescent="0.25">
      <c r="B34" s="67"/>
      <c r="C34" s="67"/>
      <c r="D34" s="67"/>
      <c r="E34" s="66"/>
      <c r="F34" s="66"/>
      <c r="G34" s="66"/>
    </row>
    <row r="35" spans="2:7" x14ac:dyDescent="0.25">
      <c r="B35" s="67"/>
      <c r="C35" s="67"/>
      <c r="D35" s="67"/>
      <c r="E35" s="66"/>
      <c r="F35" s="66"/>
      <c r="G35" s="66"/>
    </row>
    <row r="36" spans="2:7" x14ac:dyDescent="0.25">
      <c r="B36" s="67"/>
      <c r="C36" s="67"/>
      <c r="D36" s="67"/>
      <c r="E36" s="66"/>
      <c r="F36" s="66"/>
      <c r="G36" s="66"/>
    </row>
    <row r="37" spans="2:7" x14ac:dyDescent="0.25">
      <c r="B37" s="72"/>
      <c r="C37" s="72"/>
      <c r="D37" s="72"/>
      <c r="E37" s="72"/>
      <c r="F37" s="72"/>
      <c r="G37" s="72"/>
    </row>
    <row r="38" spans="2:7" x14ac:dyDescent="0.25">
      <c r="B38" s="65"/>
      <c r="C38" s="142"/>
      <c r="D38" s="142"/>
      <c r="E38" s="142"/>
      <c r="F38" s="142"/>
      <c r="G38" s="142"/>
    </row>
    <row r="39" spans="2:7" x14ac:dyDescent="0.25">
      <c r="B39" s="143"/>
      <c r="C39" s="144"/>
      <c r="D39" s="144"/>
      <c r="E39" s="144"/>
      <c r="F39" s="144"/>
      <c r="G39" s="144"/>
    </row>
    <row r="40" spans="2:7" x14ac:dyDescent="0.25">
      <c r="B40" s="67"/>
      <c r="C40" s="67"/>
      <c r="D40" s="67"/>
      <c r="E40" s="66"/>
      <c r="F40" s="66"/>
      <c r="G40" s="66"/>
    </row>
    <row r="41" spans="2:7" x14ac:dyDescent="0.25">
      <c r="B41" s="67"/>
      <c r="C41" s="67"/>
      <c r="D41" s="67"/>
      <c r="E41" s="66"/>
      <c r="F41" s="66"/>
      <c r="G41" s="66"/>
    </row>
    <row r="42" spans="2:7" x14ac:dyDescent="0.25">
      <c r="B42" s="67"/>
      <c r="C42" s="67"/>
      <c r="D42" s="67"/>
      <c r="E42" s="66"/>
      <c r="F42" s="66"/>
      <c r="G42" s="66"/>
    </row>
    <row r="43" spans="2:7" x14ac:dyDescent="0.25">
      <c r="B43" s="67"/>
      <c r="C43" s="67"/>
      <c r="D43" s="67"/>
      <c r="E43" s="66"/>
      <c r="F43" s="66"/>
      <c r="G43" s="66"/>
    </row>
    <row r="44" spans="2:7" x14ac:dyDescent="0.25">
      <c r="B44" s="67"/>
      <c r="C44" s="67"/>
      <c r="D44" s="67"/>
      <c r="E44" s="66"/>
      <c r="F44" s="66"/>
      <c r="G44" s="66"/>
    </row>
    <row r="45" spans="2:7" x14ac:dyDescent="0.25">
      <c r="B45" s="67"/>
      <c r="C45" s="67"/>
      <c r="D45" s="67"/>
      <c r="E45" s="66"/>
      <c r="F45" s="66"/>
      <c r="G45" s="66"/>
    </row>
    <row r="46" spans="2:7" x14ac:dyDescent="0.25">
      <c r="B46" s="72"/>
      <c r="C46" s="72"/>
      <c r="D46" s="72"/>
      <c r="E46" s="72"/>
      <c r="F46" s="72"/>
      <c r="G46" s="72"/>
    </row>
    <row r="47" spans="2:7" x14ac:dyDescent="0.25">
      <c r="B47" s="65"/>
      <c r="C47" s="142"/>
      <c r="D47" s="142"/>
      <c r="E47" s="142"/>
      <c r="F47" s="142"/>
      <c r="G47" s="142"/>
    </row>
    <row r="48" spans="2:7" x14ac:dyDescent="0.25">
      <c r="B48" s="143"/>
      <c r="C48" s="144"/>
      <c r="D48" s="144"/>
      <c r="E48" s="144"/>
      <c r="F48" s="144"/>
      <c r="G48" s="144"/>
    </row>
    <row r="49" spans="2:7" x14ac:dyDescent="0.25">
      <c r="B49" s="67"/>
      <c r="C49" s="67"/>
      <c r="D49" s="67"/>
      <c r="E49" s="66"/>
      <c r="F49" s="66"/>
      <c r="G49" s="66"/>
    </row>
    <row r="50" spans="2:7" x14ac:dyDescent="0.25">
      <c r="B50" s="67"/>
      <c r="C50" s="67"/>
      <c r="D50" s="67"/>
      <c r="E50" s="66"/>
      <c r="F50" s="66"/>
      <c r="G50" s="66"/>
    </row>
    <row r="51" spans="2:7" x14ac:dyDescent="0.25">
      <c r="B51" s="67"/>
      <c r="C51" s="67"/>
      <c r="D51" s="67"/>
      <c r="E51" s="66"/>
      <c r="F51" s="66"/>
      <c r="G51" s="66"/>
    </row>
    <row r="52" spans="2:7" x14ac:dyDescent="0.25">
      <c r="B52" s="67"/>
      <c r="C52" s="67"/>
      <c r="D52" s="67"/>
      <c r="E52" s="66"/>
      <c r="F52" s="66"/>
      <c r="G52" s="66"/>
    </row>
    <row r="53" spans="2:7" x14ac:dyDescent="0.25">
      <c r="B53" s="67"/>
      <c r="C53" s="67"/>
      <c r="D53" s="67"/>
      <c r="E53" s="66"/>
      <c r="F53" s="66"/>
      <c r="G53" s="66"/>
    </row>
    <row r="54" spans="2:7" x14ac:dyDescent="0.25">
      <c r="B54" s="67"/>
      <c r="C54" s="67"/>
      <c r="D54" s="67"/>
      <c r="E54" s="66"/>
      <c r="F54" s="66"/>
      <c r="G54" s="66"/>
    </row>
    <row r="55" spans="2:7" x14ac:dyDescent="0.25">
      <c r="B55" s="72"/>
      <c r="C55" s="72"/>
      <c r="D55" s="72"/>
      <c r="E55" s="72"/>
      <c r="F55" s="72"/>
      <c r="G55" s="72"/>
    </row>
    <row r="56" spans="2:7" x14ac:dyDescent="0.25">
      <c r="B56" s="72"/>
      <c r="C56" s="72"/>
      <c r="D56" s="72"/>
      <c r="E56" s="72"/>
      <c r="F56" s="72"/>
      <c r="G56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715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77153" r:id="rId3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56"/>
  <sheetViews>
    <sheetView showGridLines="0" workbookViewId="0">
      <pane xSplit="8" ySplit="9" topLeftCell="J16" activePane="bottomRight" state="frozen"/>
      <selection pane="topRight" activeCell="I1" sqref="I1"/>
      <selection pane="bottomLeft" activeCell="A10" sqref="A10"/>
      <selection pane="bottomRight" activeCell="R15" sqref="R15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9.25" customHeight="1" x14ac:dyDescent="0.25">
      <c r="B6" s="306" t="s">
        <v>92</v>
      </c>
      <c r="C6" s="306"/>
      <c r="D6" s="307" t="s">
        <v>186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194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195</v>
      </c>
      <c r="C8" s="309"/>
      <c r="D8" s="309"/>
      <c r="E8" s="309"/>
      <c r="F8" s="309"/>
      <c r="G8" s="18" t="s">
        <v>709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82</v>
      </c>
      <c r="D11" s="21"/>
      <c r="E11" s="21"/>
      <c r="F11" s="22" t="s">
        <v>268</v>
      </c>
      <c r="G11" s="22" t="s">
        <v>62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IN37</v>
      </c>
      <c r="J12" s="25" t="str">
        <f>+$J$8</f>
        <v>NO ESTRUCTURAL</v>
      </c>
      <c r="K12" s="6">
        <f>SUM(L12:Q12)</f>
        <v>230</v>
      </c>
      <c r="L12" s="6"/>
      <c r="M12" s="6">
        <f>+G20*0.5</f>
        <v>115</v>
      </c>
      <c r="N12" s="6">
        <f>+M12</f>
        <v>115</v>
      </c>
      <c r="O12" s="6"/>
      <c r="P12" s="6"/>
      <c r="Q12" s="6"/>
      <c r="R12" s="6"/>
      <c r="S12" s="6"/>
    </row>
    <row r="13" spans="2:19" x14ac:dyDescent="0.25">
      <c r="B13" s="5" t="s">
        <v>662</v>
      </c>
      <c r="C13" s="5"/>
      <c r="D13" s="5" t="s">
        <v>128</v>
      </c>
      <c r="E13" s="6">
        <v>24</v>
      </c>
      <c r="F13" s="30">
        <v>1.75</v>
      </c>
      <c r="G13" s="30">
        <f>+F13*E13</f>
        <v>42</v>
      </c>
      <c r="I13" s="5" t="str">
        <f>+G22</f>
        <v>IN38</v>
      </c>
      <c r="J13" s="25" t="str">
        <f>+$J$8</f>
        <v>NO ESTRUCTURAL</v>
      </c>
      <c r="K13" s="6">
        <f t="shared" ref="K13:K19" si="0">SUM(L13:Q13)</f>
        <v>230</v>
      </c>
      <c r="L13" s="6"/>
      <c r="M13" s="6"/>
      <c r="N13" s="6"/>
      <c r="O13" s="6"/>
      <c r="P13" s="6"/>
      <c r="Q13" s="6">
        <f>+G32</f>
        <v>230</v>
      </c>
      <c r="R13" s="6"/>
      <c r="S13" s="6"/>
    </row>
    <row r="14" spans="2:19" x14ac:dyDescent="0.25">
      <c r="B14" s="5" t="s">
        <v>725</v>
      </c>
      <c r="C14" s="5"/>
      <c r="D14" s="5" t="s">
        <v>128</v>
      </c>
      <c r="E14" s="6">
        <v>24</v>
      </c>
      <c r="F14" s="30">
        <v>1.4</v>
      </c>
      <c r="G14" s="30">
        <f t="shared" ref="G14:G19" si="1">+F14*E14</f>
        <v>33.599999999999994</v>
      </c>
      <c r="I14" s="5" t="str">
        <f>+G34</f>
        <v>IN39</v>
      </c>
      <c r="J14" s="25" t="str">
        <f>+$J$8</f>
        <v>NO ESTRUCTURAL</v>
      </c>
      <c r="K14" s="6">
        <f t="shared" si="0"/>
        <v>230</v>
      </c>
      <c r="L14" s="6"/>
      <c r="M14" s="6"/>
      <c r="N14" s="6"/>
      <c r="O14" s="6"/>
      <c r="P14" s="6"/>
      <c r="Q14" s="6">
        <f>+G44</f>
        <v>230</v>
      </c>
      <c r="R14" s="6"/>
      <c r="S14" s="6"/>
    </row>
    <row r="15" spans="2:19" x14ac:dyDescent="0.25">
      <c r="B15" s="5" t="s">
        <v>702</v>
      </c>
      <c r="C15" s="5"/>
      <c r="D15" s="5" t="s">
        <v>128</v>
      </c>
      <c r="E15" s="6">
        <v>24</v>
      </c>
      <c r="F15" s="30">
        <v>1.4</v>
      </c>
      <c r="G15" s="30">
        <f t="shared" si="1"/>
        <v>33.599999999999994</v>
      </c>
      <c r="I15" s="5" t="str">
        <f>+G46</f>
        <v>IN40</v>
      </c>
      <c r="J15" s="25" t="str">
        <f>+$J$8</f>
        <v>NO ESTRUCTURAL</v>
      </c>
      <c r="K15" s="6">
        <f t="shared" si="0"/>
        <v>230</v>
      </c>
      <c r="L15" s="6"/>
      <c r="M15" s="6"/>
      <c r="N15" s="6"/>
      <c r="O15" s="6"/>
      <c r="P15" s="6"/>
      <c r="Q15" s="6">
        <f>+G56</f>
        <v>230</v>
      </c>
      <c r="R15" s="6"/>
      <c r="S15" s="6"/>
    </row>
    <row r="16" spans="2:19" x14ac:dyDescent="0.25">
      <c r="B16" s="5" t="s">
        <v>727</v>
      </c>
      <c r="C16" s="5"/>
      <c r="D16" s="5" t="s">
        <v>128</v>
      </c>
      <c r="E16" s="6">
        <v>24</v>
      </c>
      <c r="F16" s="30">
        <v>0.7</v>
      </c>
      <c r="G16" s="30">
        <f t="shared" si="1"/>
        <v>16.799999999999997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5" t="s">
        <v>726</v>
      </c>
      <c r="C17" s="8"/>
      <c r="D17" s="8" t="s">
        <v>90</v>
      </c>
      <c r="E17" s="9">
        <v>100</v>
      </c>
      <c r="F17" s="31">
        <v>0.2</v>
      </c>
      <c r="G17" s="30">
        <f t="shared" si="1"/>
        <v>20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8" t="s">
        <v>728</v>
      </c>
      <c r="C18" s="8"/>
      <c r="D18" s="8" t="s">
        <v>128</v>
      </c>
      <c r="E18" s="9">
        <v>24</v>
      </c>
      <c r="F18" s="31">
        <v>2</v>
      </c>
      <c r="G18" s="30">
        <f t="shared" si="1"/>
        <v>48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8" t="s">
        <v>729</v>
      </c>
      <c r="C19" s="8"/>
      <c r="D19" s="8" t="s">
        <v>90</v>
      </c>
      <c r="E19" s="9">
        <v>1</v>
      </c>
      <c r="F19" s="31">
        <v>36</v>
      </c>
      <c r="G19" s="30">
        <f t="shared" si="1"/>
        <v>36</v>
      </c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0" t="s">
        <v>2</v>
      </c>
      <c r="C20" s="11"/>
      <c r="D20" s="11"/>
      <c r="E20" s="12"/>
      <c r="F20" s="39"/>
      <c r="G20" s="40">
        <f>SUM(G13:G19)</f>
        <v>230</v>
      </c>
      <c r="I20" s="17" t="s">
        <v>2</v>
      </c>
      <c r="J20" s="14"/>
      <c r="K20" s="16">
        <f>SUM(K12:K19)</f>
        <v>920</v>
      </c>
      <c r="L20" s="16">
        <f t="shared" ref="L20:S20" si="2">SUM(L12:L19)</f>
        <v>0</v>
      </c>
      <c r="M20" s="16">
        <f t="shared" si="2"/>
        <v>115</v>
      </c>
      <c r="N20" s="16">
        <f t="shared" si="2"/>
        <v>115</v>
      </c>
      <c r="O20" s="16">
        <f t="shared" si="2"/>
        <v>0</v>
      </c>
      <c r="P20" s="16">
        <f t="shared" si="2"/>
        <v>0</v>
      </c>
      <c r="Q20" s="16">
        <f t="shared" si="2"/>
        <v>690</v>
      </c>
      <c r="R20" s="16">
        <f t="shared" si="2"/>
        <v>0</v>
      </c>
      <c r="S20" s="16">
        <f t="shared" si="2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19" t="s">
        <v>3</v>
      </c>
      <c r="C22" s="20" t="s">
        <v>83</v>
      </c>
      <c r="D22" s="21"/>
      <c r="E22" s="21"/>
      <c r="F22" s="22" t="s">
        <v>268</v>
      </c>
      <c r="G22" s="22" t="s">
        <v>63</v>
      </c>
      <c r="I22" s="113" t="s">
        <v>265</v>
      </c>
      <c r="J22" s="114"/>
      <c r="K22" s="114"/>
      <c r="L22" s="114"/>
      <c r="M22" s="114"/>
      <c r="N22" s="115"/>
    </row>
    <row r="23" spans="2:19" ht="23.25" x14ac:dyDescent="0.25">
      <c r="B23" s="3" t="s">
        <v>13</v>
      </c>
      <c r="C23" s="4" t="s">
        <v>11</v>
      </c>
      <c r="D23" s="4" t="s">
        <v>9</v>
      </c>
      <c r="E23" s="4" t="s">
        <v>10</v>
      </c>
      <c r="F23" s="4" t="s">
        <v>14</v>
      </c>
      <c r="G23" s="4" t="s">
        <v>12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B24" s="5" t="s">
        <v>662</v>
      </c>
      <c r="C24" s="5"/>
      <c r="D24" s="5" t="s">
        <v>128</v>
      </c>
      <c r="E24" s="6">
        <v>24</v>
      </c>
      <c r="F24" s="30">
        <v>1.75</v>
      </c>
      <c r="G24" s="6">
        <f>+F24*E24</f>
        <v>42</v>
      </c>
      <c r="I24" s="15" t="str">
        <f>+I12</f>
        <v>IN37</v>
      </c>
      <c r="J24" s="15"/>
      <c r="K24" s="109"/>
      <c r="L24" s="6"/>
      <c r="M24" s="6">
        <f>NPV($L$8,P24:R24)+O24</f>
        <v>210.84015663937342</v>
      </c>
      <c r="N24" s="6">
        <f>-PMT($L$8,1,M24)</f>
        <v>223.49056603773582</v>
      </c>
      <c r="O24" s="2"/>
      <c r="P24" s="16">
        <v>115</v>
      </c>
      <c r="Q24" s="16">
        <v>115</v>
      </c>
      <c r="R24" s="2"/>
    </row>
    <row r="25" spans="2:19" x14ac:dyDescent="0.25">
      <c r="B25" s="5" t="s">
        <v>725</v>
      </c>
      <c r="C25" s="5"/>
      <c r="D25" s="5" t="s">
        <v>128</v>
      </c>
      <c r="E25" s="6">
        <v>24</v>
      </c>
      <c r="F25" s="30">
        <v>1.4</v>
      </c>
      <c r="G25" s="6">
        <f t="shared" ref="G25:G30" si="3">+F25*E25</f>
        <v>33.599999999999994</v>
      </c>
      <c r="I25" s="15" t="str">
        <f t="shared" ref="I25:I27" si="4">+I13</f>
        <v>IN38</v>
      </c>
      <c r="J25" s="15"/>
      <c r="K25" s="109"/>
      <c r="L25" s="6"/>
      <c r="M25" s="6">
        <f>NPV($L$8,P25:Y25)+O25</f>
        <v>210.84015663937342</v>
      </c>
      <c r="N25" s="6">
        <f t="shared" ref="N25:N27" si="5">-PMT($L$8,1,M25)</f>
        <v>223.49056603773582</v>
      </c>
      <c r="O25" s="2"/>
      <c r="P25" s="16">
        <v>115</v>
      </c>
      <c r="Q25" s="16">
        <v>115</v>
      </c>
      <c r="R25" s="2"/>
    </row>
    <row r="26" spans="2:19" x14ac:dyDescent="0.25">
      <c r="B26" s="5" t="s">
        <v>702</v>
      </c>
      <c r="C26" s="5"/>
      <c r="D26" s="5" t="s">
        <v>128</v>
      </c>
      <c r="E26" s="6">
        <v>24</v>
      </c>
      <c r="F26" s="30">
        <v>1.4</v>
      </c>
      <c r="G26" s="6">
        <f t="shared" si="3"/>
        <v>33.599999999999994</v>
      </c>
      <c r="I26" s="15" t="str">
        <f t="shared" si="4"/>
        <v>IN39</v>
      </c>
      <c r="J26" s="15"/>
      <c r="K26" s="109"/>
      <c r="L26" s="6"/>
      <c r="M26" s="6">
        <f>NPV($L$8,P26:Y26)+O26</f>
        <v>210.84015663937342</v>
      </c>
      <c r="N26" s="6">
        <f t="shared" si="5"/>
        <v>223.49056603773582</v>
      </c>
      <c r="O26" s="2"/>
      <c r="P26" s="16">
        <v>115</v>
      </c>
      <c r="Q26" s="16">
        <v>115</v>
      </c>
      <c r="R26" s="2"/>
    </row>
    <row r="27" spans="2:19" x14ac:dyDescent="0.25">
      <c r="B27" s="5" t="s">
        <v>727</v>
      </c>
      <c r="C27" s="5"/>
      <c r="D27" s="5" t="s">
        <v>128</v>
      </c>
      <c r="E27" s="6">
        <v>24</v>
      </c>
      <c r="F27" s="30">
        <v>0.7</v>
      </c>
      <c r="G27" s="6">
        <f t="shared" si="3"/>
        <v>16.799999999999997</v>
      </c>
      <c r="I27" s="15" t="str">
        <f t="shared" si="4"/>
        <v>IN40</v>
      </c>
      <c r="J27" s="15"/>
      <c r="K27" s="109"/>
      <c r="L27" s="6"/>
      <c r="M27" s="6">
        <f>NPV($L$8,P27:Y27)+O27</f>
        <v>210.84015663937342</v>
      </c>
      <c r="N27" s="6">
        <f t="shared" si="5"/>
        <v>223.49056603773582</v>
      </c>
      <c r="O27" s="2"/>
      <c r="P27" s="16">
        <v>115</v>
      </c>
      <c r="Q27" s="16">
        <v>115</v>
      </c>
      <c r="R27" s="2"/>
    </row>
    <row r="28" spans="2:19" x14ac:dyDescent="0.25">
      <c r="B28" s="5" t="s">
        <v>726</v>
      </c>
      <c r="C28" s="8"/>
      <c r="D28" s="8" t="s">
        <v>90</v>
      </c>
      <c r="E28" s="9">
        <v>100</v>
      </c>
      <c r="F28" s="31">
        <v>0.2</v>
      </c>
      <c r="G28" s="6">
        <f t="shared" si="3"/>
        <v>20</v>
      </c>
    </row>
    <row r="29" spans="2:19" x14ac:dyDescent="0.25">
      <c r="B29" s="8" t="s">
        <v>728</v>
      </c>
      <c r="C29" s="8"/>
      <c r="D29" s="8" t="s">
        <v>128</v>
      </c>
      <c r="E29" s="9">
        <v>24</v>
      </c>
      <c r="F29" s="31">
        <v>2</v>
      </c>
      <c r="G29" s="6">
        <f t="shared" si="3"/>
        <v>48</v>
      </c>
    </row>
    <row r="30" spans="2:19" x14ac:dyDescent="0.25">
      <c r="B30" s="8" t="s">
        <v>729</v>
      </c>
      <c r="C30" s="8"/>
      <c r="D30" s="8" t="s">
        <v>90</v>
      </c>
      <c r="E30" s="9">
        <v>1</v>
      </c>
      <c r="F30" s="31">
        <v>36</v>
      </c>
      <c r="G30" s="6">
        <f t="shared" si="3"/>
        <v>36</v>
      </c>
    </row>
    <row r="31" spans="2:19" x14ac:dyDescent="0.25">
      <c r="B31" s="8"/>
      <c r="C31" s="8"/>
      <c r="D31" s="8"/>
      <c r="E31" s="9"/>
      <c r="F31" s="9"/>
      <c r="G31" s="6">
        <f>+F31*E31</f>
        <v>0</v>
      </c>
    </row>
    <row r="32" spans="2:19" x14ac:dyDescent="0.25">
      <c r="B32" s="10" t="s">
        <v>2</v>
      </c>
      <c r="C32" s="11"/>
      <c r="D32" s="11"/>
      <c r="E32" s="12"/>
      <c r="F32" s="7"/>
      <c r="G32" s="24">
        <f>SUM(G24:G31)</f>
        <v>230</v>
      </c>
    </row>
    <row r="34" spans="2:7" x14ac:dyDescent="0.25">
      <c r="B34" s="19" t="s">
        <v>3</v>
      </c>
      <c r="C34" s="20" t="s">
        <v>84</v>
      </c>
      <c r="D34" s="21"/>
      <c r="E34" s="21"/>
      <c r="F34" s="22" t="s">
        <v>268</v>
      </c>
      <c r="G34" s="22" t="s">
        <v>64</v>
      </c>
    </row>
    <row r="35" spans="2:7" ht="23.25" x14ac:dyDescent="0.25">
      <c r="B35" s="3" t="s">
        <v>13</v>
      </c>
      <c r="C35" s="4" t="s">
        <v>11</v>
      </c>
      <c r="D35" s="4" t="s">
        <v>9</v>
      </c>
      <c r="E35" s="4" t="s">
        <v>10</v>
      </c>
      <c r="F35" s="4" t="s">
        <v>14</v>
      </c>
      <c r="G35" s="4" t="s">
        <v>12</v>
      </c>
    </row>
    <row r="36" spans="2:7" x14ac:dyDescent="0.25">
      <c r="B36" s="5" t="s">
        <v>662</v>
      </c>
      <c r="C36" s="5"/>
      <c r="D36" s="5" t="s">
        <v>128</v>
      </c>
      <c r="E36" s="6">
        <v>24</v>
      </c>
      <c r="F36" s="30">
        <v>1.75</v>
      </c>
      <c r="G36" s="6">
        <f>+F36*E36</f>
        <v>42</v>
      </c>
    </row>
    <row r="37" spans="2:7" x14ac:dyDescent="0.25">
      <c r="B37" s="5" t="s">
        <v>725</v>
      </c>
      <c r="C37" s="5"/>
      <c r="D37" s="5" t="s">
        <v>128</v>
      </c>
      <c r="E37" s="6">
        <v>24</v>
      </c>
      <c r="F37" s="30">
        <v>1.4</v>
      </c>
      <c r="G37" s="6">
        <f t="shared" ref="G37:G42" si="6">+F37*E37</f>
        <v>33.599999999999994</v>
      </c>
    </row>
    <row r="38" spans="2:7" x14ac:dyDescent="0.25">
      <c r="B38" s="5" t="s">
        <v>702</v>
      </c>
      <c r="C38" s="5"/>
      <c r="D38" s="5" t="s">
        <v>128</v>
      </c>
      <c r="E38" s="6">
        <v>24</v>
      </c>
      <c r="F38" s="30">
        <v>1.4</v>
      </c>
      <c r="G38" s="6">
        <f t="shared" si="6"/>
        <v>33.599999999999994</v>
      </c>
    </row>
    <row r="39" spans="2:7" x14ac:dyDescent="0.25">
      <c r="B39" s="5" t="s">
        <v>727</v>
      </c>
      <c r="C39" s="5"/>
      <c r="D39" s="5" t="s">
        <v>128</v>
      </c>
      <c r="E39" s="6">
        <v>24</v>
      </c>
      <c r="F39" s="30">
        <v>0.7</v>
      </c>
      <c r="G39" s="6">
        <f t="shared" si="6"/>
        <v>16.799999999999997</v>
      </c>
    </row>
    <row r="40" spans="2:7" x14ac:dyDescent="0.25">
      <c r="B40" s="5" t="s">
        <v>726</v>
      </c>
      <c r="C40" s="8"/>
      <c r="D40" s="8" t="s">
        <v>90</v>
      </c>
      <c r="E40" s="9">
        <v>100</v>
      </c>
      <c r="F40" s="31">
        <v>0.2</v>
      </c>
      <c r="G40" s="6">
        <f t="shared" si="6"/>
        <v>20</v>
      </c>
    </row>
    <row r="41" spans="2:7" x14ac:dyDescent="0.25">
      <c r="B41" s="8" t="s">
        <v>728</v>
      </c>
      <c r="C41" s="8"/>
      <c r="D41" s="8" t="s">
        <v>128</v>
      </c>
      <c r="E41" s="9">
        <v>24</v>
      </c>
      <c r="F41" s="31">
        <v>2</v>
      </c>
      <c r="G41" s="6">
        <f t="shared" si="6"/>
        <v>48</v>
      </c>
    </row>
    <row r="42" spans="2:7" x14ac:dyDescent="0.25">
      <c r="B42" s="8" t="s">
        <v>729</v>
      </c>
      <c r="C42" s="8"/>
      <c r="D42" s="8" t="s">
        <v>90</v>
      </c>
      <c r="E42" s="9">
        <v>1</v>
      </c>
      <c r="F42" s="31">
        <v>36</v>
      </c>
      <c r="G42" s="6">
        <f t="shared" si="6"/>
        <v>36</v>
      </c>
    </row>
    <row r="43" spans="2:7" x14ac:dyDescent="0.25">
      <c r="B43" s="8"/>
      <c r="C43" s="8"/>
      <c r="D43" s="8"/>
      <c r="E43" s="9"/>
      <c r="F43" s="9"/>
      <c r="G43" s="6">
        <f>+F43*E43</f>
        <v>0</v>
      </c>
    </row>
    <row r="44" spans="2:7" x14ac:dyDescent="0.25">
      <c r="B44" s="10" t="s">
        <v>2</v>
      </c>
      <c r="C44" s="11"/>
      <c r="D44" s="11"/>
      <c r="E44" s="12"/>
      <c r="F44" s="7"/>
      <c r="G44" s="23">
        <f>SUM(G36:G43)</f>
        <v>230</v>
      </c>
    </row>
    <row r="46" spans="2:7" x14ac:dyDescent="0.25">
      <c r="B46" s="19" t="s">
        <v>3</v>
      </c>
      <c r="C46" s="20" t="s">
        <v>85</v>
      </c>
      <c r="D46" s="21"/>
      <c r="E46" s="21"/>
      <c r="F46" s="22" t="s">
        <v>268</v>
      </c>
      <c r="G46" s="22" t="s">
        <v>65</v>
      </c>
    </row>
    <row r="47" spans="2:7" ht="23.25" x14ac:dyDescent="0.25">
      <c r="B47" s="3" t="s">
        <v>13</v>
      </c>
      <c r="C47" s="4" t="s">
        <v>11</v>
      </c>
      <c r="D47" s="4" t="s">
        <v>9</v>
      </c>
      <c r="E47" s="4" t="s">
        <v>10</v>
      </c>
      <c r="F47" s="4" t="s">
        <v>14</v>
      </c>
      <c r="G47" s="4" t="s">
        <v>12</v>
      </c>
    </row>
    <row r="48" spans="2:7" x14ac:dyDescent="0.25">
      <c r="B48" s="5" t="s">
        <v>662</v>
      </c>
      <c r="C48" s="5"/>
      <c r="D48" s="5" t="s">
        <v>128</v>
      </c>
      <c r="E48" s="6">
        <v>24</v>
      </c>
      <c r="F48" s="30">
        <v>1.75</v>
      </c>
      <c r="G48" s="6">
        <f t="shared" ref="G48:G55" si="7">+F48*E48</f>
        <v>42</v>
      </c>
    </row>
    <row r="49" spans="2:7" x14ac:dyDescent="0.25">
      <c r="B49" s="5" t="s">
        <v>725</v>
      </c>
      <c r="C49" s="5"/>
      <c r="D49" s="5" t="s">
        <v>128</v>
      </c>
      <c r="E49" s="6">
        <v>24</v>
      </c>
      <c r="F49" s="30">
        <v>1.4</v>
      </c>
      <c r="G49" s="6">
        <f t="shared" si="7"/>
        <v>33.599999999999994</v>
      </c>
    </row>
    <row r="50" spans="2:7" x14ac:dyDescent="0.25">
      <c r="B50" s="5" t="s">
        <v>702</v>
      </c>
      <c r="C50" s="5"/>
      <c r="D50" s="5" t="s">
        <v>128</v>
      </c>
      <c r="E50" s="6">
        <v>24</v>
      </c>
      <c r="F50" s="30">
        <v>1.4</v>
      </c>
      <c r="G50" s="6">
        <f t="shared" si="7"/>
        <v>33.599999999999994</v>
      </c>
    </row>
    <row r="51" spans="2:7" x14ac:dyDescent="0.25">
      <c r="B51" s="5" t="s">
        <v>727</v>
      </c>
      <c r="C51" s="5"/>
      <c r="D51" s="5" t="s">
        <v>128</v>
      </c>
      <c r="E51" s="6">
        <v>24</v>
      </c>
      <c r="F51" s="30">
        <v>0.7</v>
      </c>
      <c r="G51" s="6">
        <f t="shared" si="7"/>
        <v>16.799999999999997</v>
      </c>
    </row>
    <row r="52" spans="2:7" x14ac:dyDescent="0.25">
      <c r="B52" s="5" t="s">
        <v>726</v>
      </c>
      <c r="C52" s="8"/>
      <c r="D52" s="8" t="s">
        <v>90</v>
      </c>
      <c r="E52" s="9">
        <v>100</v>
      </c>
      <c r="F52" s="31">
        <v>0.2</v>
      </c>
      <c r="G52" s="6">
        <f t="shared" si="7"/>
        <v>20</v>
      </c>
    </row>
    <row r="53" spans="2:7" x14ac:dyDescent="0.25">
      <c r="B53" s="8" t="s">
        <v>728</v>
      </c>
      <c r="C53" s="8"/>
      <c r="D53" s="8" t="s">
        <v>128</v>
      </c>
      <c r="E53" s="9">
        <v>24</v>
      </c>
      <c r="F53" s="31">
        <v>2</v>
      </c>
      <c r="G53" s="6">
        <f t="shared" si="7"/>
        <v>48</v>
      </c>
    </row>
    <row r="54" spans="2:7" x14ac:dyDescent="0.25">
      <c r="B54" s="8" t="s">
        <v>729</v>
      </c>
      <c r="C54" s="8"/>
      <c r="D54" s="8" t="s">
        <v>90</v>
      </c>
      <c r="E54" s="9">
        <v>1</v>
      </c>
      <c r="F54" s="31">
        <v>36</v>
      </c>
      <c r="G54" s="6">
        <f t="shared" si="7"/>
        <v>36</v>
      </c>
    </row>
    <row r="55" spans="2:7" x14ac:dyDescent="0.25">
      <c r="B55" s="8"/>
      <c r="C55" s="8"/>
      <c r="D55" s="8"/>
      <c r="E55" s="9"/>
      <c r="F55" s="9"/>
      <c r="G55" s="6">
        <f t="shared" si="7"/>
        <v>0</v>
      </c>
    </row>
    <row r="56" spans="2:7" x14ac:dyDescent="0.25">
      <c r="B56" s="10" t="s">
        <v>2</v>
      </c>
      <c r="C56" s="11"/>
      <c r="D56" s="11"/>
      <c r="E56" s="12"/>
      <c r="F56" s="7"/>
      <c r="G56" s="23">
        <f>SUM(G48:G55)</f>
        <v>230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9318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93185" r:id="rId3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23"/>
  <sheetViews>
    <sheetView showGridLines="0" workbookViewId="0">
      <pane xSplit="8" ySplit="11" topLeftCell="J12" activePane="bottomRight" state="frozen"/>
      <selection activeCell="K8" sqref="K8:O8"/>
      <selection pane="topRight" activeCell="K8" sqref="K8:O8"/>
      <selection pane="bottomLeft" activeCell="K8" sqref="K8:O8"/>
      <selection pane="bottomRight" activeCell="Q23" sqref="Q23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4" customHeight="1" x14ac:dyDescent="0.25">
      <c r="B6" s="306" t="s">
        <v>92</v>
      </c>
      <c r="C6" s="306"/>
      <c r="D6" s="307" t="s">
        <v>198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197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196</v>
      </c>
      <c r="C8" s="309"/>
      <c r="D8" s="309"/>
      <c r="E8" s="309"/>
      <c r="F8" s="309"/>
      <c r="G8" s="18" t="s">
        <v>710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95</v>
      </c>
      <c r="D11" s="21"/>
      <c r="E11" s="21"/>
      <c r="F11" s="22" t="s">
        <v>1</v>
      </c>
      <c r="G11" s="22" t="s">
        <v>66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IN41</v>
      </c>
      <c r="J12" s="25" t="str">
        <f>+$J$8</f>
        <v>NO ESTRUCTURAL</v>
      </c>
      <c r="K12" s="6">
        <f>SUM(L12:Q12)</f>
        <v>500</v>
      </c>
      <c r="L12" s="6"/>
      <c r="M12" s="6"/>
      <c r="N12" s="6"/>
      <c r="O12" s="6"/>
      <c r="P12" s="6"/>
      <c r="Q12" s="6">
        <f>+G18</f>
        <v>500</v>
      </c>
      <c r="R12" s="6"/>
      <c r="S12" s="6"/>
    </row>
    <row r="13" spans="2:19" x14ac:dyDescent="0.25">
      <c r="B13" s="5" t="s">
        <v>119</v>
      </c>
      <c r="C13" s="5"/>
      <c r="D13" s="5" t="s">
        <v>90</v>
      </c>
      <c r="E13" s="6">
        <v>1</v>
      </c>
      <c r="F13" s="6">
        <v>100</v>
      </c>
      <c r="G13" s="6">
        <f>+F13*E13</f>
        <v>100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778</v>
      </c>
      <c r="C14" s="5"/>
      <c r="D14" s="5" t="s">
        <v>90</v>
      </c>
      <c r="E14" s="6">
        <v>1</v>
      </c>
      <c r="F14" s="6">
        <v>300</v>
      </c>
      <c r="G14" s="6">
        <f>+F14*E14</f>
        <v>300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679</v>
      </c>
      <c r="C15" s="5"/>
      <c r="D15" s="5" t="s">
        <v>90</v>
      </c>
      <c r="E15" s="6">
        <v>1</v>
      </c>
      <c r="F15" s="6">
        <v>100</v>
      </c>
      <c r="G15" s="6">
        <f>+F15*E15</f>
        <v>100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500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1" spans="2:19" x14ac:dyDescent="0.25">
      <c r="I21" s="113" t="s">
        <v>265</v>
      </c>
      <c r="J21" s="114"/>
      <c r="K21" s="114"/>
      <c r="L21" s="114"/>
      <c r="M21" s="114"/>
      <c r="N21" s="115"/>
    </row>
    <row r="22" spans="2:19" x14ac:dyDescent="0.25">
      <c r="I22" s="29" t="s">
        <v>3</v>
      </c>
      <c r="J22" s="29" t="s">
        <v>582</v>
      </c>
      <c r="K22" s="29" t="s">
        <v>78</v>
      </c>
      <c r="L22" s="29" t="s">
        <v>80</v>
      </c>
      <c r="M22" s="29" t="s">
        <v>263</v>
      </c>
      <c r="N22" s="29" t="s">
        <v>264</v>
      </c>
      <c r="O22" s="2">
        <v>0</v>
      </c>
      <c r="P22" s="2">
        <v>1</v>
      </c>
      <c r="Q22" s="2">
        <v>2</v>
      </c>
      <c r="R22" s="2">
        <v>3</v>
      </c>
    </row>
    <row r="23" spans="2:19" x14ac:dyDescent="0.25">
      <c r="I23" s="15" t="str">
        <f>+I12</f>
        <v>IN41</v>
      </c>
      <c r="J23" s="15"/>
      <c r="K23" s="109"/>
      <c r="L23" s="6"/>
      <c r="M23" s="6">
        <f>NPV($L$8,P23:R23)+O23</f>
        <v>471.69811320754712</v>
      </c>
      <c r="N23" s="6">
        <f>-PMT($L$8,2,M23)</f>
        <v>257.28155339805824</v>
      </c>
      <c r="O23" s="2"/>
      <c r="P23" s="16">
        <f>+Q12</f>
        <v>500</v>
      </c>
      <c r="Q23" s="16"/>
      <c r="R23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444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044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148"/>
  <sheetViews>
    <sheetView showGridLines="0" tabSelected="1" workbookViewId="0">
      <pane xSplit="7" ySplit="7" topLeftCell="I140" activePane="bottomRight" state="frozen"/>
      <selection pane="topRight" activeCell="H1" sqref="H1"/>
      <selection pane="bottomLeft" activeCell="A8" sqref="A8"/>
      <selection pane="bottomRight" activeCell="N125" sqref="N125"/>
    </sheetView>
  </sheetViews>
  <sheetFormatPr baseColWidth="10" defaultRowHeight="15" x14ac:dyDescent="0.25"/>
  <cols>
    <col min="1" max="1" width="3.42578125" customWidth="1"/>
    <col min="2" max="2" width="10" customWidth="1"/>
    <col min="3" max="3" width="13.85546875" customWidth="1"/>
    <col min="4" max="4" width="15.42578125" customWidth="1"/>
    <col min="5" max="5" width="6" style="61" bestFit="1" customWidth="1"/>
    <col min="6" max="6" width="18.85546875" customWidth="1"/>
    <col min="7" max="7" width="4.5703125" bestFit="1" customWidth="1"/>
    <col min="8" max="8" width="57.5703125" customWidth="1"/>
    <col min="9" max="9" width="11.42578125" style="103"/>
    <col min="10" max="17" width="11.42578125" style="104"/>
  </cols>
  <sheetData>
    <row r="2" spans="1:17" x14ac:dyDescent="0.25">
      <c r="B2" s="217"/>
      <c r="C2" s="259" t="s">
        <v>19</v>
      </c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2"/>
    </row>
    <row r="3" spans="1:17" x14ac:dyDescent="0.25">
      <c r="B3" s="217"/>
      <c r="C3" s="263" t="s">
        <v>18</v>
      </c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6"/>
    </row>
    <row r="4" spans="1:17" x14ac:dyDescent="0.25">
      <c r="B4" s="217"/>
      <c r="C4" s="267" t="s">
        <v>23</v>
      </c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70"/>
    </row>
    <row r="5" spans="1:17" ht="33.75" x14ac:dyDescent="0.5">
      <c r="B5" s="63"/>
      <c r="C5" s="159"/>
      <c r="D5" s="159"/>
      <c r="E5" s="159"/>
      <c r="F5" s="159"/>
      <c r="G5" s="159"/>
      <c r="H5" s="159"/>
      <c r="I5" s="105"/>
      <c r="J5" s="105"/>
      <c r="K5" s="105"/>
      <c r="L5" s="105"/>
      <c r="M5" s="105"/>
      <c r="N5" s="105"/>
      <c r="O5" s="105"/>
      <c r="P5" s="105"/>
      <c r="Q5" s="105"/>
    </row>
    <row r="6" spans="1:17" x14ac:dyDescent="0.25">
      <c r="I6" s="126"/>
      <c r="J6" s="285">
        <v>1</v>
      </c>
      <c r="K6" s="285"/>
      <c r="L6" s="285"/>
      <c r="M6" s="285"/>
      <c r="N6" s="285"/>
      <c r="O6" s="170">
        <v>2</v>
      </c>
      <c r="P6" s="284">
        <v>3</v>
      </c>
      <c r="Q6" s="284"/>
    </row>
    <row r="7" spans="1:17" ht="30" x14ac:dyDescent="0.25">
      <c r="B7" s="74" t="s">
        <v>17</v>
      </c>
      <c r="C7" s="158" t="s">
        <v>266</v>
      </c>
      <c r="D7" s="158" t="s">
        <v>267</v>
      </c>
      <c r="E7" s="75" t="s">
        <v>268</v>
      </c>
      <c r="F7" s="158" t="s">
        <v>269</v>
      </c>
      <c r="G7" s="158"/>
      <c r="H7" s="76" t="s">
        <v>270</v>
      </c>
      <c r="I7" s="25" t="s">
        <v>121</v>
      </c>
      <c r="J7" s="106">
        <v>2018</v>
      </c>
      <c r="K7" s="106">
        <v>2019</v>
      </c>
      <c r="L7" s="106">
        <v>2020</v>
      </c>
      <c r="M7" s="106">
        <v>2021</v>
      </c>
      <c r="N7" s="106">
        <v>2022</v>
      </c>
      <c r="O7" s="106" t="s">
        <v>0</v>
      </c>
      <c r="P7" s="106" t="s">
        <v>25</v>
      </c>
      <c r="Q7" s="106" t="s">
        <v>26</v>
      </c>
    </row>
    <row r="8" spans="1:17" x14ac:dyDescent="0.25">
      <c r="A8" t="str">
        <f>MID(G8,1,1)</f>
        <v>I</v>
      </c>
      <c r="B8" s="226" t="s">
        <v>271</v>
      </c>
      <c r="C8" s="253" t="s">
        <v>272</v>
      </c>
      <c r="D8" s="256" t="s">
        <v>155</v>
      </c>
      <c r="E8" s="272" t="s">
        <v>273</v>
      </c>
      <c r="F8" s="256" t="s">
        <v>154</v>
      </c>
      <c r="G8" s="160" t="s">
        <v>27</v>
      </c>
      <c r="H8" s="62" t="s">
        <v>274</v>
      </c>
      <c r="I8" s="108">
        <f>SUM(J8:Q8)</f>
        <v>347.1</v>
      </c>
      <c r="J8" s="107">
        <f>+PRESUPUESTO!S8</f>
        <v>0</v>
      </c>
      <c r="K8" s="107">
        <f>+PRESUPUESTO!T8</f>
        <v>0</v>
      </c>
      <c r="L8" s="107">
        <f>+PRESUPUESTO!U8</f>
        <v>0</v>
      </c>
      <c r="M8" s="107">
        <f>+PRESUPUESTO!V8</f>
        <v>0</v>
      </c>
      <c r="N8" s="107">
        <f>+PRESUPUESTO!W8</f>
        <v>0</v>
      </c>
      <c r="O8" s="107">
        <f>+PRESUPUESTO!X8</f>
        <v>347.1</v>
      </c>
      <c r="P8" s="107">
        <f>+PRESUPUESTO!Y8</f>
        <v>0</v>
      </c>
      <c r="Q8" s="107">
        <f>+PRESUPUESTO!Z8</f>
        <v>0</v>
      </c>
    </row>
    <row r="9" spans="1:17" x14ac:dyDescent="0.25">
      <c r="A9" t="str">
        <f t="shared" ref="A9:A72" si="0">MID(G9,1,1)</f>
        <v>I</v>
      </c>
      <c r="B9" s="227"/>
      <c r="C9" s="254"/>
      <c r="D9" s="257"/>
      <c r="E9" s="273"/>
      <c r="F9" s="257"/>
      <c r="G9" s="160" t="s">
        <v>28</v>
      </c>
      <c r="H9" s="62" t="s">
        <v>275</v>
      </c>
      <c r="I9" s="108">
        <f t="shared" ref="I9:I72" si="1">SUM(J9:Q9)</f>
        <v>413.85</v>
      </c>
      <c r="J9" s="107">
        <f>+PRESUPUESTO!S9</f>
        <v>0</v>
      </c>
      <c r="K9" s="107">
        <f>+PRESUPUESTO!T9</f>
        <v>0</v>
      </c>
      <c r="L9" s="107">
        <f>+PRESUPUESTO!U9</f>
        <v>0</v>
      </c>
      <c r="M9" s="107">
        <f>+PRESUPUESTO!V9</f>
        <v>0</v>
      </c>
      <c r="N9" s="107">
        <f>+PRESUPUESTO!W9</f>
        <v>0</v>
      </c>
      <c r="O9" s="107">
        <f>+PRESUPUESTO!X9</f>
        <v>413.85</v>
      </c>
      <c r="P9" s="107">
        <f>+PRESUPUESTO!Y9</f>
        <v>0</v>
      </c>
      <c r="Q9" s="107">
        <f>+PRESUPUESTO!Z9</f>
        <v>0</v>
      </c>
    </row>
    <row r="10" spans="1:17" x14ac:dyDescent="0.25">
      <c r="A10" t="str">
        <f t="shared" si="0"/>
        <v>I</v>
      </c>
      <c r="B10" s="227"/>
      <c r="C10" s="254"/>
      <c r="D10" s="257"/>
      <c r="E10" s="273"/>
      <c r="F10" s="257"/>
      <c r="G10" s="160" t="s">
        <v>29</v>
      </c>
      <c r="H10" s="62" t="s">
        <v>276</v>
      </c>
      <c r="I10" s="108">
        <f t="shared" si="1"/>
        <v>347.1</v>
      </c>
      <c r="J10" s="107">
        <f>+PRESUPUESTO!S10</f>
        <v>0</v>
      </c>
      <c r="K10" s="107">
        <f>+PRESUPUESTO!T10</f>
        <v>0</v>
      </c>
      <c r="L10" s="107">
        <f>+PRESUPUESTO!U10</f>
        <v>0</v>
      </c>
      <c r="M10" s="107">
        <f>+PRESUPUESTO!V10</f>
        <v>0</v>
      </c>
      <c r="N10" s="107">
        <f>+PRESUPUESTO!W10</f>
        <v>0</v>
      </c>
      <c r="O10" s="107">
        <f>+PRESUPUESTO!X10</f>
        <v>347.1</v>
      </c>
      <c r="P10" s="107">
        <f>+PRESUPUESTO!Y10</f>
        <v>0</v>
      </c>
      <c r="Q10" s="107">
        <f>+PRESUPUESTO!Z10</f>
        <v>0</v>
      </c>
    </row>
    <row r="11" spans="1:17" x14ac:dyDescent="0.25">
      <c r="A11" t="str">
        <f t="shared" si="0"/>
        <v>I</v>
      </c>
      <c r="B11" s="227"/>
      <c r="C11" s="254"/>
      <c r="D11" s="257"/>
      <c r="E11" s="273"/>
      <c r="F11" s="257"/>
      <c r="G11" s="160" t="s">
        <v>30</v>
      </c>
      <c r="H11" s="62" t="s">
        <v>277</v>
      </c>
      <c r="I11" s="108">
        <f t="shared" si="1"/>
        <v>347.1</v>
      </c>
      <c r="J11" s="107">
        <f>+PRESUPUESTO!S11</f>
        <v>0</v>
      </c>
      <c r="K11" s="107">
        <f>+PRESUPUESTO!T11</f>
        <v>0</v>
      </c>
      <c r="L11" s="107">
        <f>+PRESUPUESTO!U11</f>
        <v>0</v>
      </c>
      <c r="M11" s="107">
        <f>+PRESUPUESTO!V11</f>
        <v>0</v>
      </c>
      <c r="N11" s="107">
        <f>+PRESUPUESTO!W11</f>
        <v>0</v>
      </c>
      <c r="O11" s="107">
        <f>+PRESUPUESTO!X11</f>
        <v>347.1</v>
      </c>
      <c r="P11" s="107">
        <f>+PRESUPUESTO!Y11</f>
        <v>0</v>
      </c>
      <c r="Q11" s="107">
        <f>+PRESUPUESTO!Z11</f>
        <v>0</v>
      </c>
    </row>
    <row r="12" spans="1:17" x14ac:dyDescent="0.25">
      <c r="A12" t="str">
        <f t="shared" si="0"/>
        <v>I</v>
      </c>
      <c r="B12" s="227"/>
      <c r="C12" s="254"/>
      <c r="D12" s="257"/>
      <c r="E12" s="274"/>
      <c r="F12" s="258"/>
      <c r="G12" s="160" t="s">
        <v>31</v>
      </c>
      <c r="H12" s="62" t="s">
        <v>278</v>
      </c>
      <c r="I12" s="108">
        <f t="shared" si="1"/>
        <v>480.6</v>
      </c>
      <c r="J12" s="107">
        <f>+PRESUPUESTO!S12</f>
        <v>0</v>
      </c>
      <c r="K12" s="107">
        <f>+PRESUPUESTO!T12</f>
        <v>0</v>
      </c>
      <c r="L12" s="107">
        <f>+PRESUPUESTO!U12</f>
        <v>0</v>
      </c>
      <c r="M12" s="107">
        <f>+PRESUPUESTO!V12</f>
        <v>0</v>
      </c>
      <c r="N12" s="107">
        <f>+PRESUPUESTO!W12</f>
        <v>0</v>
      </c>
      <c r="O12" s="107">
        <f>+PRESUPUESTO!X12</f>
        <v>480.6</v>
      </c>
      <c r="P12" s="107">
        <f>+PRESUPUESTO!Y12</f>
        <v>0</v>
      </c>
      <c r="Q12" s="107">
        <f>+PRESUPUESTO!Z12</f>
        <v>0</v>
      </c>
    </row>
    <row r="13" spans="1:17" x14ac:dyDescent="0.25">
      <c r="A13" t="str">
        <f t="shared" si="0"/>
        <v>I</v>
      </c>
      <c r="B13" s="227"/>
      <c r="C13" s="254"/>
      <c r="D13" s="257"/>
      <c r="E13" s="272" t="s">
        <v>279</v>
      </c>
      <c r="F13" s="256" t="s">
        <v>157</v>
      </c>
      <c r="G13" s="160" t="s">
        <v>32</v>
      </c>
      <c r="H13" s="62" t="s">
        <v>280</v>
      </c>
      <c r="I13" s="108">
        <f t="shared" si="1"/>
        <v>0</v>
      </c>
      <c r="J13" s="107">
        <f>+PRESUPUESTO!S13</f>
        <v>0</v>
      </c>
      <c r="K13" s="107">
        <f>+PRESUPUESTO!T13</f>
        <v>0</v>
      </c>
      <c r="L13" s="107">
        <f>+PRESUPUESTO!U13</f>
        <v>0</v>
      </c>
      <c r="M13" s="107">
        <f>+PRESUPUESTO!V13</f>
        <v>0</v>
      </c>
      <c r="N13" s="107">
        <f>+PRESUPUESTO!W13</f>
        <v>0</v>
      </c>
      <c r="O13" s="107">
        <f>+PRESUPUESTO!X13</f>
        <v>0</v>
      </c>
      <c r="P13" s="107">
        <f>+PRESUPUESTO!Y13</f>
        <v>0</v>
      </c>
      <c r="Q13" s="107">
        <f>+PRESUPUESTO!Z13</f>
        <v>0</v>
      </c>
    </row>
    <row r="14" spans="1:17" x14ac:dyDescent="0.25">
      <c r="A14" t="str">
        <f t="shared" si="0"/>
        <v>I</v>
      </c>
      <c r="B14" s="227"/>
      <c r="C14" s="254"/>
      <c r="D14" s="257"/>
      <c r="E14" s="273"/>
      <c r="F14" s="257"/>
      <c r="G14" s="160" t="s">
        <v>33</v>
      </c>
      <c r="H14" s="62" t="s">
        <v>281</v>
      </c>
      <c r="I14" s="108">
        <f t="shared" si="1"/>
        <v>0</v>
      </c>
      <c r="J14" s="107">
        <f>+PRESUPUESTO!S14</f>
        <v>0</v>
      </c>
      <c r="K14" s="107">
        <f>+PRESUPUESTO!T14</f>
        <v>0</v>
      </c>
      <c r="L14" s="107">
        <f>+PRESUPUESTO!U14</f>
        <v>0</v>
      </c>
      <c r="M14" s="107">
        <f>+PRESUPUESTO!V14</f>
        <v>0</v>
      </c>
      <c r="N14" s="107">
        <f>+PRESUPUESTO!W14</f>
        <v>0</v>
      </c>
      <c r="O14" s="107">
        <f>+PRESUPUESTO!X14</f>
        <v>0</v>
      </c>
      <c r="P14" s="107">
        <f>+PRESUPUESTO!Y14</f>
        <v>0</v>
      </c>
      <c r="Q14" s="107">
        <f>+PRESUPUESTO!Z14</f>
        <v>0</v>
      </c>
    </row>
    <row r="15" spans="1:17" x14ac:dyDescent="0.25">
      <c r="A15" t="str">
        <f t="shared" si="0"/>
        <v>I</v>
      </c>
      <c r="B15" s="227"/>
      <c r="C15" s="254"/>
      <c r="D15" s="257"/>
      <c r="E15" s="273"/>
      <c r="F15" s="257"/>
      <c r="G15" s="160" t="s">
        <v>34</v>
      </c>
      <c r="H15" s="62" t="s">
        <v>282</v>
      </c>
      <c r="I15" s="108">
        <f t="shared" si="1"/>
        <v>0</v>
      </c>
      <c r="J15" s="107">
        <f>+PRESUPUESTO!S15</f>
        <v>0</v>
      </c>
      <c r="K15" s="107">
        <f>+PRESUPUESTO!T15</f>
        <v>0</v>
      </c>
      <c r="L15" s="107">
        <f>+PRESUPUESTO!U15</f>
        <v>0</v>
      </c>
      <c r="M15" s="107">
        <f>+PRESUPUESTO!V15</f>
        <v>0</v>
      </c>
      <c r="N15" s="107">
        <f>+PRESUPUESTO!W15</f>
        <v>0</v>
      </c>
      <c r="O15" s="107">
        <f>+PRESUPUESTO!X15</f>
        <v>0</v>
      </c>
      <c r="P15" s="107">
        <f>+PRESUPUESTO!Y15</f>
        <v>0</v>
      </c>
      <c r="Q15" s="107">
        <f>+PRESUPUESTO!Z15</f>
        <v>0</v>
      </c>
    </row>
    <row r="16" spans="1:17" x14ac:dyDescent="0.25">
      <c r="A16" t="str">
        <f t="shared" si="0"/>
        <v>I</v>
      </c>
      <c r="B16" s="227"/>
      <c r="C16" s="254"/>
      <c r="D16" s="257"/>
      <c r="E16" s="273"/>
      <c r="F16" s="257"/>
      <c r="G16" s="160" t="s">
        <v>35</v>
      </c>
      <c r="H16" s="62" t="s">
        <v>283</v>
      </c>
      <c r="I16" s="108">
        <f t="shared" si="1"/>
        <v>0</v>
      </c>
      <c r="J16" s="107">
        <f>+PRESUPUESTO!S16</f>
        <v>0</v>
      </c>
      <c r="K16" s="107">
        <f>+PRESUPUESTO!T16</f>
        <v>0</v>
      </c>
      <c r="L16" s="107">
        <f>+PRESUPUESTO!U16</f>
        <v>0</v>
      </c>
      <c r="M16" s="107">
        <f>+PRESUPUESTO!V16</f>
        <v>0</v>
      </c>
      <c r="N16" s="107">
        <f>+PRESUPUESTO!W16</f>
        <v>0</v>
      </c>
      <c r="O16" s="107">
        <f>+PRESUPUESTO!X16</f>
        <v>0</v>
      </c>
      <c r="P16" s="107">
        <f>+PRESUPUESTO!Y16</f>
        <v>0</v>
      </c>
      <c r="Q16" s="107">
        <f>+PRESUPUESTO!Z16</f>
        <v>0</v>
      </c>
    </row>
    <row r="17" spans="1:17" x14ac:dyDescent="0.25">
      <c r="A17" t="str">
        <f t="shared" si="0"/>
        <v>I</v>
      </c>
      <c r="B17" s="227"/>
      <c r="C17" s="254"/>
      <c r="D17" s="258"/>
      <c r="E17" s="274"/>
      <c r="F17" s="258"/>
      <c r="G17" s="160" t="s">
        <v>36</v>
      </c>
      <c r="H17" s="62" t="s">
        <v>284</v>
      </c>
      <c r="I17" s="108">
        <f t="shared" si="1"/>
        <v>0</v>
      </c>
      <c r="J17" s="107">
        <f>+PRESUPUESTO!S17</f>
        <v>0</v>
      </c>
      <c r="K17" s="107">
        <f>+PRESUPUESTO!T17</f>
        <v>0</v>
      </c>
      <c r="L17" s="107">
        <f>+PRESUPUESTO!U17</f>
        <v>0</v>
      </c>
      <c r="M17" s="107">
        <f>+PRESUPUESTO!V17</f>
        <v>0</v>
      </c>
      <c r="N17" s="107">
        <f>+PRESUPUESTO!W17</f>
        <v>0</v>
      </c>
      <c r="O17" s="107">
        <f>+PRESUPUESTO!X17</f>
        <v>0</v>
      </c>
      <c r="P17" s="107">
        <f>+PRESUPUESTO!Y17</f>
        <v>0</v>
      </c>
      <c r="Q17" s="107">
        <f>+PRESUPUESTO!Z17</f>
        <v>0</v>
      </c>
    </row>
    <row r="18" spans="1:17" x14ac:dyDescent="0.25">
      <c r="A18" t="str">
        <f t="shared" si="0"/>
        <v>C</v>
      </c>
      <c r="B18" s="227"/>
      <c r="C18" s="254"/>
      <c r="D18" s="256" t="s">
        <v>159</v>
      </c>
      <c r="E18" s="272" t="s">
        <v>285</v>
      </c>
      <c r="F18" s="256" t="s">
        <v>158</v>
      </c>
      <c r="G18" s="160" t="s">
        <v>286</v>
      </c>
      <c r="H18" s="78" t="s">
        <v>287</v>
      </c>
      <c r="I18" s="108">
        <f t="shared" si="1"/>
        <v>16000</v>
      </c>
      <c r="J18" s="107">
        <f>+PRESUPUESTO!S18</f>
        <v>0</v>
      </c>
      <c r="K18" s="107">
        <f>+PRESUPUESTO!T18</f>
        <v>0</v>
      </c>
      <c r="L18" s="107">
        <f>+PRESUPUESTO!U18</f>
        <v>16000</v>
      </c>
      <c r="M18" s="107">
        <f>+PRESUPUESTO!V18</f>
        <v>0</v>
      </c>
      <c r="N18" s="107">
        <f>+PRESUPUESTO!W18</f>
        <v>0</v>
      </c>
      <c r="O18" s="107">
        <f>+PRESUPUESTO!X18</f>
        <v>0</v>
      </c>
      <c r="P18" s="107">
        <f>+PRESUPUESTO!Y18</f>
        <v>0</v>
      </c>
      <c r="Q18" s="107">
        <f>+PRESUPUESTO!Z18</f>
        <v>0</v>
      </c>
    </row>
    <row r="19" spans="1:17" x14ac:dyDescent="0.25">
      <c r="A19" t="str">
        <f t="shared" si="0"/>
        <v>C</v>
      </c>
      <c r="B19" s="227"/>
      <c r="C19" s="254"/>
      <c r="D19" s="257"/>
      <c r="E19" s="273"/>
      <c r="F19" s="257"/>
      <c r="G19" s="160" t="s">
        <v>289</v>
      </c>
      <c r="H19" s="78" t="s">
        <v>290</v>
      </c>
      <c r="I19" s="108">
        <f t="shared" si="1"/>
        <v>2360.2979999999998</v>
      </c>
      <c r="J19" s="107">
        <f>+PRESUPUESTO!S19</f>
        <v>0</v>
      </c>
      <c r="K19" s="107">
        <f>+PRESUPUESTO!T19</f>
        <v>0</v>
      </c>
      <c r="L19" s="107">
        <f>+PRESUPUESTO!U19</f>
        <v>2360.2979999999998</v>
      </c>
      <c r="M19" s="107">
        <f>+PRESUPUESTO!V19</f>
        <v>0</v>
      </c>
      <c r="N19" s="107">
        <f>+PRESUPUESTO!W19</f>
        <v>0</v>
      </c>
      <c r="O19" s="107">
        <f>+PRESUPUESTO!X19</f>
        <v>0</v>
      </c>
      <c r="P19" s="107">
        <f>+PRESUPUESTO!Y19</f>
        <v>0</v>
      </c>
      <c r="Q19" s="107">
        <f>+PRESUPUESTO!Z19</f>
        <v>0</v>
      </c>
    </row>
    <row r="20" spans="1:17" x14ac:dyDescent="0.25">
      <c r="A20" t="str">
        <f t="shared" si="0"/>
        <v>C</v>
      </c>
      <c r="B20" s="227"/>
      <c r="C20" s="254"/>
      <c r="D20" s="257"/>
      <c r="E20" s="273"/>
      <c r="F20" s="257"/>
      <c r="G20" s="160" t="s">
        <v>292</v>
      </c>
      <c r="H20" s="78" t="s">
        <v>293</v>
      </c>
      <c r="I20" s="108">
        <f t="shared" si="1"/>
        <v>22367.09</v>
      </c>
      <c r="J20" s="107">
        <f>+PRESUPUESTO!S20</f>
        <v>22367.09</v>
      </c>
      <c r="K20" s="107">
        <f>+PRESUPUESTO!T20</f>
        <v>0</v>
      </c>
      <c r="L20" s="107">
        <f>+PRESUPUESTO!U20</f>
        <v>0</v>
      </c>
      <c r="M20" s="107">
        <f>+PRESUPUESTO!V20</f>
        <v>0</v>
      </c>
      <c r="N20" s="107">
        <f>+PRESUPUESTO!W20</f>
        <v>0</v>
      </c>
      <c r="O20" s="107">
        <f>+PRESUPUESTO!X20</f>
        <v>0</v>
      </c>
      <c r="P20" s="107">
        <f>+PRESUPUESTO!Y20</f>
        <v>0</v>
      </c>
      <c r="Q20" s="107">
        <f>+PRESUPUESTO!Z20</f>
        <v>0</v>
      </c>
    </row>
    <row r="21" spans="1:17" x14ac:dyDescent="0.25">
      <c r="A21" t="str">
        <f t="shared" si="0"/>
        <v>C</v>
      </c>
      <c r="B21" s="227"/>
      <c r="C21" s="254"/>
      <c r="D21" s="257"/>
      <c r="E21" s="273"/>
      <c r="F21" s="257"/>
      <c r="G21" s="160" t="s">
        <v>295</v>
      </c>
      <c r="H21" s="78" t="s">
        <v>296</v>
      </c>
      <c r="I21" s="108">
        <f t="shared" si="1"/>
        <v>211200</v>
      </c>
      <c r="J21" s="107">
        <f>+PRESUPUESTO!S21</f>
        <v>0</v>
      </c>
      <c r="K21" s="107">
        <f>+PRESUPUESTO!T21</f>
        <v>0</v>
      </c>
      <c r="L21" s="107">
        <f>+PRESUPUESTO!U21</f>
        <v>0</v>
      </c>
      <c r="M21" s="107">
        <f>+PRESUPUESTO!V21</f>
        <v>0</v>
      </c>
      <c r="N21" s="107">
        <f>+PRESUPUESTO!W21</f>
        <v>0</v>
      </c>
      <c r="O21" s="107">
        <f>+PRESUPUESTO!X21</f>
        <v>211200</v>
      </c>
      <c r="P21" s="107">
        <f>+PRESUPUESTO!Y21</f>
        <v>0</v>
      </c>
      <c r="Q21" s="107">
        <f>+PRESUPUESTO!Z21</f>
        <v>0</v>
      </c>
    </row>
    <row r="22" spans="1:17" x14ac:dyDescent="0.25">
      <c r="A22" t="str">
        <f t="shared" si="0"/>
        <v>C</v>
      </c>
      <c r="B22" s="227"/>
      <c r="C22" s="254"/>
      <c r="D22" s="257"/>
      <c r="E22" s="273"/>
      <c r="F22" s="257"/>
      <c r="G22" s="160" t="s">
        <v>298</v>
      </c>
      <c r="H22" s="78" t="s">
        <v>299</v>
      </c>
      <c r="I22" s="108">
        <f t="shared" si="1"/>
        <v>43236.02</v>
      </c>
      <c r="J22" s="107">
        <f>+PRESUPUESTO!S22</f>
        <v>0</v>
      </c>
      <c r="K22" s="107">
        <f>+PRESUPUESTO!T22</f>
        <v>0</v>
      </c>
      <c r="L22" s="107">
        <f>+PRESUPUESTO!U22</f>
        <v>0</v>
      </c>
      <c r="M22" s="107">
        <f>+PRESUPUESTO!V22</f>
        <v>0</v>
      </c>
      <c r="N22" s="107">
        <f>+PRESUPUESTO!W22</f>
        <v>0</v>
      </c>
      <c r="O22" s="107">
        <f>+PRESUPUESTO!X22</f>
        <v>43236.02</v>
      </c>
      <c r="P22" s="107">
        <f>+PRESUPUESTO!Y22</f>
        <v>0</v>
      </c>
      <c r="Q22" s="107">
        <f>+PRESUPUESTO!Z22</f>
        <v>0</v>
      </c>
    </row>
    <row r="23" spans="1:17" x14ac:dyDescent="0.25">
      <c r="A23" t="str">
        <f t="shared" si="0"/>
        <v>C</v>
      </c>
      <c r="B23" s="227"/>
      <c r="C23" s="254"/>
      <c r="D23" s="257"/>
      <c r="E23" s="273"/>
      <c r="F23" s="257"/>
      <c r="G23" s="160" t="s">
        <v>301</v>
      </c>
      <c r="H23" s="78" t="s">
        <v>302</v>
      </c>
      <c r="I23" s="108">
        <f t="shared" si="1"/>
        <v>4500</v>
      </c>
      <c r="J23" s="107">
        <f>+PRESUPUESTO!S23</f>
        <v>0</v>
      </c>
      <c r="K23" s="107">
        <f>+PRESUPUESTO!T23</f>
        <v>4500</v>
      </c>
      <c r="L23" s="107">
        <f>+PRESUPUESTO!U23</f>
        <v>0</v>
      </c>
      <c r="M23" s="107">
        <f>+PRESUPUESTO!V23</f>
        <v>0</v>
      </c>
      <c r="N23" s="107">
        <f>+PRESUPUESTO!W23</f>
        <v>0</v>
      </c>
      <c r="O23" s="107">
        <f>+PRESUPUESTO!X23</f>
        <v>0</v>
      </c>
      <c r="P23" s="107">
        <f>+PRESUPUESTO!Y23</f>
        <v>0</v>
      </c>
      <c r="Q23" s="107">
        <f>+PRESUPUESTO!Z23</f>
        <v>0</v>
      </c>
    </row>
    <row r="24" spans="1:17" x14ac:dyDescent="0.25">
      <c r="A24" t="str">
        <f t="shared" si="0"/>
        <v>C</v>
      </c>
      <c r="B24" s="227"/>
      <c r="C24" s="254"/>
      <c r="D24" s="257"/>
      <c r="E24" s="273"/>
      <c r="F24" s="257"/>
      <c r="G24" s="160" t="s">
        <v>304</v>
      </c>
      <c r="H24" s="78" t="s">
        <v>305</v>
      </c>
      <c r="I24" s="108">
        <f t="shared" si="1"/>
        <v>5697.73</v>
      </c>
      <c r="J24" s="107">
        <f>+PRESUPUESTO!S24</f>
        <v>0</v>
      </c>
      <c r="K24" s="107">
        <f>+PRESUPUESTO!T24</f>
        <v>0</v>
      </c>
      <c r="L24" s="107">
        <f>+PRESUPUESTO!U24</f>
        <v>5697.73</v>
      </c>
      <c r="M24" s="107">
        <f>+PRESUPUESTO!V24</f>
        <v>0</v>
      </c>
      <c r="N24" s="107">
        <f>+PRESUPUESTO!W24</f>
        <v>0</v>
      </c>
      <c r="O24" s="107">
        <f>+PRESUPUESTO!X24</f>
        <v>0</v>
      </c>
      <c r="P24" s="107">
        <f>+PRESUPUESTO!Y24</f>
        <v>0</v>
      </c>
      <c r="Q24" s="107">
        <f>+PRESUPUESTO!Z24</f>
        <v>0</v>
      </c>
    </row>
    <row r="25" spans="1:17" x14ac:dyDescent="0.25">
      <c r="A25" t="str">
        <f t="shared" si="0"/>
        <v>C</v>
      </c>
      <c r="B25" s="227"/>
      <c r="C25" s="254"/>
      <c r="D25" s="257"/>
      <c r="E25" s="273"/>
      <c r="F25" s="257"/>
      <c r="G25" s="160" t="s">
        <v>306</v>
      </c>
      <c r="H25" s="78" t="s">
        <v>307</v>
      </c>
      <c r="I25" s="108">
        <f t="shared" si="1"/>
        <v>4031</v>
      </c>
      <c r="J25" s="107">
        <f>+PRESUPUESTO!S25</f>
        <v>0</v>
      </c>
      <c r="K25" s="107">
        <f>+PRESUPUESTO!T25</f>
        <v>0</v>
      </c>
      <c r="L25" s="107">
        <f>+PRESUPUESTO!U25</f>
        <v>4031</v>
      </c>
      <c r="M25" s="107">
        <f>+PRESUPUESTO!V25</f>
        <v>0</v>
      </c>
      <c r="N25" s="107">
        <f>+PRESUPUESTO!W25</f>
        <v>0</v>
      </c>
      <c r="O25" s="107">
        <f>+PRESUPUESTO!X25</f>
        <v>0</v>
      </c>
      <c r="P25" s="107">
        <f>+PRESUPUESTO!Y25</f>
        <v>0</v>
      </c>
      <c r="Q25" s="107">
        <f>+PRESUPUESTO!Z25</f>
        <v>0</v>
      </c>
    </row>
    <row r="26" spans="1:17" x14ac:dyDescent="0.25">
      <c r="A26" t="str">
        <f t="shared" si="0"/>
        <v>C</v>
      </c>
      <c r="B26" s="227"/>
      <c r="C26" s="254"/>
      <c r="D26" s="257"/>
      <c r="E26" s="273"/>
      <c r="F26" s="257"/>
      <c r="G26" s="160" t="s">
        <v>308</v>
      </c>
      <c r="H26" s="78" t="s">
        <v>309</v>
      </c>
      <c r="I26" s="108">
        <f t="shared" si="1"/>
        <v>5780</v>
      </c>
      <c r="J26" s="107">
        <f>+PRESUPUESTO!S26</f>
        <v>0</v>
      </c>
      <c r="K26" s="107">
        <f>+PRESUPUESTO!T26</f>
        <v>5780</v>
      </c>
      <c r="L26" s="107">
        <f>+PRESUPUESTO!U26</f>
        <v>0</v>
      </c>
      <c r="M26" s="107">
        <f>+PRESUPUESTO!V26</f>
        <v>0</v>
      </c>
      <c r="N26" s="107">
        <f>+PRESUPUESTO!W26</f>
        <v>0</v>
      </c>
      <c r="O26" s="107">
        <f>+PRESUPUESTO!X26</f>
        <v>0</v>
      </c>
      <c r="P26" s="107">
        <f>+PRESUPUESTO!Y26</f>
        <v>0</v>
      </c>
      <c r="Q26" s="107">
        <f>+PRESUPUESTO!Z26</f>
        <v>0</v>
      </c>
    </row>
    <row r="27" spans="1:17" x14ac:dyDescent="0.25">
      <c r="A27" t="str">
        <f t="shared" si="0"/>
        <v>C</v>
      </c>
      <c r="B27" s="227"/>
      <c r="C27" s="254"/>
      <c r="D27" s="257"/>
      <c r="E27" s="273"/>
      <c r="F27" s="257"/>
      <c r="G27" s="160" t="s">
        <v>310</v>
      </c>
      <c r="H27" s="78" t="s">
        <v>311</v>
      </c>
      <c r="I27" s="108">
        <f t="shared" si="1"/>
        <v>2760</v>
      </c>
      <c r="J27" s="107">
        <f>+PRESUPUESTO!S27</f>
        <v>0</v>
      </c>
      <c r="K27" s="107">
        <f>+PRESUPUESTO!T27</f>
        <v>0</v>
      </c>
      <c r="L27" s="107">
        <f>+PRESUPUESTO!U27</f>
        <v>2760</v>
      </c>
      <c r="M27" s="107">
        <f>+PRESUPUESTO!V27</f>
        <v>0</v>
      </c>
      <c r="N27" s="107">
        <f>+PRESUPUESTO!W27</f>
        <v>0</v>
      </c>
      <c r="O27" s="107">
        <f>+PRESUPUESTO!X27</f>
        <v>0</v>
      </c>
      <c r="P27" s="107">
        <f>+PRESUPUESTO!Y27</f>
        <v>0</v>
      </c>
      <c r="Q27" s="107">
        <f>+PRESUPUESTO!Z27</f>
        <v>0</v>
      </c>
    </row>
    <row r="28" spans="1:17" x14ac:dyDescent="0.25">
      <c r="A28" t="str">
        <f t="shared" si="0"/>
        <v>C</v>
      </c>
      <c r="B28" s="227"/>
      <c r="C28" s="254"/>
      <c r="D28" s="257"/>
      <c r="E28" s="273"/>
      <c r="F28" s="257"/>
      <c r="G28" s="160" t="s">
        <v>313</v>
      </c>
      <c r="H28" s="78" t="s">
        <v>314</v>
      </c>
      <c r="I28" s="108">
        <f t="shared" si="1"/>
        <v>48360.000000000007</v>
      </c>
      <c r="J28" s="107">
        <f>+PRESUPUESTO!S28</f>
        <v>0</v>
      </c>
      <c r="K28" s="107">
        <f>+PRESUPUESTO!T28</f>
        <v>48360.000000000007</v>
      </c>
      <c r="L28" s="107">
        <f>+PRESUPUESTO!U28</f>
        <v>0</v>
      </c>
      <c r="M28" s="107">
        <f>+PRESUPUESTO!V28</f>
        <v>0</v>
      </c>
      <c r="N28" s="107">
        <f>+PRESUPUESTO!W28</f>
        <v>0</v>
      </c>
      <c r="O28" s="107">
        <f>+PRESUPUESTO!X28</f>
        <v>0</v>
      </c>
      <c r="P28" s="107">
        <f>+PRESUPUESTO!Y28</f>
        <v>0</v>
      </c>
      <c r="Q28" s="107">
        <f>+PRESUPUESTO!Z28</f>
        <v>0</v>
      </c>
    </row>
    <row r="29" spans="1:17" x14ac:dyDescent="0.25">
      <c r="A29" t="str">
        <f t="shared" si="0"/>
        <v>C</v>
      </c>
      <c r="B29" s="227"/>
      <c r="C29" s="254"/>
      <c r="D29" s="257"/>
      <c r="E29" s="273"/>
      <c r="F29" s="257"/>
      <c r="G29" s="160" t="s">
        <v>316</v>
      </c>
      <c r="H29" s="78" t="s">
        <v>317</v>
      </c>
      <c r="I29" s="108">
        <f t="shared" si="1"/>
        <v>1200</v>
      </c>
      <c r="J29" s="107">
        <f>+PRESUPUESTO!S29</f>
        <v>0</v>
      </c>
      <c r="K29" s="107">
        <f>+PRESUPUESTO!T29</f>
        <v>0</v>
      </c>
      <c r="L29" s="107">
        <f>+PRESUPUESTO!U29</f>
        <v>0</v>
      </c>
      <c r="M29" s="107">
        <f>+PRESUPUESTO!V29</f>
        <v>1200</v>
      </c>
      <c r="N29" s="107">
        <f>+PRESUPUESTO!W29</f>
        <v>0</v>
      </c>
      <c r="O29" s="107">
        <f>+PRESUPUESTO!X29</f>
        <v>0</v>
      </c>
      <c r="P29" s="107">
        <f>+PRESUPUESTO!Y29</f>
        <v>0</v>
      </c>
      <c r="Q29" s="107">
        <f>+PRESUPUESTO!Z29</f>
        <v>0</v>
      </c>
    </row>
    <row r="30" spans="1:17" x14ac:dyDescent="0.25">
      <c r="A30" t="str">
        <f t="shared" si="0"/>
        <v>C</v>
      </c>
      <c r="B30" s="227"/>
      <c r="C30" s="254"/>
      <c r="D30" s="257"/>
      <c r="E30" s="273"/>
      <c r="F30" s="257"/>
      <c r="G30" s="160" t="s">
        <v>319</v>
      </c>
      <c r="H30" s="78" t="s">
        <v>320</v>
      </c>
      <c r="I30" s="108">
        <f t="shared" si="1"/>
        <v>2373.2495520000002</v>
      </c>
      <c r="J30" s="107">
        <f>+PRESUPUESTO!S30</f>
        <v>0</v>
      </c>
      <c r="K30" s="107">
        <f>+PRESUPUESTO!T30</f>
        <v>0</v>
      </c>
      <c r="L30" s="107">
        <f>+PRESUPUESTO!U30</f>
        <v>0</v>
      </c>
      <c r="M30" s="107">
        <f>+PRESUPUESTO!V30</f>
        <v>2373.2495520000002</v>
      </c>
      <c r="N30" s="107">
        <f>+PRESUPUESTO!W30</f>
        <v>0</v>
      </c>
      <c r="O30" s="107">
        <f>+PRESUPUESTO!X30</f>
        <v>0</v>
      </c>
      <c r="P30" s="107">
        <f>+PRESUPUESTO!Y30</f>
        <v>0</v>
      </c>
      <c r="Q30" s="107">
        <f>+PRESUPUESTO!Z30</f>
        <v>0</v>
      </c>
    </row>
    <row r="31" spans="1:17" x14ac:dyDescent="0.25">
      <c r="A31" t="str">
        <f t="shared" si="0"/>
        <v>C</v>
      </c>
      <c r="B31" s="227"/>
      <c r="C31" s="254"/>
      <c r="D31" s="257"/>
      <c r="E31" s="273"/>
      <c r="F31" s="257"/>
      <c r="G31" s="160" t="s">
        <v>322</v>
      </c>
      <c r="H31" s="78" t="s">
        <v>626</v>
      </c>
      <c r="I31" s="108">
        <f t="shared" si="1"/>
        <v>68372.77</v>
      </c>
      <c r="J31" s="107">
        <f>+PRESUPUESTO!S31</f>
        <v>0</v>
      </c>
      <c r="K31" s="107">
        <f>+PRESUPUESTO!T31</f>
        <v>0</v>
      </c>
      <c r="L31" s="107">
        <f>+PRESUPUESTO!U31</f>
        <v>0</v>
      </c>
      <c r="M31" s="107">
        <f>+PRESUPUESTO!V31</f>
        <v>0</v>
      </c>
      <c r="N31" s="107">
        <f>+PRESUPUESTO!W31</f>
        <v>0</v>
      </c>
      <c r="O31" s="107">
        <f>+PRESUPUESTO!X31</f>
        <v>0</v>
      </c>
      <c r="P31" s="107">
        <f>+PRESUPUESTO!Y31</f>
        <v>68372.77</v>
      </c>
      <c r="Q31" s="107">
        <f>+PRESUPUESTO!Z31</f>
        <v>0</v>
      </c>
    </row>
    <row r="32" spans="1:17" x14ac:dyDescent="0.25">
      <c r="A32" t="str">
        <f t="shared" si="0"/>
        <v>C</v>
      </c>
      <c r="B32" s="227"/>
      <c r="C32" s="254"/>
      <c r="D32" s="257"/>
      <c r="E32" s="273"/>
      <c r="F32" s="257"/>
      <c r="G32" s="160" t="s">
        <v>324</v>
      </c>
      <c r="H32" s="78" t="s">
        <v>325</v>
      </c>
      <c r="I32" s="108">
        <f t="shared" si="1"/>
        <v>235456</v>
      </c>
      <c r="J32" s="107">
        <f>+PRESUPUESTO!S32</f>
        <v>0</v>
      </c>
      <c r="K32" s="107">
        <f>+PRESUPUESTO!T32</f>
        <v>0</v>
      </c>
      <c r="L32" s="107">
        <f>+PRESUPUESTO!U32</f>
        <v>0</v>
      </c>
      <c r="M32" s="107">
        <f>+PRESUPUESTO!V32</f>
        <v>0</v>
      </c>
      <c r="N32" s="107">
        <f>+PRESUPUESTO!W32</f>
        <v>0</v>
      </c>
      <c r="O32" s="107">
        <f>+PRESUPUESTO!X32</f>
        <v>0</v>
      </c>
      <c r="P32" s="107">
        <f>+PRESUPUESTO!Y32</f>
        <v>0</v>
      </c>
      <c r="Q32" s="107">
        <f>+PRESUPUESTO!Z32</f>
        <v>235456</v>
      </c>
    </row>
    <row r="33" spans="1:17" x14ac:dyDescent="0.25">
      <c r="A33" t="str">
        <f t="shared" si="0"/>
        <v>C</v>
      </c>
      <c r="B33" s="227"/>
      <c r="C33" s="254"/>
      <c r="D33" s="257"/>
      <c r="E33" s="273"/>
      <c r="F33" s="257"/>
      <c r="G33" s="160" t="s">
        <v>327</v>
      </c>
      <c r="H33" s="78" t="s">
        <v>336</v>
      </c>
      <c r="I33" s="108">
        <f t="shared" si="1"/>
        <v>337920</v>
      </c>
      <c r="J33" s="107">
        <f>+PRESUPUESTO!S33</f>
        <v>0</v>
      </c>
      <c r="K33" s="107">
        <f>+PRESUPUESTO!T33</f>
        <v>0</v>
      </c>
      <c r="L33" s="107">
        <f>+PRESUPUESTO!U33</f>
        <v>0</v>
      </c>
      <c r="M33" s="107">
        <f>+PRESUPUESTO!V33</f>
        <v>0</v>
      </c>
      <c r="N33" s="107">
        <f>+PRESUPUESTO!W33</f>
        <v>0</v>
      </c>
      <c r="O33" s="107">
        <f>+PRESUPUESTO!X33</f>
        <v>337920</v>
      </c>
      <c r="P33" s="107">
        <f>+PRESUPUESTO!Y33</f>
        <v>0</v>
      </c>
      <c r="Q33" s="107">
        <f>+PRESUPUESTO!Z33</f>
        <v>0</v>
      </c>
    </row>
    <row r="34" spans="1:17" x14ac:dyDescent="0.25">
      <c r="A34" t="str">
        <f t="shared" si="0"/>
        <v>C</v>
      </c>
      <c r="B34" s="227"/>
      <c r="C34" s="254"/>
      <c r="D34" s="257"/>
      <c r="E34" s="273"/>
      <c r="F34" s="257"/>
      <c r="G34" s="160" t="s">
        <v>329</v>
      </c>
      <c r="H34" s="78" t="s">
        <v>337</v>
      </c>
      <c r="I34" s="108">
        <f t="shared" si="1"/>
        <v>50265</v>
      </c>
      <c r="J34" s="107">
        <f>+PRESUPUESTO!S34</f>
        <v>0</v>
      </c>
      <c r="K34" s="107">
        <f>+PRESUPUESTO!T34</f>
        <v>0</v>
      </c>
      <c r="L34" s="107">
        <f>+PRESUPUESTO!U34</f>
        <v>0</v>
      </c>
      <c r="M34" s="107">
        <f>+PRESUPUESTO!V34</f>
        <v>0</v>
      </c>
      <c r="N34" s="107">
        <f>+PRESUPUESTO!W34</f>
        <v>0</v>
      </c>
      <c r="O34" s="107">
        <f>+PRESUPUESTO!X34</f>
        <v>0</v>
      </c>
      <c r="P34" s="107">
        <f>+PRESUPUESTO!Y34</f>
        <v>0</v>
      </c>
      <c r="Q34" s="107">
        <f>+PRESUPUESTO!Z34</f>
        <v>50265</v>
      </c>
    </row>
    <row r="35" spans="1:17" x14ac:dyDescent="0.25">
      <c r="A35" t="str">
        <f t="shared" si="0"/>
        <v>C</v>
      </c>
      <c r="B35" s="227"/>
      <c r="C35" s="254"/>
      <c r="D35" s="257"/>
      <c r="E35" s="273"/>
      <c r="F35" s="257"/>
      <c r="G35" s="160" t="s">
        <v>332</v>
      </c>
      <c r="H35" s="78" t="s">
        <v>338</v>
      </c>
      <c r="I35" s="108">
        <f t="shared" si="1"/>
        <v>126987</v>
      </c>
      <c r="J35" s="107">
        <f>+PRESUPUESTO!S35</f>
        <v>0</v>
      </c>
      <c r="K35" s="107">
        <f>+PRESUPUESTO!T35</f>
        <v>0</v>
      </c>
      <c r="L35" s="107">
        <f>+PRESUPUESTO!U35</f>
        <v>0</v>
      </c>
      <c r="M35" s="107">
        <f>+PRESUPUESTO!V35</f>
        <v>0</v>
      </c>
      <c r="N35" s="107">
        <f>+PRESUPUESTO!W35</f>
        <v>0</v>
      </c>
      <c r="O35" s="107">
        <f>+PRESUPUESTO!X35</f>
        <v>0</v>
      </c>
      <c r="P35" s="107">
        <f>+PRESUPUESTO!Y35</f>
        <v>0</v>
      </c>
      <c r="Q35" s="107">
        <f>+PRESUPUESTO!Z35</f>
        <v>126987</v>
      </c>
    </row>
    <row r="36" spans="1:17" x14ac:dyDescent="0.25">
      <c r="A36" t="str">
        <f t="shared" si="0"/>
        <v>C</v>
      </c>
      <c r="B36" s="227"/>
      <c r="C36" s="254"/>
      <c r="D36" s="257"/>
      <c r="E36" s="273"/>
      <c r="F36" s="257"/>
      <c r="G36" s="160" t="s">
        <v>334</v>
      </c>
      <c r="H36" s="78" t="s">
        <v>328</v>
      </c>
      <c r="I36" s="108">
        <f t="shared" si="1"/>
        <v>264557</v>
      </c>
      <c r="J36" s="107">
        <f>+PRESUPUESTO!S36</f>
        <v>0</v>
      </c>
      <c r="K36" s="107">
        <f>+PRESUPUESTO!T36</f>
        <v>0</v>
      </c>
      <c r="L36" s="107">
        <f>+PRESUPUESTO!U36</f>
        <v>0</v>
      </c>
      <c r="M36" s="107">
        <f>+PRESUPUESTO!V36</f>
        <v>0</v>
      </c>
      <c r="N36" s="107">
        <f>+PRESUPUESTO!W36</f>
        <v>0</v>
      </c>
      <c r="O36" s="107">
        <f>+PRESUPUESTO!X36</f>
        <v>0</v>
      </c>
      <c r="P36" s="107">
        <f>+PRESUPUESTO!Y36</f>
        <v>264557</v>
      </c>
      <c r="Q36" s="107">
        <f>+PRESUPUESTO!Z36</f>
        <v>0</v>
      </c>
    </row>
    <row r="37" spans="1:17" x14ac:dyDescent="0.25">
      <c r="A37" t="str">
        <f t="shared" si="0"/>
        <v>I</v>
      </c>
      <c r="B37" s="227"/>
      <c r="C37" s="254"/>
      <c r="D37" s="257"/>
      <c r="E37" s="273"/>
      <c r="F37" s="257"/>
      <c r="G37" s="160" t="s">
        <v>37</v>
      </c>
      <c r="H37" s="79" t="s">
        <v>335</v>
      </c>
      <c r="I37" s="108">
        <f t="shared" si="1"/>
        <v>209950</v>
      </c>
      <c r="J37" s="107">
        <f>+PRESUPUESTO!S37</f>
        <v>0</v>
      </c>
      <c r="K37" s="107">
        <f>+PRESUPUESTO!T37</f>
        <v>0</v>
      </c>
      <c r="L37" s="107">
        <f>+PRESUPUESTO!U37</f>
        <v>550</v>
      </c>
      <c r="M37" s="107">
        <f>+PRESUPUESTO!V37</f>
        <v>0</v>
      </c>
      <c r="N37" s="107">
        <f>+PRESUPUESTO!W37</f>
        <v>0</v>
      </c>
      <c r="O37" s="107">
        <f>+PRESUPUESTO!X37</f>
        <v>1200</v>
      </c>
      <c r="P37" s="107">
        <f>+PRESUPUESTO!Y37</f>
        <v>0</v>
      </c>
      <c r="Q37" s="107">
        <f>+PRESUPUESTO!Z37</f>
        <v>208200</v>
      </c>
    </row>
    <row r="38" spans="1:17" ht="23.25" x14ac:dyDescent="0.25">
      <c r="A38" t="str">
        <f t="shared" si="0"/>
        <v>I</v>
      </c>
      <c r="B38" s="227"/>
      <c r="C38" s="254"/>
      <c r="D38" s="257"/>
      <c r="E38" s="275" t="s">
        <v>724</v>
      </c>
      <c r="F38" s="253" t="s">
        <v>340</v>
      </c>
      <c r="G38" s="160" t="s">
        <v>38</v>
      </c>
      <c r="H38" s="62" t="s">
        <v>627</v>
      </c>
      <c r="I38" s="108">
        <f t="shared" si="1"/>
        <v>6384.8</v>
      </c>
      <c r="J38" s="107">
        <f>+PRESUPUESTO!S38</f>
        <v>0</v>
      </c>
      <c r="K38" s="107">
        <f>+PRESUPUESTO!T38</f>
        <v>0</v>
      </c>
      <c r="L38" s="107">
        <f>+PRESUPUESTO!U38</f>
        <v>0</v>
      </c>
      <c r="M38" s="107">
        <f>+PRESUPUESTO!V38</f>
        <v>0</v>
      </c>
      <c r="N38" s="107">
        <f>+PRESUPUESTO!W38</f>
        <v>0</v>
      </c>
      <c r="O38" s="107">
        <f>+PRESUPUESTO!X38</f>
        <v>6384.8</v>
      </c>
      <c r="P38" s="107">
        <f>+PRESUPUESTO!Y38</f>
        <v>0</v>
      </c>
      <c r="Q38" s="107">
        <f>+PRESUPUESTO!Z38</f>
        <v>0</v>
      </c>
    </row>
    <row r="39" spans="1:17" ht="23.25" x14ac:dyDescent="0.25">
      <c r="A39" t="str">
        <f t="shared" si="0"/>
        <v>I</v>
      </c>
      <c r="B39" s="227"/>
      <c r="C39" s="254"/>
      <c r="D39" s="257"/>
      <c r="E39" s="275"/>
      <c r="F39" s="255"/>
      <c r="G39" s="160" t="s">
        <v>39</v>
      </c>
      <c r="H39" s="62" t="s">
        <v>343</v>
      </c>
      <c r="I39" s="108">
        <f t="shared" si="1"/>
        <v>195.38</v>
      </c>
      <c r="J39" s="107">
        <f>+PRESUPUESTO!S39</f>
        <v>0</v>
      </c>
      <c r="K39" s="107">
        <f>+PRESUPUESTO!T39</f>
        <v>0</v>
      </c>
      <c r="L39" s="107">
        <f>+PRESUPUESTO!U39</f>
        <v>0</v>
      </c>
      <c r="M39" s="107">
        <f>+PRESUPUESTO!V39</f>
        <v>0</v>
      </c>
      <c r="N39" s="107">
        <f>+PRESUPUESTO!W39</f>
        <v>0</v>
      </c>
      <c r="O39" s="107">
        <f>+PRESUPUESTO!X39</f>
        <v>195.38</v>
      </c>
      <c r="P39" s="107">
        <f>+PRESUPUESTO!Y39</f>
        <v>0</v>
      </c>
      <c r="Q39" s="107">
        <f>+PRESUPUESTO!Z39</f>
        <v>0</v>
      </c>
    </row>
    <row r="40" spans="1:17" x14ac:dyDescent="0.25">
      <c r="A40" t="str">
        <f t="shared" si="0"/>
        <v>C</v>
      </c>
      <c r="B40" s="227"/>
      <c r="C40" s="254"/>
      <c r="D40" s="257"/>
      <c r="E40" s="281" t="s">
        <v>637</v>
      </c>
      <c r="F40" s="253" t="s">
        <v>161</v>
      </c>
      <c r="G40" s="160" t="s">
        <v>341</v>
      </c>
      <c r="H40" s="78" t="s">
        <v>330</v>
      </c>
      <c r="I40" s="108">
        <f t="shared" si="1"/>
        <v>1000</v>
      </c>
      <c r="J40" s="107">
        <f>+PRESUPUESTO!S40</f>
        <v>500</v>
      </c>
      <c r="K40" s="107">
        <f>+PRESUPUESTO!T40</f>
        <v>500</v>
      </c>
      <c r="L40" s="107">
        <f>+PRESUPUESTO!U40</f>
        <v>0</v>
      </c>
      <c r="M40" s="107">
        <f>+PRESUPUESTO!V40</f>
        <v>0</v>
      </c>
      <c r="N40" s="107">
        <f>+PRESUPUESTO!W40</f>
        <v>0</v>
      </c>
      <c r="O40" s="107">
        <f>+PRESUPUESTO!X40</f>
        <v>0</v>
      </c>
      <c r="P40" s="107">
        <f>+PRESUPUESTO!Y40</f>
        <v>0</v>
      </c>
      <c r="Q40" s="107">
        <f>+PRESUPUESTO!Z40</f>
        <v>0</v>
      </c>
    </row>
    <row r="41" spans="1:17" x14ac:dyDescent="0.25">
      <c r="A41" t="str">
        <f t="shared" si="0"/>
        <v>C</v>
      </c>
      <c r="B41" s="227"/>
      <c r="C41" s="254"/>
      <c r="D41" s="257"/>
      <c r="E41" s="282"/>
      <c r="F41" s="254"/>
      <c r="G41" s="160" t="s">
        <v>345</v>
      </c>
      <c r="H41" s="78" t="s">
        <v>712</v>
      </c>
      <c r="I41" s="108">
        <f t="shared" si="1"/>
        <v>1000</v>
      </c>
      <c r="J41" s="107">
        <f>+PRESUPUESTO!S41</f>
        <v>0</v>
      </c>
      <c r="K41" s="107">
        <f>+PRESUPUESTO!T41</f>
        <v>500</v>
      </c>
      <c r="L41" s="107">
        <f>+PRESUPUESTO!U41</f>
        <v>500</v>
      </c>
      <c r="M41" s="107">
        <f>+PRESUPUESTO!V41</f>
        <v>0</v>
      </c>
      <c r="N41" s="107">
        <f>+PRESUPUESTO!W41</f>
        <v>0</v>
      </c>
      <c r="O41" s="107">
        <f>+PRESUPUESTO!X41</f>
        <v>0</v>
      </c>
      <c r="P41" s="107">
        <f>+PRESUPUESTO!Y41</f>
        <v>0</v>
      </c>
      <c r="Q41" s="107">
        <f>+PRESUPUESTO!Z41</f>
        <v>0</v>
      </c>
    </row>
    <row r="42" spans="1:17" ht="23.25" x14ac:dyDescent="0.25">
      <c r="A42" t="str">
        <f t="shared" si="0"/>
        <v>C</v>
      </c>
      <c r="B42" s="227"/>
      <c r="C42" s="254"/>
      <c r="D42" s="257"/>
      <c r="E42" s="282"/>
      <c r="F42" s="254"/>
      <c r="G42" s="160" t="s">
        <v>347</v>
      </c>
      <c r="H42" s="82" t="s">
        <v>711</v>
      </c>
      <c r="I42" s="108">
        <f t="shared" si="1"/>
        <v>1015</v>
      </c>
      <c r="J42" s="107">
        <f>+PRESUPUESTO!S42</f>
        <v>0</v>
      </c>
      <c r="K42" s="107">
        <f>+PRESUPUESTO!T42</f>
        <v>507.5</v>
      </c>
      <c r="L42" s="107">
        <f>+PRESUPUESTO!U42</f>
        <v>507.5</v>
      </c>
      <c r="M42" s="107">
        <f>+PRESUPUESTO!V42</f>
        <v>0</v>
      </c>
      <c r="N42" s="107">
        <f>+PRESUPUESTO!W42</f>
        <v>0</v>
      </c>
      <c r="O42" s="107">
        <f>+PRESUPUESTO!X42</f>
        <v>0</v>
      </c>
      <c r="P42" s="107">
        <f>+PRESUPUESTO!Y42</f>
        <v>0</v>
      </c>
      <c r="Q42" s="107">
        <f>+PRESUPUESTO!Z42</f>
        <v>0</v>
      </c>
    </row>
    <row r="43" spans="1:17" ht="23.25" x14ac:dyDescent="0.25">
      <c r="A43" t="str">
        <f t="shared" si="0"/>
        <v>I</v>
      </c>
      <c r="B43" s="227"/>
      <c r="C43" s="254"/>
      <c r="D43" s="257"/>
      <c r="E43" s="282"/>
      <c r="F43" s="254"/>
      <c r="G43" s="160" t="s">
        <v>40</v>
      </c>
      <c r="H43" s="62" t="s">
        <v>628</v>
      </c>
      <c r="I43" s="108">
        <f t="shared" si="1"/>
        <v>1200</v>
      </c>
      <c r="J43" s="107">
        <f>+PRESUPUESTO!S43</f>
        <v>0</v>
      </c>
      <c r="K43" s="107">
        <f>+PRESUPUESTO!T43</f>
        <v>0</v>
      </c>
      <c r="L43" s="107">
        <f>+PRESUPUESTO!U43</f>
        <v>0</v>
      </c>
      <c r="M43" s="107">
        <f>+PRESUPUESTO!V43</f>
        <v>600</v>
      </c>
      <c r="N43" s="107">
        <f>+PRESUPUESTO!W43</f>
        <v>600</v>
      </c>
      <c r="O43" s="107">
        <f>+PRESUPUESTO!X43</f>
        <v>0</v>
      </c>
      <c r="P43" s="107">
        <f>+PRESUPUESTO!Y43</f>
        <v>0</v>
      </c>
      <c r="Q43" s="107">
        <f>+PRESUPUESTO!Z43</f>
        <v>0</v>
      </c>
    </row>
    <row r="44" spans="1:17" ht="23.25" x14ac:dyDescent="0.25">
      <c r="A44" t="str">
        <f t="shared" si="0"/>
        <v>I</v>
      </c>
      <c r="B44" s="227"/>
      <c r="C44" s="255"/>
      <c r="D44" s="258"/>
      <c r="E44" s="283"/>
      <c r="F44" s="255"/>
      <c r="G44" s="160" t="s">
        <v>41</v>
      </c>
      <c r="H44" s="62" t="s">
        <v>629</v>
      </c>
      <c r="I44" s="108">
        <f t="shared" si="1"/>
        <v>1200</v>
      </c>
      <c r="J44" s="107">
        <f>+PRESUPUESTO!S44</f>
        <v>0</v>
      </c>
      <c r="K44" s="107">
        <f>+PRESUPUESTO!T44</f>
        <v>0</v>
      </c>
      <c r="L44" s="107">
        <f>+PRESUPUESTO!U44</f>
        <v>600</v>
      </c>
      <c r="M44" s="107">
        <f>+PRESUPUESTO!V44</f>
        <v>600</v>
      </c>
      <c r="N44" s="107">
        <f>+PRESUPUESTO!W44</f>
        <v>0</v>
      </c>
      <c r="O44" s="107">
        <f>+PRESUPUESTO!X44</f>
        <v>0</v>
      </c>
      <c r="P44" s="107">
        <f>+PRESUPUESTO!Y44</f>
        <v>0</v>
      </c>
      <c r="Q44" s="107">
        <f>+PRESUPUESTO!Z44</f>
        <v>0</v>
      </c>
    </row>
    <row r="45" spans="1:17" ht="34.5" x14ac:dyDescent="0.25">
      <c r="A45" t="str">
        <f t="shared" si="0"/>
        <v>C</v>
      </c>
      <c r="B45" s="227"/>
      <c r="C45" s="257"/>
      <c r="D45" s="257"/>
      <c r="E45" s="273" t="s">
        <v>713</v>
      </c>
      <c r="F45" s="166" t="s">
        <v>351</v>
      </c>
      <c r="G45" s="160" t="s">
        <v>348</v>
      </c>
      <c r="H45" s="80" t="s">
        <v>640</v>
      </c>
      <c r="I45" s="108">
        <f t="shared" si="1"/>
        <v>550</v>
      </c>
      <c r="J45" s="107">
        <f>+PRESUPUESTO!S45</f>
        <v>275</v>
      </c>
      <c r="K45" s="107">
        <f>+PRESUPUESTO!T45</f>
        <v>275</v>
      </c>
      <c r="L45" s="107">
        <f>+PRESUPUESTO!U45</f>
        <v>0</v>
      </c>
      <c r="M45" s="107">
        <f>+PRESUPUESTO!V45</f>
        <v>0</v>
      </c>
      <c r="N45" s="107">
        <f>+PRESUPUESTO!W45</f>
        <v>0</v>
      </c>
      <c r="O45" s="107">
        <f>+PRESUPUESTO!X45</f>
        <v>0</v>
      </c>
      <c r="P45" s="107">
        <f>+PRESUPUESTO!Y45</f>
        <v>0</v>
      </c>
      <c r="Q45" s="107">
        <f>+PRESUPUESTO!Z45</f>
        <v>0</v>
      </c>
    </row>
    <row r="46" spans="1:17" ht="23.25" x14ac:dyDescent="0.25">
      <c r="A46" t="str">
        <f t="shared" si="0"/>
        <v>C</v>
      </c>
      <c r="B46" s="227"/>
      <c r="C46" s="257"/>
      <c r="D46" s="257"/>
      <c r="E46" s="273"/>
      <c r="F46" s="166"/>
      <c r="G46" s="160" t="s">
        <v>352</v>
      </c>
      <c r="H46" s="80" t="s">
        <v>357</v>
      </c>
      <c r="I46" s="108">
        <f t="shared" si="1"/>
        <v>200</v>
      </c>
      <c r="J46" s="107">
        <f>+PRESUPUESTO!S46</f>
        <v>0</v>
      </c>
      <c r="K46" s="107">
        <f>+PRESUPUESTO!T46</f>
        <v>200</v>
      </c>
      <c r="L46" s="107">
        <f>+PRESUPUESTO!U46</f>
        <v>0</v>
      </c>
      <c r="M46" s="107">
        <f>+PRESUPUESTO!V46</f>
        <v>0</v>
      </c>
      <c r="N46" s="107">
        <f>+PRESUPUESTO!W46</f>
        <v>0</v>
      </c>
      <c r="O46" s="107">
        <f>+PRESUPUESTO!X46</f>
        <v>0</v>
      </c>
      <c r="P46" s="107">
        <f>+PRESUPUESTO!Y46</f>
        <v>0</v>
      </c>
      <c r="Q46" s="107">
        <f>+PRESUPUESTO!Z46</f>
        <v>0</v>
      </c>
    </row>
    <row r="47" spans="1:17" ht="23.25" x14ac:dyDescent="0.25">
      <c r="A47" t="str">
        <f t="shared" si="0"/>
        <v>C</v>
      </c>
      <c r="B47" s="227"/>
      <c r="C47" s="257"/>
      <c r="D47" s="257"/>
      <c r="E47" s="273"/>
      <c r="F47" s="166"/>
      <c r="G47" s="160" t="s">
        <v>355</v>
      </c>
      <c r="H47" s="80" t="s">
        <v>360</v>
      </c>
      <c r="I47" s="108">
        <f t="shared" si="1"/>
        <v>450</v>
      </c>
      <c r="J47" s="107">
        <f>+PRESUPUESTO!S47</f>
        <v>0</v>
      </c>
      <c r="K47" s="107">
        <f>+PRESUPUESTO!T47</f>
        <v>0</v>
      </c>
      <c r="L47" s="107">
        <f>+PRESUPUESTO!U47</f>
        <v>225</v>
      </c>
      <c r="M47" s="107">
        <f>+PRESUPUESTO!V47</f>
        <v>225</v>
      </c>
      <c r="N47" s="107">
        <f>+PRESUPUESTO!W47</f>
        <v>0</v>
      </c>
      <c r="O47" s="107">
        <f>+PRESUPUESTO!X47</f>
        <v>0</v>
      </c>
      <c r="P47" s="107">
        <f>+PRESUPUESTO!Y47</f>
        <v>0</v>
      </c>
      <c r="Q47" s="107">
        <f>+PRESUPUESTO!Z47</f>
        <v>0</v>
      </c>
    </row>
    <row r="48" spans="1:17" x14ac:dyDescent="0.25">
      <c r="A48" t="str">
        <f t="shared" si="0"/>
        <v>I</v>
      </c>
      <c r="B48" s="227"/>
      <c r="C48" s="257"/>
      <c r="D48" s="257"/>
      <c r="E48" s="273"/>
      <c r="F48" s="166"/>
      <c r="G48" s="160" t="s">
        <v>42</v>
      </c>
      <c r="H48" s="88" t="s">
        <v>353</v>
      </c>
      <c r="I48" s="108">
        <f t="shared" si="1"/>
        <v>404.6</v>
      </c>
      <c r="J48" s="107">
        <f>+PRESUPUESTO!S48</f>
        <v>0</v>
      </c>
      <c r="K48" s="107">
        <f>+PRESUPUESTO!T48</f>
        <v>202.3</v>
      </c>
      <c r="L48" s="107">
        <f>+PRESUPUESTO!U48</f>
        <v>202.3</v>
      </c>
      <c r="M48" s="107">
        <f>+PRESUPUESTO!V48</f>
        <v>0</v>
      </c>
      <c r="N48" s="107">
        <f>+PRESUPUESTO!W48</f>
        <v>0</v>
      </c>
      <c r="O48" s="107">
        <f>+PRESUPUESTO!X48</f>
        <v>0</v>
      </c>
      <c r="P48" s="107">
        <f>+PRESUPUESTO!Y48</f>
        <v>0</v>
      </c>
      <c r="Q48" s="107">
        <f>+PRESUPUESTO!Z48</f>
        <v>0</v>
      </c>
    </row>
    <row r="49" spans="1:17" ht="48" x14ac:dyDescent="0.25">
      <c r="A49" t="str">
        <f t="shared" si="0"/>
        <v>I</v>
      </c>
      <c r="B49" s="227"/>
      <c r="C49" s="257"/>
      <c r="D49" s="257"/>
      <c r="E49" s="81" t="s">
        <v>362</v>
      </c>
      <c r="F49" s="160" t="s">
        <v>165</v>
      </c>
      <c r="G49" s="160" t="s">
        <v>43</v>
      </c>
      <c r="H49" s="62" t="s">
        <v>363</v>
      </c>
      <c r="I49" s="108">
        <f t="shared" si="1"/>
        <v>213.60000000000002</v>
      </c>
      <c r="J49" s="107">
        <f>+PRESUPUESTO!S49</f>
        <v>0</v>
      </c>
      <c r="K49" s="107">
        <f>+PRESUPUESTO!T49</f>
        <v>213.60000000000002</v>
      </c>
      <c r="L49" s="107">
        <f>+PRESUPUESTO!U49</f>
        <v>0</v>
      </c>
      <c r="M49" s="107">
        <f>+PRESUPUESTO!V49</f>
        <v>0</v>
      </c>
      <c r="N49" s="107">
        <f>+PRESUPUESTO!W49</f>
        <v>0</v>
      </c>
      <c r="O49" s="107">
        <f>+PRESUPUESTO!X49</f>
        <v>0</v>
      </c>
      <c r="P49" s="107">
        <f>+PRESUPUESTO!Y49</f>
        <v>0</v>
      </c>
      <c r="Q49" s="107">
        <f>+PRESUPUESTO!Z49</f>
        <v>0</v>
      </c>
    </row>
    <row r="50" spans="1:17" x14ac:dyDescent="0.25">
      <c r="A50" t="str">
        <f t="shared" si="0"/>
        <v>I</v>
      </c>
      <c r="B50" s="227"/>
      <c r="C50" s="257"/>
      <c r="D50" s="257"/>
      <c r="E50" s="272" t="s">
        <v>364</v>
      </c>
      <c r="F50" s="256" t="s">
        <v>166</v>
      </c>
      <c r="G50" s="160" t="s">
        <v>44</v>
      </c>
      <c r="H50" s="62" t="s">
        <v>365</v>
      </c>
      <c r="I50" s="108">
        <f t="shared" si="1"/>
        <v>427.20000000000005</v>
      </c>
      <c r="J50" s="107">
        <f>+PRESUPUESTO!S50</f>
        <v>0</v>
      </c>
      <c r="K50" s="107">
        <f>+PRESUPUESTO!T50</f>
        <v>0</v>
      </c>
      <c r="L50" s="107">
        <f>+PRESUPUESTO!U50</f>
        <v>0</v>
      </c>
      <c r="M50" s="107">
        <f>+PRESUPUESTO!V50</f>
        <v>213.60000000000002</v>
      </c>
      <c r="N50" s="107">
        <f>+PRESUPUESTO!W50</f>
        <v>213.60000000000002</v>
      </c>
      <c r="O50" s="107">
        <f>+PRESUPUESTO!X50</f>
        <v>0</v>
      </c>
      <c r="P50" s="107">
        <f>+PRESUPUESTO!Y50</f>
        <v>0</v>
      </c>
      <c r="Q50" s="107">
        <f>+PRESUPUESTO!Z50</f>
        <v>0</v>
      </c>
    </row>
    <row r="51" spans="1:17" x14ac:dyDescent="0.25">
      <c r="A51" t="str">
        <f t="shared" si="0"/>
        <v>I</v>
      </c>
      <c r="B51" s="227"/>
      <c r="C51" s="257"/>
      <c r="D51" s="257"/>
      <c r="E51" s="273"/>
      <c r="F51" s="257"/>
      <c r="G51" s="160" t="s">
        <v>45</v>
      </c>
      <c r="H51" s="62" t="s">
        <v>366</v>
      </c>
      <c r="I51" s="108">
        <f t="shared" si="1"/>
        <v>480.6</v>
      </c>
      <c r="J51" s="107">
        <f>+PRESUPUESTO!S51</f>
        <v>0</v>
      </c>
      <c r="K51" s="107">
        <f>+PRESUPUESTO!T51</f>
        <v>0</v>
      </c>
      <c r="L51" s="107">
        <f>+PRESUPUESTO!U51</f>
        <v>240.3</v>
      </c>
      <c r="M51" s="107">
        <f>+PRESUPUESTO!V51</f>
        <v>240.3</v>
      </c>
      <c r="N51" s="107">
        <f>+PRESUPUESTO!W51</f>
        <v>0</v>
      </c>
      <c r="O51" s="107">
        <f>+PRESUPUESTO!X51</f>
        <v>0</v>
      </c>
      <c r="P51" s="107">
        <f>+PRESUPUESTO!Y51</f>
        <v>0</v>
      </c>
      <c r="Q51" s="107">
        <f>+PRESUPUESTO!Z51</f>
        <v>0</v>
      </c>
    </row>
    <row r="52" spans="1:17" x14ac:dyDescent="0.25">
      <c r="A52" t="str">
        <f t="shared" si="0"/>
        <v>I</v>
      </c>
      <c r="B52" s="227"/>
      <c r="C52" s="257"/>
      <c r="D52" s="257"/>
      <c r="E52" s="273"/>
      <c r="F52" s="257"/>
      <c r="G52" s="160" t="s">
        <v>46</v>
      </c>
      <c r="H52" s="62" t="s">
        <v>367</v>
      </c>
      <c r="I52" s="108">
        <f t="shared" si="1"/>
        <v>427.20000000000005</v>
      </c>
      <c r="J52" s="107">
        <f>+PRESUPUESTO!S52</f>
        <v>0</v>
      </c>
      <c r="K52" s="107">
        <f>+PRESUPUESTO!T52</f>
        <v>0</v>
      </c>
      <c r="L52" s="107">
        <f>+PRESUPUESTO!U52</f>
        <v>0</v>
      </c>
      <c r="M52" s="107">
        <f>+PRESUPUESTO!V52</f>
        <v>213.60000000000002</v>
      </c>
      <c r="N52" s="107">
        <f>+PRESUPUESTO!W52</f>
        <v>213.60000000000002</v>
      </c>
      <c r="O52" s="107">
        <f>+PRESUPUESTO!X52</f>
        <v>0</v>
      </c>
      <c r="P52" s="107">
        <f>+PRESUPUESTO!Y52</f>
        <v>0</v>
      </c>
      <c r="Q52" s="107">
        <f>+PRESUPUESTO!Z52</f>
        <v>0</v>
      </c>
    </row>
    <row r="53" spans="1:17" x14ac:dyDescent="0.25">
      <c r="A53" t="str">
        <f t="shared" si="0"/>
        <v>I</v>
      </c>
      <c r="B53" s="227"/>
      <c r="C53" s="257"/>
      <c r="D53" s="258"/>
      <c r="E53" s="274"/>
      <c r="F53" s="258"/>
      <c r="G53" s="160" t="s">
        <v>47</v>
      </c>
      <c r="H53" s="62" t="s">
        <v>368</v>
      </c>
      <c r="I53" s="108">
        <f t="shared" si="1"/>
        <v>427.20000000000005</v>
      </c>
      <c r="J53" s="107">
        <f>+PRESUPUESTO!S53</f>
        <v>0</v>
      </c>
      <c r="K53" s="107">
        <f>+PRESUPUESTO!T53</f>
        <v>0</v>
      </c>
      <c r="L53" s="107">
        <f>+PRESUPUESTO!U53</f>
        <v>0</v>
      </c>
      <c r="M53" s="107">
        <f>+PRESUPUESTO!V53</f>
        <v>0</v>
      </c>
      <c r="N53" s="107">
        <f>+PRESUPUESTO!W53</f>
        <v>0</v>
      </c>
      <c r="O53" s="107">
        <f>+PRESUPUESTO!X53</f>
        <v>427.20000000000005</v>
      </c>
      <c r="P53" s="107">
        <f>+PRESUPUESTO!Y53</f>
        <v>0</v>
      </c>
      <c r="Q53" s="107">
        <f>+PRESUPUESTO!Z53</f>
        <v>0</v>
      </c>
    </row>
    <row r="54" spans="1:17" ht="60" x14ac:dyDescent="0.25">
      <c r="A54" t="str">
        <f t="shared" si="0"/>
        <v>I</v>
      </c>
      <c r="B54" s="227"/>
      <c r="C54" s="258"/>
      <c r="D54" s="160" t="s">
        <v>168</v>
      </c>
      <c r="E54" s="81" t="s">
        <v>369</v>
      </c>
      <c r="F54" s="160" t="s">
        <v>167</v>
      </c>
      <c r="G54" s="160" t="s">
        <v>48</v>
      </c>
      <c r="H54" s="62" t="s">
        <v>167</v>
      </c>
      <c r="I54" s="108">
        <f t="shared" si="1"/>
        <v>453.9</v>
      </c>
      <c r="J54" s="107">
        <f>+PRESUPUESTO!S54</f>
        <v>0</v>
      </c>
      <c r="K54" s="107">
        <f>+PRESUPUESTO!T54</f>
        <v>226.95</v>
      </c>
      <c r="L54" s="107">
        <f>+PRESUPUESTO!U54</f>
        <v>226.95</v>
      </c>
      <c r="M54" s="107">
        <f>+PRESUPUESTO!V54</f>
        <v>0</v>
      </c>
      <c r="N54" s="107">
        <f>+PRESUPUESTO!W54</f>
        <v>0</v>
      </c>
      <c r="O54" s="107">
        <f>+PRESUPUESTO!X54</f>
        <v>0</v>
      </c>
      <c r="P54" s="107">
        <f>+PRESUPUESTO!Y54</f>
        <v>0</v>
      </c>
      <c r="Q54" s="107">
        <f>+PRESUPUESTO!Z54</f>
        <v>0</v>
      </c>
    </row>
    <row r="55" spans="1:17" ht="23.25" x14ac:dyDescent="0.25">
      <c r="A55" t="str">
        <f t="shared" si="0"/>
        <v>C</v>
      </c>
      <c r="B55" s="227"/>
      <c r="C55" s="254"/>
      <c r="D55" s="257"/>
      <c r="E55" s="273"/>
      <c r="F55" s="253" t="s">
        <v>169</v>
      </c>
      <c r="G55" s="160" t="s">
        <v>356</v>
      </c>
      <c r="H55" s="82" t="s">
        <v>373</v>
      </c>
      <c r="I55" s="108">
        <f t="shared" si="1"/>
        <v>220</v>
      </c>
      <c r="J55" s="107">
        <f>+PRESUPUESTO!S55</f>
        <v>0</v>
      </c>
      <c r="K55" s="107">
        <f>+PRESUPUESTO!T55</f>
        <v>0</v>
      </c>
      <c r="L55" s="107">
        <f>+PRESUPUESTO!U55</f>
        <v>0</v>
      </c>
      <c r="M55" s="107">
        <f>+PRESUPUESTO!V55</f>
        <v>110</v>
      </c>
      <c r="N55" s="107">
        <f>+PRESUPUESTO!W55</f>
        <v>110</v>
      </c>
      <c r="O55" s="107">
        <f>+PRESUPUESTO!X55</f>
        <v>0</v>
      </c>
      <c r="P55" s="107">
        <f>+PRESUPUESTO!Y55</f>
        <v>0</v>
      </c>
      <c r="Q55" s="107">
        <f>+PRESUPUESTO!Z55</f>
        <v>0</v>
      </c>
    </row>
    <row r="56" spans="1:17" ht="23.25" x14ac:dyDescent="0.25">
      <c r="A56" t="str">
        <f t="shared" si="0"/>
        <v>C</v>
      </c>
      <c r="B56" s="227"/>
      <c r="C56" s="254"/>
      <c r="D56" s="257"/>
      <c r="E56" s="273"/>
      <c r="F56" s="254"/>
      <c r="G56" s="160" t="s">
        <v>359</v>
      </c>
      <c r="H56" s="82" t="s">
        <v>376</v>
      </c>
      <c r="I56" s="108">
        <f t="shared" si="1"/>
        <v>220</v>
      </c>
      <c r="J56" s="107">
        <f>+PRESUPUESTO!S56</f>
        <v>0</v>
      </c>
      <c r="K56" s="107">
        <f>+PRESUPUESTO!T56</f>
        <v>0</v>
      </c>
      <c r="L56" s="107">
        <f>+PRESUPUESTO!U56</f>
        <v>0</v>
      </c>
      <c r="M56" s="107">
        <f>+PRESUPUESTO!V56</f>
        <v>0</v>
      </c>
      <c r="N56" s="107">
        <f>+PRESUPUESTO!W56</f>
        <v>110</v>
      </c>
      <c r="O56" s="107">
        <f>+PRESUPUESTO!X56</f>
        <v>110</v>
      </c>
      <c r="P56" s="107">
        <f>+PRESUPUESTO!Y56</f>
        <v>0</v>
      </c>
      <c r="Q56" s="107">
        <f>+PRESUPUESTO!Z56</f>
        <v>0</v>
      </c>
    </row>
    <row r="57" spans="1:17" ht="23.25" x14ac:dyDescent="0.25">
      <c r="A57" t="str">
        <f t="shared" si="0"/>
        <v>C</v>
      </c>
      <c r="B57" s="227"/>
      <c r="C57" s="254"/>
      <c r="D57" s="257"/>
      <c r="E57" s="273"/>
      <c r="F57" s="254"/>
      <c r="G57" s="160" t="s">
        <v>371</v>
      </c>
      <c r="H57" s="82" t="s">
        <v>379</v>
      </c>
      <c r="I57" s="108">
        <f t="shared" si="1"/>
        <v>220</v>
      </c>
      <c r="J57" s="107">
        <f>+PRESUPUESTO!S57</f>
        <v>0</v>
      </c>
      <c r="K57" s="107">
        <f>+PRESUPUESTO!T57</f>
        <v>0</v>
      </c>
      <c r="L57" s="107">
        <f>+PRESUPUESTO!U57</f>
        <v>0</v>
      </c>
      <c r="M57" s="107">
        <f>+PRESUPUESTO!V57</f>
        <v>0</v>
      </c>
      <c r="N57" s="107">
        <f>+PRESUPUESTO!W57</f>
        <v>0</v>
      </c>
      <c r="O57" s="107">
        <f>+PRESUPUESTO!X57</f>
        <v>220</v>
      </c>
      <c r="P57" s="107">
        <f>+PRESUPUESTO!Y57</f>
        <v>0</v>
      </c>
      <c r="Q57" s="107">
        <f>+PRESUPUESTO!Z57</f>
        <v>0</v>
      </c>
    </row>
    <row r="58" spans="1:17" ht="45.75" x14ac:dyDescent="0.25">
      <c r="A58" t="str">
        <f t="shared" si="0"/>
        <v>C</v>
      </c>
      <c r="B58" s="227"/>
      <c r="C58" s="254"/>
      <c r="D58" s="257"/>
      <c r="E58" s="273"/>
      <c r="F58" s="254"/>
      <c r="G58" s="160" t="s">
        <v>372</v>
      </c>
      <c r="H58" s="82" t="s">
        <v>382</v>
      </c>
      <c r="I58" s="108">
        <f t="shared" si="1"/>
        <v>200</v>
      </c>
      <c r="J58" s="107">
        <f>+PRESUPUESTO!S58</f>
        <v>150</v>
      </c>
      <c r="K58" s="107">
        <f>+PRESUPUESTO!T58</f>
        <v>50</v>
      </c>
      <c r="L58" s="107">
        <f>+PRESUPUESTO!U58</f>
        <v>0</v>
      </c>
      <c r="M58" s="107">
        <f>+PRESUPUESTO!V58</f>
        <v>0</v>
      </c>
      <c r="N58" s="107">
        <f>+PRESUPUESTO!W58</f>
        <v>0</v>
      </c>
      <c r="O58" s="107">
        <f>+PRESUPUESTO!X58</f>
        <v>0</v>
      </c>
      <c r="P58" s="107">
        <f>+PRESUPUESTO!Y58</f>
        <v>0</v>
      </c>
      <c r="Q58" s="107">
        <f>+PRESUPUESTO!Z58</f>
        <v>0</v>
      </c>
    </row>
    <row r="59" spans="1:17" x14ac:dyDescent="0.25">
      <c r="A59" t="str">
        <f t="shared" si="0"/>
        <v>I</v>
      </c>
      <c r="B59" s="227"/>
      <c r="C59" s="254"/>
      <c r="D59" s="257"/>
      <c r="E59" s="273"/>
      <c r="F59" s="254"/>
      <c r="G59" s="160" t="s">
        <v>49</v>
      </c>
      <c r="H59" s="62" t="s">
        <v>384</v>
      </c>
      <c r="I59" s="108">
        <f t="shared" si="1"/>
        <v>230</v>
      </c>
      <c r="J59" s="107">
        <f>+PRESUPUESTO!S59</f>
        <v>0</v>
      </c>
      <c r="K59" s="107">
        <f>+PRESUPUESTO!T59</f>
        <v>0</v>
      </c>
      <c r="L59" s="107">
        <f>+PRESUPUESTO!U59</f>
        <v>0</v>
      </c>
      <c r="M59" s="107">
        <f>+PRESUPUESTO!V59</f>
        <v>0</v>
      </c>
      <c r="N59" s="107">
        <f>+PRESUPUESTO!W59</f>
        <v>0</v>
      </c>
      <c r="O59" s="107">
        <f>+PRESUPUESTO!X59</f>
        <v>230</v>
      </c>
      <c r="P59" s="107">
        <f>+PRESUPUESTO!Y59</f>
        <v>0</v>
      </c>
      <c r="Q59" s="107">
        <f>+PRESUPUESTO!Z59</f>
        <v>0</v>
      </c>
    </row>
    <row r="60" spans="1:17" x14ac:dyDescent="0.25">
      <c r="A60" t="str">
        <f t="shared" si="0"/>
        <v>I</v>
      </c>
      <c r="B60" s="227"/>
      <c r="C60" s="254"/>
      <c r="D60" s="257"/>
      <c r="E60" s="273"/>
      <c r="F60" s="255"/>
      <c r="G60" s="160" t="s">
        <v>50</v>
      </c>
      <c r="H60" s="62" t="s">
        <v>385</v>
      </c>
      <c r="I60" s="108">
        <f t="shared" si="1"/>
        <v>230</v>
      </c>
      <c r="J60" s="107">
        <f>+PRESUPUESTO!S60</f>
        <v>0</v>
      </c>
      <c r="K60" s="107">
        <f>+PRESUPUESTO!T60</f>
        <v>0</v>
      </c>
      <c r="L60" s="107">
        <f>+PRESUPUESTO!U60</f>
        <v>0</v>
      </c>
      <c r="M60" s="107">
        <f>+PRESUPUESTO!V60</f>
        <v>115</v>
      </c>
      <c r="N60" s="107">
        <f>+PRESUPUESTO!W60</f>
        <v>115</v>
      </c>
      <c r="O60" s="107">
        <f>+PRESUPUESTO!X60</f>
        <v>0</v>
      </c>
      <c r="P60" s="107">
        <f>+PRESUPUESTO!Y60</f>
        <v>0</v>
      </c>
      <c r="Q60" s="107">
        <f>+PRESUPUESTO!Z60</f>
        <v>0</v>
      </c>
    </row>
    <row r="61" spans="1:17" x14ac:dyDescent="0.25">
      <c r="A61" t="str">
        <f t="shared" si="0"/>
        <v>C</v>
      </c>
      <c r="B61" s="227"/>
      <c r="C61" s="254"/>
      <c r="D61" s="256" t="s">
        <v>173</v>
      </c>
      <c r="E61" s="272" t="s">
        <v>386</v>
      </c>
      <c r="F61" s="256" t="s">
        <v>387</v>
      </c>
      <c r="G61" s="160" t="s">
        <v>375</v>
      </c>
      <c r="H61" s="82" t="s">
        <v>389</v>
      </c>
      <c r="I61" s="108">
        <f t="shared" si="1"/>
        <v>162</v>
      </c>
      <c r="J61" s="107">
        <f>+PRESUPUESTO!S61</f>
        <v>0</v>
      </c>
      <c r="K61" s="107">
        <f>+PRESUPUESTO!T61</f>
        <v>162</v>
      </c>
      <c r="L61" s="107">
        <f>+PRESUPUESTO!U61</f>
        <v>0</v>
      </c>
      <c r="M61" s="107">
        <f>+PRESUPUESTO!V61</f>
        <v>0</v>
      </c>
      <c r="N61" s="107">
        <f>+PRESUPUESTO!W61</f>
        <v>0</v>
      </c>
      <c r="O61" s="107">
        <f>+PRESUPUESTO!X61</f>
        <v>0</v>
      </c>
      <c r="P61" s="107">
        <f>+PRESUPUESTO!Y61</f>
        <v>0</v>
      </c>
      <c r="Q61" s="107">
        <f>+PRESUPUESTO!Z61</f>
        <v>0</v>
      </c>
    </row>
    <row r="62" spans="1:17" x14ac:dyDescent="0.25">
      <c r="A62" t="str">
        <f t="shared" si="0"/>
        <v>C</v>
      </c>
      <c r="B62" s="227"/>
      <c r="C62" s="254"/>
      <c r="D62" s="257"/>
      <c r="E62" s="273"/>
      <c r="F62" s="257"/>
      <c r="G62" s="160" t="s">
        <v>378</v>
      </c>
      <c r="H62" s="82" t="s">
        <v>392</v>
      </c>
      <c r="I62" s="108">
        <f t="shared" si="1"/>
        <v>64</v>
      </c>
      <c r="J62" s="107">
        <f>+PRESUPUESTO!S62</f>
        <v>64</v>
      </c>
      <c r="K62" s="107">
        <f>+PRESUPUESTO!T62</f>
        <v>0</v>
      </c>
      <c r="L62" s="107">
        <f>+PRESUPUESTO!U62</f>
        <v>0</v>
      </c>
      <c r="M62" s="107">
        <f>+PRESUPUESTO!V62</f>
        <v>0</v>
      </c>
      <c r="N62" s="107">
        <f>+PRESUPUESTO!W62</f>
        <v>0</v>
      </c>
      <c r="O62" s="107">
        <f>+PRESUPUESTO!X62</f>
        <v>0</v>
      </c>
      <c r="P62" s="107">
        <f>+PRESUPUESTO!Y62</f>
        <v>0</v>
      </c>
      <c r="Q62" s="107">
        <f>+PRESUPUESTO!Z62</f>
        <v>0</v>
      </c>
    </row>
    <row r="63" spans="1:17" ht="23.25" x14ac:dyDescent="0.25">
      <c r="A63" t="str">
        <f t="shared" si="0"/>
        <v>C</v>
      </c>
      <c r="B63" s="227"/>
      <c r="C63" s="254"/>
      <c r="D63" s="257"/>
      <c r="E63" s="273"/>
      <c r="F63" s="257"/>
      <c r="G63" s="160" t="s">
        <v>381</v>
      </c>
      <c r="H63" s="82" t="s">
        <v>395</v>
      </c>
      <c r="I63" s="108">
        <f t="shared" si="1"/>
        <v>700</v>
      </c>
      <c r="J63" s="107">
        <f>+PRESUPUESTO!S63</f>
        <v>200</v>
      </c>
      <c r="K63" s="107">
        <f>+PRESUPUESTO!T63</f>
        <v>300</v>
      </c>
      <c r="L63" s="107">
        <f>+PRESUPUESTO!U63</f>
        <v>200</v>
      </c>
      <c r="M63" s="107">
        <f>+PRESUPUESTO!V63</f>
        <v>0</v>
      </c>
      <c r="N63" s="107">
        <f>+PRESUPUESTO!W63</f>
        <v>0</v>
      </c>
      <c r="O63" s="107">
        <f>+PRESUPUESTO!X63</f>
        <v>0</v>
      </c>
      <c r="P63" s="107">
        <f>+PRESUPUESTO!Y63</f>
        <v>0</v>
      </c>
      <c r="Q63" s="107">
        <f>+PRESUPUESTO!Z63</f>
        <v>0</v>
      </c>
    </row>
    <row r="64" spans="1:17" ht="45.75" x14ac:dyDescent="0.25">
      <c r="A64" t="str">
        <f t="shared" si="0"/>
        <v>C</v>
      </c>
      <c r="B64" s="227"/>
      <c r="C64" s="254"/>
      <c r="D64" s="257"/>
      <c r="E64" s="273"/>
      <c r="F64" s="257"/>
      <c r="G64" s="160" t="s">
        <v>388</v>
      </c>
      <c r="H64" s="82" t="s">
        <v>398</v>
      </c>
      <c r="I64" s="108">
        <f t="shared" si="1"/>
        <v>350</v>
      </c>
      <c r="J64" s="107">
        <f>+PRESUPUESTO!S64</f>
        <v>150</v>
      </c>
      <c r="K64" s="107">
        <f>+PRESUPUESTO!T64</f>
        <v>100</v>
      </c>
      <c r="L64" s="107">
        <f>+PRESUPUESTO!U64</f>
        <v>100</v>
      </c>
      <c r="M64" s="107">
        <f>+PRESUPUESTO!V64</f>
        <v>0</v>
      </c>
      <c r="N64" s="107">
        <f>+PRESUPUESTO!W64</f>
        <v>0</v>
      </c>
      <c r="O64" s="107">
        <f>+PRESUPUESTO!X64</f>
        <v>0</v>
      </c>
      <c r="P64" s="107">
        <f>+PRESUPUESTO!Y64</f>
        <v>0</v>
      </c>
      <c r="Q64" s="107">
        <f>+PRESUPUESTO!Z64</f>
        <v>0</v>
      </c>
    </row>
    <row r="65" spans="1:17" x14ac:dyDescent="0.25">
      <c r="A65" t="str">
        <f t="shared" si="0"/>
        <v>C</v>
      </c>
      <c r="B65" s="226" t="s">
        <v>400</v>
      </c>
      <c r="C65" s="242" t="s">
        <v>401</v>
      </c>
      <c r="D65" s="249" t="s">
        <v>175</v>
      </c>
      <c r="E65" s="277" t="s">
        <v>402</v>
      </c>
      <c r="F65" s="279" t="s">
        <v>668</v>
      </c>
      <c r="G65" s="162" t="s">
        <v>391</v>
      </c>
      <c r="H65" s="155" t="s">
        <v>172</v>
      </c>
      <c r="I65" s="108">
        <f t="shared" si="1"/>
        <v>3609.8416229999998</v>
      </c>
      <c r="J65" s="107">
        <f>+PRESUPUESTO!S65</f>
        <v>902.46040574999995</v>
      </c>
      <c r="K65" s="107">
        <f>+PRESUPUESTO!T65</f>
        <v>902.46040574999995</v>
      </c>
      <c r="L65" s="107">
        <f>+PRESUPUESTO!U65</f>
        <v>902.46040574999995</v>
      </c>
      <c r="M65" s="107">
        <f>+PRESUPUESTO!V65</f>
        <v>902.46040574999995</v>
      </c>
      <c r="N65" s="107">
        <f>+PRESUPUESTO!W65</f>
        <v>0</v>
      </c>
      <c r="O65" s="107">
        <f>+PRESUPUESTO!X65</f>
        <v>0</v>
      </c>
      <c r="P65" s="107">
        <f>+PRESUPUESTO!Y65</f>
        <v>0</v>
      </c>
      <c r="Q65" s="107">
        <f>+PRESUPUESTO!Z65</f>
        <v>0</v>
      </c>
    </row>
    <row r="66" spans="1:17" ht="24" x14ac:dyDescent="0.25">
      <c r="A66" t="str">
        <f t="shared" si="0"/>
        <v>I</v>
      </c>
      <c r="B66" s="227"/>
      <c r="C66" s="243"/>
      <c r="D66" s="249"/>
      <c r="E66" s="278"/>
      <c r="F66" s="280"/>
      <c r="G66" s="162" t="s">
        <v>51</v>
      </c>
      <c r="H66" s="85" t="s">
        <v>669</v>
      </c>
      <c r="I66" s="108">
        <f t="shared" si="1"/>
        <v>213.60000000000002</v>
      </c>
      <c r="J66" s="107">
        <f>+PRESUPUESTO!S66</f>
        <v>0</v>
      </c>
      <c r="K66" s="107">
        <f>+PRESUPUESTO!T66</f>
        <v>0</v>
      </c>
      <c r="L66" s="107">
        <f>+PRESUPUESTO!U66</f>
        <v>0</v>
      </c>
      <c r="M66" s="107">
        <f>+PRESUPUESTO!V66</f>
        <v>0</v>
      </c>
      <c r="N66" s="107">
        <f>+PRESUPUESTO!W66</f>
        <v>0</v>
      </c>
      <c r="O66" s="107">
        <f>+PRESUPUESTO!X66</f>
        <v>213.60000000000002</v>
      </c>
      <c r="P66" s="107">
        <f>+PRESUPUESTO!Y66</f>
        <v>0</v>
      </c>
      <c r="Q66" s="107">
        <f>+PRESUPUESTO!Z66</f>
        <v>0</v>
      </c>
    </row>
    <row r="67" spans="1:17" ht="60" x14ac:dyDescent="0.25">
      <c r="A67" t="str">
        <f t="shared" si="0"/>
        <v>I</v>
      </c>
      <c r="B67" s="227"/>
      <c r="C67" s="243"/>
      <c r="D67" s="249" t="s">
        <v>181</v>
      </c>
      <c r="E67" s="83" t="s">
        <v>405</v>
      </c>
      <c r="F67" s="162" t="s">
        <v>180</v>
      </c>
      <c r="G67" s="162" t="s">
        <v>52</v>
      </c>
      <c r="H67" s="85" t="s">
        <v>180</v>
      </c>
      <c r="I67" s="108">
        <f t="shared" si="1"/>
        <v>250.5</v>
      </c>
      <c r="J67" s="107">
        <f>+PRESUPUESTO!S67</f>
        <v>0</v>
      </c>
      <c r="K67" s="107">
        <f>+PRESUPUESTO!T67</f>
        <v>125.25</v>
      </c>
      <c r="L67" s="107">
        <f>+PRESUPUESTO!U67</f>
        <v>125.25</v>
      </c>
      <c r="M67" s="107">
        <f>+PRESUPUESTO!V67</f>
        <v>0</v>
      </c>
      <c r="N67" s="107">
        <f>+PRESUPUESTO!W67</f>
        <v>0</v>
      </c>
      <c r="O67" s="107">
        <f>+PRESUPUESTO!X67</f>
        <v>0</v>
      </c>
      <c r="P67" s="107">
        <f>+PRESUPUESTO!Y67</f>
        <v>0</v>
      </c>
      <c r="Q67" s="107">
        <f>+PRESUPUESTO!Z67</f>
        <v>0</v>
      </c>
    </row>
    <row r="68" spans="1:17" ht="36" x14ac:dyDescent="0.25">
      <c r="A68" t="str">
        <f t="shared" si="0"/>
        <v>I</v>
      </c>
      <c r="B68" s="227"/>
      <c r="C68" s="243"/>
      <c r="D68" s="249"/>
      <c r="E68" s="277" t="s">
        <v>406</v>
      </c>
      <c r="F68" s="279" t="s">
        <v>674</v>
      </c>
      <c r="G68" s="162" t="s">
        <v>53</v>
      </c>
      <c r="H68" s="85" t="s">
        <v>675</v>
      </c>
      <c r="I68" s="108">
        <f t="shared" si="1"/>
        <v>2030.4</v>
      </c>
      <c r="J68" s="107">
        <f>+PRESUPUESTO!S68</f>
        <v>0</v>
      </c>
      <c r="K68" s="107">
        <f>+PRESUPUESTO!T68</f>
        <v>0</v>
      </c>
      <c r="L68" s="107">
        <f>+PRESUPUESTO!U68</f>
        <v>0</v>
      </c>
      <c r="M68" s="107">
        <f>+PRESUPUESTO!V68</f>
        <v>0</v>
      </c>
      <c r="N68" s="107">
        <f>+PRESUPUESTO!W68</f>
        <v>0</v>
      </c>
      <c r="O68" s="107">
        <f>+PRESUPUESTO!X68</f>
        <v>2030.4</v>
      </c>
      <c r="P68" s="107">
        <f>+PRESUPUESTO!Y68</f>
        <v>0</v>
      </c>
      <c r="Q68" s="107">
        <f>+PRESUPUESTO!Z68</f>
        <v>0</v>
      </c>
    </row>
    <row r="69" spans="1:17" ht="24" x14ac:dyDescent="0.25">
      <c r="A69" t="str">
        <f t="shared" si="0"/>
        <v>I</v>
      </c>
      <c r="B69" s="227"/>
      <c r="C69" s="243"/>
      <c r="D69" s="249"/>
      <c r="E69" s="278"/>
      <c r="F69" s="280"/>
      <c r="G69" s="162" t="s">
        <v>54</v>
      </c>
      <c r="H69" s="85" t="s">
        <v>182</v>
      </c>
      <c r="I69" s="108">
        <f t="shared" si="1"/>
        <v>267</v>
      </c>
      <c r="J69" s="107">
        <f>+PRESUPUESTO!S69</f>
        <v>0</v>
      </c>
      <c r="K69" s="107">
        <f>+PRESUPUESTO!T69</f>
        <v>267</v>
      </c>
      <c r="L69" s="107">
        <f>+PRESUPUESTO!U69</f>
        <v>0</v>
      </c>
      <c r="M69" s="107">
        <f>+PRESUPUESTO!V69</f>
        <v>0</v>
      </c>
      <c r="N69" s="107">
        <f>+PRESUPUESTO!W69</f>
        <v>0</v>
      </c>
      <c r="O69" s="107">
        <f>+PRESUPUESTO!X69</f>
        <v>0</v>
      </c>
      <c r="P69" s="107">
        <f>+PRESUPUESTO!Y69</f>
        <v>0</v>
      </c>
      <c r="Q69" s="107">
        <f>+PRESUPUESTO!Z69</f>
        <v>0</v>
      </c>
    </row>
    <row r="70" spans="1:17" ht="36" x14ac:dyDescent="0.25">
      <c r="A70" t="str">
        <f t="shared" si="0"/>
        <v>C</v>
      </c>
      <c r="B70" s="227"/>
      <c r="C70" s="243"/>
      <c r="D70" s="242" t="s">
        <v>183</v>
      </c>
      <c r="E70" s="83" t="s">
        <v>407</v>
      </c>
      <c r="F70" s="162" t="s">
        <v>410</v>
      </c>
      <c r="G70" s="162" t="s">
        <v>394</v>
      </c>
      <c r="H70" s="155" t="s">
        <v>410</v>
      </c>
      <c r="I70" s="108">
        <f t="shared" si="1"/>
        <v>248970.73975200005</v>
      </c>
      <c r="J70" s="107">
        <f>+PRESUPUESTO!S70</f>
        <v>24897.073975200004</v>
      </c>
      <c r="K70" s="107">
        <f>+PRESUPUESTO!T70</f>
        <v>24897.073975200004</v>
      </c>
      <c r="L70" s="107">
        <f>+PRESUPUESTO!U70</f>
        <v>24897.073975200004</v>
      </c>
      <c r="M70" s="107">
        <f>+PRESUPUESTO!V70</f>
        <v>24897.073975200004</v>
      </c>
      <c r="N70" s="107">
        <f>+PRESUPUESTO!W70</f>
        <v>24897.073975200004</v>
      </c>
      <c r="O70" s="107">
        <f>+PRESUPUESTO!X70</f>
        <v>124485.36987600003</v>
      </c>
      <c r="P70" s="107">
        <f>+PRESUPUESTO!Y70</f>
        <v>0</v>
      </c>
      <c r="Q70" s="107">
        <f>+PRESUPUESTO!Z70</f>
        <v>0</v>
      </c>
    </row>
    <row r="71" spans="1:17" ht="23.25" customHeight="1" x14ac:dyDescent="0.25">
      <c r="A71" t="str">
        <f t="shared" si="0"/>
        <v>C</v>
      </c>
      <c r="B71" s="227"/>
      <c r="C71" s="245"/>
      <c r="D71" s="243"/>
      <c r="E71" s="240" t="s">
        <v>408</v>
      </c>
      <c r="F71" s="242" t="s">
        <v>184</v>
      </c>
      <c r="G71" s="162" t="s">
        <v>397</v>
      </c>
      <c r="H71" s="82" t="s">
        <v>414</v>
      </c>
      <c r="I71" s="108">
        <f t="shared" si="1"/>
        <v>286</v>
      </c>
      <c r="J71" s="107">
        <f>+PRESUPUESTO!S71</f>
        <v>0</v>
      </c>
      <c r="K71" s="107">
        <f>+PRESUPUESTO!T71</f>
        <v>143</v>
      </c>
      <c r="L71" s="107">
        <f>+PRESUPUESTO!U71</f>
        <v>143</v>
      </c>
      <c r="M71" s="107">
        <f>+PRESUPUESTO!V71</f>
        <v>0</v>
      </c>
      <c r="N71" s="107">
        <f>+PRESUPUESTO!W71</f>
        <v>0</v>
      </c>
      <c r="O71" s="107">
        <f>+PRESUPUESTO!X71</f>
        <v>0</v>
      </c>
      <c r="P71" s="107">
        <f>+PRESUPUESTO!Y71</f>
        <v>0</v>
      </c>
      <c r="Q71" s="107">
        <f>+PRESUPUESTO!Z71</f>
        <v>0</v>
      </c>
    </row>
    <row r="72" spans="1:17" ht="36" x14ac:dyDescent="0.25">
      <c r="A72" t="str">
        <f t="shared" si="0"/>
        <v>I</v>
      </c>
      <c r="B72" s="227"/>
      <c r="C72" s="161"/>
      <c r="D72" s="245"/>
      <c r="E72" s="244"/>
      <c r="F72" s="245"/>
      <c r="G72" s="162" t="s">
        <v>714</v>
      </c>
      <c r="H72" s="85" t="s">
        <v>416</v>
      </c>
      <c r="I72" s="108">
        <f t="shared" si="1"/>
        <v>267</v>
      </c>
      <c r="J72" s="107">
        <f>+PRESUPUESTO!S72</f>
        <v>0</v>
      </c>
      <c r="K72" s="107">
        <f>+PRESUPUESTO!T72</f>
        <v>0</v>
      </c>
      <c r="L72" s="107">
        <f>+PRESUPUESTO!U72</f>
        <v>0</v>
      </c>
      <c r="M72" s="107">
        <f>+PRESUPUESTO!V72</f>
        <v>0</v>
      </c>
      <c r="N72" s="107">
        <f>+PRESUPUESTO!W72</f>
        <v>0</v>
      </c>
      <c r="O72" s="107">
        <f>+PRESUPUESTO!X72</f>
        <v>267</v>
      </c>
      <c r="P72" s="107">
        <f>+PRESUPUESTO!Y72</f>
        <v>0</v>
      </c>
      <c r="Q72" s="107">
        <f>+PRESUPUESTO!Z72</f>
        <v>0</v>
      </c>
    </row>
    <row r="73" spans="1:17" ht="23.25" x14ac:dyDescent="0.25">
      <c r="A73" t="str">
        <f t="shared" ref="A73:A134" si="2">MID(G73,1,1)</f>
        <v>C</v>
      </c>
      <c r="B73" s="227"/>
      <c r="C73" s="243"/>
      <c r="D73" s="243"/>
      <c r="E73" s="241"/>
      <c r="F73" s="243"/>
      <c r="G73" s="162" t="s">
        <v>403</v>
      </c>
      <c r="H73" s="82" t="s">
        <v>419</v>
      </c>
      <c r="I73" s="108">
        <f t="shared" ref="I73:I134" si="3">SUM(J73:Q73)</f>
        <v>25</v>
      </c>
      <c r="J73" s="107">
        <f>+PRESUPUESTO!S73</f>
        <v>25</v>
      </c>
      <c r="K73" s="107">
        <f>+PRESUPUESTO!T73</f>
        <v>0</v>
      </c>
      <c r="L73" s="107">
        <f>+PRESUPUESTO!U73</f>
        <v>0</v>
      </c>
      <c r="M73" s="107">
        <f>+PRESUPUESTO!V73</f>
        <v>0</v>
      </c>
      <c r="N73" s="107">
        <f>+PRESUPUESTO!W73</f>
        <v>0</v>
      </c>
      <c r="O73" s="107">
        <f>+PRESUPUESTO!X73</f>
        <v>0</v>
      </c>
      <c r="P73" s="107">
        <f>+PRESUPUESTO!Y73</f>
        <v>0</v>
      </c>
      <c r="Q73" s="107">
        <f>+PRESUPUESTO!Z73</f>
        <v>0</v>
      </c>
    </row>
    <row r="74" spans="1:17" ht="23.25" x14ac:dyDescent="0.25">
      <c r="A74" t="str">
        <f t="shared" si="2"/>
        <v>C</v>
      </c>
      <c r="B74" s="227"/>
      <c r="C74" s="243"/>
      <c r="D74" s="243"/>
      <c r="E74" s="241"/>
      <c r="F74" s="243"/>
      <c r="G74" s="215" t="s">
        <v>411</v>
      </c>
      <c r="H74" s="82" t="s">
        <v>422</v>
      </c>
      <c r="I74" s="108">
        <f t="shared" si="3"/>
        <v>480</v>
      </c>
      <c r="J74" s="107">
        <f>+PRESUPUESTO!S74</f>
        <v>0</v>
      </c>
      <c r="K74" s="107">
        <f>+PRESUPUESTO!T74</f>
        <v>240</v>
      </c>
      <c r="L74" s="107">
        <f>+PRESUPUESTO!U74</f>
        <v>240</v>
      </c>
      <c r="M74" s="107">
        <f>+PRESUPUESTO!V74</f>
        <v>0</v>
      </c>
      <c r="N74" s="107">
        <f>+PRESUPUESTO!W74</f>
        <v>0</v>
      </c>
      <c r="O74" s="107">
        <f>+PRESUPUESTO!X74</f>
        <v>0</v>
      </c>
      <c r="P74" s="107">
        <f>+PRESUPUESTO!Y74</f>
        <v>0</v>
      </c>
      <c r="Q74" s="107">
        <f>+PRESUPUESTO!Z74</f>
        <v>0</v>
      </c>
    </row>
    <row r="75" spans="1:17" ht="23.25" x14ac:dyDescent="0.25">
      <c r="A75" t="str">
        <f t="shared" si="2"/>
        <v>C</v>
      </c>
      <c r="B75" s="227"/>
      <c r="C75" s="243"/>
      <c r="D75" s="243"/>
      <c r="E75" s="241"/>
      <c r="F75" s="243"/>
      <c r="G75" s="215" t="s">
        <v>630</v>
      </c>
      <c r="H75" s="82" t="s">
        <v>425</v>
      </c>
      <c r="I75" s="108">
        <f t="shared" si="3"/>
        <v>600</v>
      </c>
      <c r="J75" s="107">
        <f>+PRESUPUESTO!S75</f>
        <v>0</v>
      </c>
      <c r="K75" s="107">
        <f>+PRESUPUESTO!T75</f>
        <v>300</v>
      </c>
      <c r="L75" s="107">
        <f>+PRESUPUESTO!U75</f>
        <v>300</v>
      </c>
      <c r="M75" s="107">
        <f>+PRESUPUESTO!V75</f>
        <v>0</v>
      </c>
      <c r="N75" s="107">
        <f>+PRESUPUESTO!W75</f>
        <v>0</v>
      </c>
      <c r="O75" s="107">
        <f>+PRESUPUESTO!X75</f>
        <v>0</v>
      </c>
      <c r="P75" s="107">
        <f>+PRESUPUESTO!Y75</f>
        <v>0</v>
      </c>
      <c r="Q75" s="107">
        <f>+PRESUPUESTO!Z75</f>
        <v>0</v>
      </c>
    </row>
    <row r="76" spans="1:17" ht="23.25" x14ac:dyDescent="0.25">
      <c r="A76" t="str">
        <f t="shared" si="2"/>
        <v>C</v>
      </c>
      <c r="B76" s="227"/>
      <c r="C76" s="243"/>
      <c r="D76" s="243"/>
      <c r="E76" s="241"/>
      <c r="F76" s="243"/>
      <c r="G76" s="215" t="s">
        <v>417</v>
      </c>
      <c r="H76" s="82" t="s">
        <v>428</v>
      </c>
      <c r="I76" s="108">
        <f t="shared" si="3"/>
        <v>220</v>
      </c>
      <c r="J76" s="107">
        <f>+PRESUPUESTO!S76</f>
        <v>220</v>
      </c>
      <c r="K76" s="107">
        <f>+PRESUPUESTO!T76</f>
        <v>0</v>
      </c>
      <c r="L76" s="107">
        <f>+PRESUPUESTO!U76</f>
        <v>0</v>
      </c>
      <c r="M76" s="107">
        <f>+PRESUPUESTO!V76</f>
        <v>0</v>
      </c>
      <c r="N76" s="107">
        <f>+PRESUPUESTO!W76</f>
        <v>0</v>
      </c>
      <c r="O76" s="107">
        <f>+PRESUPUESTO!X76</f>
        <v>0</v>
      </c>
      <c r="P76" s="107">
        <f>+PRESUPUESTO!Y76</f>
        <v>0</v>
      </c>
      <c r="Q76" s="107">
        <f>+PRESUPUESTO!Z76</f>
        <v>0</v>
      </c>
    </row>
    <row r="77" spans="1:17" ht="23.25" x14ac:dyDescent="0.25">
      <c r="A77" t="str">
        <f t="shared" si="2"/>
        <v>C</v>
      </c>
      <c r="B77" s="227"/>
      <c r="C77" s="243"/>
      <c r="D77" s="243"/>
      <c r="E77" s="241"/>
      <c r="F77" s="243"/>
      <c r="G77" s="215" t="s">
        <v>418</v>
      </c>
      <c r="H77" s="82" t="s">
        <v>431</v>
      </c>
      <c r="I77" s="108">
        <f t="shared" si="3"/>
        <v>200</v>
      </c>
      <c r="J77" s="107">
        <f>+PRESUPUESTO!S77</f>
        <v>200</v>
      </c>
      <c r="K77" s="107">
        <f>+PRESUPUESTO!T77</f>
        <v>0</v>
      </c>
      <c r="L77" s="107">
        <f>+PRESUPUESTO!U77</f>
        <v>0</v>
      </c>
      <c r="M77" s="107">
        <f>+PRESUPUESTO!V77</f>
        <v>0</v>
      </c>
      <c r="N77" s="107">
        <f>+PRESUPUESTO!W77</f>
        <v>0</v>
      </c>
      <c r="O77" s="107">
        <f>+PRESUPUESTO!X77</f>
        <v>0</v>
      </c>
      <c r="P77" s="107">
        <f>+PRESUPUESTO!Y77</f>
        <v>0</v>
      </c>
      <c r="Q77" s="107">
        <f>+PRESUPUESTO!Z77</f>
        <v>0</v>
      </c>
    </row>
    <row r="78" spans="1:17" ht="23.25" x14ac:dyDescent="0.25">
      <c r="A78" t="str">
        <f t="shared" si="2"/>
        <v>C</v>
      </c>
      <c r="B78" s="227"/>
      <c r="C78" s="243"/>
      <c r="D78" s="243"/>
      <c r="E78" s="241"/>
      <c r="F78" s="243"/>
      <c r="G78" s="215" t="s">
        <v>421</v>
      </c>
      <c r="H78" s="82" t="s">
        <v>434</v>
      </c>
      <c r="I78" s="108">
        <f t="shared" si="3"/>
        <v>400</v>
      </c>
      <c r="J78" s="107">
        <f>+PRESUPUESTO!S78</f>
        <v>200</v>
      </c>
      <c r="K78" s="107">
        <f>+PRESUPUESTO!T78</f>
        <v>200</v>
      </c>
      <c r="L78" s="107">
        <f>+PRESUPUESTO!U78</f>
        <v>0</v>
      </c>
      <c r="M78" s="107">
        <f>+PRESUPUESTO!V78</f>
        <v>0</v>
      </c>
      <c r="N78" s="107">
        <f>+PRESUPUESTO!W78</f>
        <v>0</v>
      </c>
      <c r="O78" s="107">
        <f>+PRESUPUESTO!X78</f>
        <v>0</v>
      </c>
      <c r="P78" s="107">
        <f>+PRESUPUESTO!Y78</f>
        <v>0</v>
      </c>
      <c r="Q78" s="107">
        <f>+PRESUPUESTO!Z78</f>
        <v>0</v>
      </c>
    </row>
    <row r="79" spans="1:17" ht="23.25" x14ac:dyDescent="0.25">
      <c r="A79" t="str">
        <f t="shared" si="2"/>
        <v>C</v>
      </c>
      <c r="B79" s="227"/>
      <c r="C79" s="243"/>
      <c r="D79" s="243"/>
      <c r="E79" s="241"/>
      <c r="F79" s="243"/>
      <c r="G79" s="215" t="s">
        <v>424</v>
      </c>
      <c r="H79" s="82" t="s">
        <v>438</v>
      </c>
      <c r="I79" s="108">
        <f t="shared" si="3"/>
        <v>467</v>
      </c>
      <c r="J79" s="107">
        <f>+PRESUPUESTO!S79</f>
        <v>0</v>
      </c>
      <c r="K79" s="107">
        <f>+PRESUPUESTO!T79</f>
        <v>233.5</v>
      </c>
      <c r="L79" s="107">
        <f>+PRESUPUESTO!U79</f>
        <v>233.5</v>
      </c>
      <c r="M79" s="107">
        <f>+PRESUPUESTO!V79</f>
        <v>0</v>
      </c>
      <c r="N79" s="107">
        <f>+PRESUPUESTO!W79</f>
        <v>0</v>
      </c>
      <c r="O79" s="107">
        <f>+PRESUPUESTO!X79</f>
        <v>0</v>
      </c>
      <c r="P79" s="107">
        <f>+PRESUPUESTO!Y79</f>
        <v>0</v>
      </c>
      <c r="Q79" s="107">
        <f>+PRESUPUESTO!Z79</f>
        <v>0</v>
      </c>
    </row>
    <row r="80" spans="1:17" x14ac:dyDescent="0.25">
      <c r="A80" t="str">
        <f t="shared" si="2"/>
        <v>C</v>
      </c>
      <c r="B80" s="227"/>
      <c r="C80" s="243"/>
      <c r="D80" s="243"/>
      <c r="E80" s="241"/>
      <c r="F80" s="243"/>
      <c r="G80" s="215" t="s">
        <v>427</v>
      </c>
      <c r="H80" s="80" t="s">
        <v>604</v>
      </c>
      <c r="I80" s="108">
        <f t="shared" si="3"/>
        <v>224.8</v>
      </c>
      <c r="J80" s="107">
        <f>+PRESUPUESTO!S80</f>
        <v>0</v>
      </c>
      <c r="K80" s="107">
        <f>+PRESUPUESTO!T80</f>
        <v>224.8</v>
      </c>
      <c r="L80" s="107">
        <f>+PRESUPUESTO!U80</f>
        <v>0</v>
      </c>
      <c r="M80" s="107">
        <f>+PRESUPUESTO!V80</f>
        <v>0</v>
      </c>
      <c r="N80" s="107">
        <f>+PRESUPUESTO!W80</f>
        <v>0</v>
      </c>
      <c r="O80" s="107">
        <f>+PRESUPUESTO!X80</f>
        <v>0</v>
      </c>
      <c r="P80" s="107">
        <f>+PRESUPUESTO!Y80</f>
        <v>0</v>
      </c>
      <c r="Q80" s="107">
        <f>+PRESUPUESTO!Z80</f>
        <v>0</v>
      </c>
    </row>
    <row r="81" spans="1:17" ht="48" x14ac:dyDescent="0.25">
      <c r="A81" t="str">
        <f t="shared" si="2"/>
        <v>I</v>
      </c>
      <c r="B81" s="227"/>
      <c r="C81" s="243"/>
      <c r="D81" s="243"/>
      <c r="E81" s="83" t="s">
        <v>409</v>
      </c>
      <c r="F81" s="162" t="s">
        <v>188</v>
      </c>
      <c r="G81" s="162" t="s">
        <v>55</v>
      </c>
      <c r="H81" s="62" t="s">
        <v>436</v>
      </c>
      <c r="I81" s="108">
        <f t="shared" si="3"/>
        <v>534</v>
      </c>
      <c r="J81" s="107">
        <f>+PRESUPUESTO!S81</f>
        <v>0</v>
      </c>
      <c r="K81" s="107">
        <f>+PRESUPUESTO!T81</f>
        <v>534</v>
      </c>
      <c r="L81" s="107">
        <f>+PRESUPUESTO!U81</f>
        <v>0</v>
      </c>
      <c r="M81" s="107">
        <f>+PRESUPUESTO!V81</f>
        <v>0</v>
      </c>
      <c r="N81" s="107">
        <f>+PRESUPUESTO!W81</f>
        <v>0</v>
      </c>
      <c r="O81" s="107">
        <f>+PRESUPUESTO!X81</f>
        <v>0</v>
      </c>
      <c r="P81" s="107">
        <f>+PRESUPUESTO!Y81</f>
        <v>0</v>
      </c>
      <c r="Q81" s="107">
        <f>+PRESUPUESTO!Z81</f>
        <v>0</v>
      </c>
    </row>
    <row r="82" spans="1:17" ht="72" x14ac:dyDescent="0.25">
      <c r="A82" t="str">
        <f t="shared" si="2"/>
        <v>C</v>
      </c>
      <c r="B82" s="227"/>
      <c r="C82" s="243"/>
      <c r="D82" s="245"/>
      <c r="E82" s="163" t="s">
        <v>413</v>
      </c>
      <c r="F82" s="86" t="s">
        <v>688</v>
      </c>
      <c r="G82" s="162" t="s">
        <v>430</v>
      </c>
      <c r="H82" s="82" t="s">
        <v>689</v>
      </c>
      <c r="I82" s="108">
        <f t="shared" si="3"/>
        <v>1000</v>
      </c>
      <c r="J82" s="107">
        <f>+PRESUPUESTO!S82</f>
        <v>0</v>
      </c>
      <c r="K82" s="107">
        <f>+PRESUPUESTO!T82</f>
        <v>1000</v>
      </c>
      <c r="L82" s="107">
        <f>+PRESUPUESTO!U82</f>
        <v>0</v>
      </c>
      <c r="M82" s="107">
        <f>+PRESUPUESTO!V82</f>
        <v>0</v>
      </c>
      <c r="N82" s="107">
        <f>+PRESUPUESTO!W82</f>
        <v>0</v>
      </c>
      <c r="O82" s="107">
        <f>+PRESUPUESTO!X82</f>
        <v>0</v>
      </c>
      <c r="P82" s="107">
        <f>+PRESUPUESTO!Y82</f>
        <v>0</v>
      </c>
      <c r="Q82" s="107">
        <f>+PRESUPUESTO!Z82</f>
        <v>0</v>
      </c>
    </row>
    <row r="83" spans="1:17" ht="23.25" x14ac:dyDescent="0.25">
      <c r="A83" t="str">
        <f t="shared" si="2"/>
        <v>I</v>
      </c>
      <c r="B83" s="227"/>
      <c r="C83" s="243"/>
      <c r="D83" s="242" t="s">
        <v>190</v>
      </c>
      <c r="E83" s="240" t="s">
        <v>690</v>
      </c>
      <c r="F83" s="250" t="s">
        <v>445</v>
      </c>
      <c r="G83" s="87" t="s">
        <v>56</v>
      </c>
      <c r="H83" s="62" t="s">
        <v>691</v>
      </c>
      <c r="I83" s="108">
        <f t="shared" si="3"/>
        <v>230</v>
      </c>
      <c r="J83" s="107">
        <f>+PRESUPUESTO!S83</f>
        <v>0</v>
      </c>
      <c r="K83" s="107">
        <f>+PRESUPUESTO!T83</f>
        <v>0</v>
      </c>
      <c r="L83" s="107">
        <f>+PRESUPUESTO!U83</f>
        <v>0</v>
      </c>
      <c r="M83" s="107">
        <f>+PRESUPUESTO!V83</f>
        <v>0</v>
      </c>
      <c r="N83" s="107">
        <f>+PRESUPUESTO!W83</f>
        <v>0</v>
      </c>
      <c r="O83" s="107">
        <f>+PRESUPUESTO!X83</f>
        <v>230</v>
      </c>
      <c r="P83" s="107">
        <f>+PRESUPUESTO!Y83</f>
        <v>0</v>
      </c>
      <c r="Q83" s="107">
        <f>+PRESUPUESTO!Z83</f>
        <v>0</v>
      </c>
    </row>
    <row r="84" spans="1:17" ht="23.25" x14ac:dyDescent="0.25">
      <c r="A84" t="str">
        <f t="shared" si="2"/>
        <v>I</v>
      </c>
      <c r="B84" s="227"/>
      <c r="C84" s="243"/>
      <c r="D84" s="243"/>
      <c r="E84" s="241"/>
      <c r="F84" s="251"/>
      <c r="G84" s="87" t="s">
        <v>57</v>
      </c>
      <c r="H84" s="62" t="s">
        <v>692</v>
      </c>
      <c r="I84" s="108">
        <f t="shared" si="3"/>
        <v>230</v>
      </c>
      <c r="J84" s="107">
        <f>+PRESUPUESTO!S84</f>
        <v>0</v>
      </c>
      <c r="K84" s="107">
        <f>+PRESUPUESTO!T84</f>
        <v>0</v>
      </c>
      <c r="L84" s="107">
        <f>+PRESUPUESTO!U84</f>
        <v>0</v>
      </c>
      <c r="M84" s="107">
        <f>+PRESUPUESTO!V84</f>
        <v>0</v>
      </c>
      <c r="N84" s="107">
        <f>+PRESUPUESTO!W84</f>
        <v>0</v>
      </c>
      <c r="O84" s="107">
        <f>+PRESUPUESTO!X84</f>
        <v>230</v>
      </c>
      <c r="P84" s="107">
        <f>+PRESUPUESTO!Y84</f>
        <v>0</v>
      </c>
      <c r="Q84" s="107">
        <f>+PRESUPUESTO!Z84</f>
        <v>0</v>
      </c>
    </row>
    <row r="85" spans="1:17" ht="23.25" x14ac:dyDescent="0.25">
      <c r="A85" t="str">
        <f t="shared" si="2"/>
        <v>I</v>
      </c>
      <c r="B85" s="227"/>
      <c r="C85" s="243"/>
      <c r="D85" s="243"/>
      <c r="E85" s="241"/>
      <c r="F85" s="251"/>
      <c r="G85" s="87" t="s">
        <v>58</v>
      </c>
      <c r="H85" s="62" t="s">
        <v>693</v>
      </c>
      <c r="I85" s="108">
        <f t="shared" si="3"/>
        <v>230</v>
      </c>
      <c r="J85" s="107">
        <f>+PRESUPUESTO!S85</f>
        <v>0</v>
      </c>
      <c r="K85" s="107">
        <f>+PRESUPUESTO!T85</f>
        <v>0</v>
      </c>
      <c r="L85" s="107">
        <f>+PRESUPUESTO!U85</f>
        <v>0</v>
      </c>
      <c r="M85" s="107">
        <f>+PRESUPUESTO!V85</f>
        <v>0</v>
      </c>
      <c r="N85" s="107">
        <f>+PRESUPUESTO!W85</f>
        <v>0</v>
      </c>
      <c r="O85" s="107">
        <f>+PRESUPUESTO!X85</f>
        <v>230</v>
      </c>
      <c r="P85" s="107">
        <f>+PRESUPUESTO!Y85</f>
        <v>0</v>
      </c>
      <c r="Q85" s="107">
        <f>+PRESUPUESTO!Z85</f>
        <v>0</v>
      </c>
    </row>
    <row r="86" spans="1:17" ht="23.25" x14ac:dyDescent="0.25">
      <c r="A86" t="str">
        <f t="shared" si="2"/>
        <v>I</v>
      </c>
      <c r="B86" s="227"/>
      <c r="C86" s="243"/>
      <c r="D86" s="243"/>
      <c r="E86" s="244"/>
      <c r="F86" s="252"/>
      <c r="G86" s="87" t="s">
        <v>59</v>
      </c>
      <c r="H86" s="62" t="s">
        <v>694</v>
      </c>
      <c r="I86" s="108">
        <f t="shared" si="3"/>
        <v>230</v>
      </c>
      <c r="J86" s="107">
        <f>+PRESUPUESTO!S86</f>
        <v>0</v>
      </c>
      <c r="K86" s="107">
        <f>+PRESUPUESTO!T86</f>
        <v>115</v>
      </c>
      <c r="L86" s="107">
        <f>+PRESUPUESTO!U86</f>
        <v>115</v>
      </c>
      <c r="M86" s="107">
        <f>+PRESUPUESTO!V86</f>
        <v>0</v>
      </c>
      <c r="N86" s="107">
        <f>+PRESUPUESTO!W86</f>
        <v>0</v>
      </c>
      <c r="O86" s="107">
        <f>+PRESUPUESTO!X86</f>
        <v>0</v>
      </c>
      <c r="P86" s="107">
        <f>+PRESUPUESTO!Y86</f>
        <v>0</v>
      </c>
      <c r="Q86" s="107">
        <f>+PRESUPUESTO!Z86</f>
        <v>0</v>
      </c>
    </row>
    <row r="87" spans="1:17" ht="45.75" x14ac:dyDescent="0.25">
      <c r="A87" t="str">
        <f t="shared" si="2"/>
        <v>C</v>
      </c>
      <c r="B87" s="227"/>
      <c r="C87" s="243"/>
      <c r="D87" s="243"/>
      <c r="E87" s="240" t="s">
        <v>704</v>
      </c>
      <c r="F87" s="242" t="s">
        <v>447</v>
      </c>
      <c r="G87" s="162" t="s">
        <v>433</v>
      </c>
      <c r="H87" s="82" t="s">
        <v>449</v>
      </c>
      <c r="I87" s="108">
        <f t="shared" si="3"/>
        <v>144</v>
      </c>
      <c r="J87" s="107">
        <f>+PRESUPUESTO!S87</f>
        <v>144</v>
      </c>
      <c r="K87" s="107">
        <f>+PRESUPUESTO!T87</f>
        <v>0</v>
      </c>
      <c r="L87" s="107">
        <f>+PRESUPUESTO!U87</f>
        <v>0</v>
      </c>
      <c r="M87" s="107">
        <f>+PRESUPUESTO!V87</f>
        <v>0</v>
      </c>
      <c r="N87" s="107">
        <f>+PRESUPUESTO!W87</f>
        <v>0</v>
      </c>
      <c r="O87" s="107">
        <f>+PRESUPUESTO!X87</f>
        <v>0</v>
      </c>
      <c r="P87" s="107">
        <f>+PRESUPUESTO!Y87</f>
        <v>0</v>
      </c>
      <c r="Q87" s="107">
        <f>+PRESUPUESTO!Z87</f>
        <v>0</v>
      </c>
    </row>
    <row r="88" spans="1:17" ht="45.75" x14ac:dyDescent="0.25">
      <c r="A88" t="str">
        <f t="shared" si="2"/>
        <v>C</v>
      </c>
      <c r="B88" s="227"/>
      <c r="C88" s="243"/>
      <c r="D88" s="243"/>
      <c r="E88" s="241"/>
      <c r="F88" s="243"/>
      <c r="G88" s="215" t="s">
        <v>437</v>
      </c>
      <c r="H88" s="82" t="s">
        <v>452</v>
      </c>
      <c r="I88" s="108">
        <f t="shared" si="3"/>
        <v>86</v>
      </c>
      <c r="J88" s="107">
        <f>+PRESUPUESTO!S88</f>
        <v>86</v>
      </c>
      <c r="K88" s="107">
        <f>+PRESUPUESTO!T88</f>
        <v>0</v>
      </c>
      <c r="L88" s="107">
        <f>+PRESUPUESTO!U88</f>
        <v>0</v>
      </c>
      <c r="M88" s="107">
        <f>+PRESUPUESTO!V88</f>
        <v>0</v>
      </c>
      <c r="N88" s="107">
        <f>+PRESUPUESTO!W88</f>
        <v>0</v>
      </c>
      <c r="O88" s="107">
        <f>+PRESUPUESTO!X88</f>
        <v>0</v>
      </c>
      <c r="P88" s="107">
        <f>+PRESUPUESTO!Y88</f>
        <v>0</v>
      </c>
      <c r="Q88" s="107">
        <f>+PRESUPUESTO!Z88</f>
        <v>0</v>
      </c>
    </row>
    <row r="89" spans="1:17" ht="34.5" x14ac:dyDescent="0.25">
      <c r="A89" t="str">
        <f t="shared" si="2"/>
        <v>C</v>
      </c>
      <c r="B89" s="227"/>
      <c r="C89" s="243"/>
      <c r="D89" s="243"/>
      <c r="E89" s="241"/>
      <c r="F89" s="243"/>
      <c r="G89" s="215" t="s">
        <v>440</v>
      </c>
      <c r="H89" s="82" t="s">
        <v>455</v>
      </c>
      <c r="I89" s="108">
        <f t="shared" si="3"/>
        <v>86</v>
      </c>
      <c r="J89" s="107">
        <f>+PRESUPUESTO!S89</f>
        <v>86</v>
      </c>
      <c r="K89" s="107">
        <f>+PRESUPUESTO!T89</f>
        <v>0</v>
      </c>
      <c r="L89" s="107">
        <f>+PRESUPUESTO!U89</f>
        <v>0</v>
      </c>
      <c r="M89" s="107">
        <f>+PRESUPUESTO!V89</f>
        <v>0</v>
      </c>
      <c r="N89" s="107">
        <f>+PRESUPUESTO!W89</f>
        <v>0</v>
      </c>
      <c r="O89" s="107">
        <f>+PRESUPUESTO!X89</f>
        <v>0</v>
      </c>
      <c r="P89" s="107">
        <f>+PRESUPUESTO!Y89</f>
        <v>0</v>
      </c>
      <c r="Q89" s="107">
        <f>+PRESUPUESTO!Z89</f>
        <v>0</v>
      </c>
    </row>
    <row r="90" spans="1:17" ht="23.25" x14ac:dyDescent="0.25">
      <c r="A90" t="str">
        <f t="shared" si="2"/>
        <v>C</v>
      </c>
      <c r="B90" s="227"/>
      <c r="C90" s="243"/>
      <c r="D90" s="243"/>
      <c r="E90" s="241"/>
      <c r="F90" s="243"/>
      <c r="G90" s="215" t="s">
        <v>441</v>
      </c>
      <c r="H90" s="82" t="s">
        <v>458</v>
      </c>
      <c r="I90" s="108">
        <f t="shared" si="3"/>
        <v>120</v>
      </c>
      <c r="J90" s="107">
        <f>+PRESUPUESTO!S90</f>
        <v>120</v>
      </c>
      <c r="K90" s="107">
        <f>+PRESUPUESTO!T90</f>
        <v>0</v>
      </c>
      <c r="L90" s="107">
        <f>+PRESUPUESTO!U90</f>
        <v>0</v>
      </c>
      <c r="M90" s="107">
        <f>+PRESUPUESTO!V90</f>
        <v>0</v>
      </c>
      <c r="N90" s="107">
        <f>+PRESUPUESTO!W90</f>
        <v>0</v>
      </c>
      <c r="O90" s="107">
        <f>+PRESUPUESTO!X90</f>
        <v>0</v>
      </c>
      <c r="P90" s="107">
        <f>+PRESUPUESTO!Y90</f>
        <v>0</v>
      </c>
      <c r="Q90" s="107">
        <f>+PRESUPUESTO!Z90</f>
        <v>0</v>
      </c>
    </row>
    <row r="91" spans="1:17" ht="23.25" x14ac:dyDescent="0.25">
      <c r="A91" t="str">
        <f t="shared" si="2"/>
        <v>C</v>
      </c>
      <c r="B91" s="227"/>
      <c r="C91" s="243"/>
      <c r="D91" s="243"/>
      <c r="E91" s="241"/>
      <c r="F91" s="243"/>
      <c r="G91" s="215" t="s">
        <v>448</v>
      </c>
      <c r="H91" s="82" t="s">
        <v>461</v>
      </c>
      <c r="I91" s="108">
        <f t="shared" si="3"/>
        <v>90</v>
      </c>
      <c r="J91" s="107">
        <f>+PRESUPUESTO!S91</f>
        <v>90</v>
      </c>
      <c r="K91" s="107">
        <f>+PRESUPUESTO!T91</f>
        <v>0</v>
      </c>
      <c r="L91" s="107">
        <f>+PRESUPUESTO!U91</f>
        <v>0</v>
      </c>
      <c r="M91" s="107">
        <f>+PRESUPUESTO!V91</f>
        <v>0</v>
      </c>
      <c r="N91" s="107">
        <f>+PRESUPUESTO!W91</f>
        <v>0</v>
      </c>
      <c r="O91" s="107">
        <f>+PRESUPUESTO!X91</f>
        <v>0</v>
      </c>
      <c r="P91" s="107">
        <f>+PRESUPUESTO!Y91</f>
        <v>0</v>
      </c>
      <c r="Q91" s="107">
        <f>+PRESUPUESTO!Z91</f>
        <v>0</v>
      </c>
    </row>
    <row r="92" spans="1:17" ht="28.5" customHeight="1" x14ac:dyDescent="0.25">
      <c r="A92" t="str">
        <f t="shared" si="2"/>
        <v>C</v>
      </c>
      <c r="B92" s="227"/>
      <c r="C92" s="243"/>
      <c r="D92" s="243"/>
      <c r="E92" s="240" t="s">
        <v>705</v>
      </c>
      <c r="F92" s="242" t="s">
        <v>191</v>
      </c>
      <c r="G92" s="215" t="s">
        <v>451</v>
      </c>
      <c r="H92" s="89" t="s">
        <v>191</v>
      </c>
      <c r="I92" s="108">
        <f t="shared" si="3"/>
        <v>1804.935103</v>
      </c>
      <c r="J92" s="107">
        <f>+PRESUPUESTO!S92</f>
        <v>1804.935103</v>
      </c>
      <c r="K92" s="107">
        <f>+PRESUPUESTO!T92</f>
        <v>0</v>
      </c>
      <c r="L92" s="107">
        <f>+PRESUPUESTO!U92</f>
        <v>0</v>
      </c>
      <c r="M92" s="107">
        <f>+PRESUPUESTO!V92</f>
        <v>0</v>
      </c>
      <c r="N92" s="107">
        <f>+PRESUPUESTO!W92</f>
        <v>0</v>
      </c>
      <c r="O92" s="107">
        <f>+PRESUPUESTO!X92</f>
        <v>0</v>
      </c>
      <c r="P92" s="107">
        <f>+PRESUPUESTO!Y92</f>
        <v>0</v>
      </c>
      <c r="Q92" s="107">
        <f>+PRESUPUESTO!Z92</f>
        <v>0</v>
      </c>
    </row>
    <row r="93" spans="1:17" ht="38.25" customHeight="1" x14ac:dyDescent="0.25">
      <c r="A93" t="str">
        <f t="shared" si="2"/>
        <v>I</v>
      </c>
      <c r="B93" s="227"/>
      <c r="C93" s="243"/>
      <c r="D93" s="243"/>
      <c r="E93" s="244"/>
      <c r="F93" s="245"/>
      <c r="G93" s="162" t="s">
        <v>60</v>
      </c>
      <c r="H93" s="85" t="s">
        <v>466</v>
      </c>
      <c r="I93" s="108">
        <f t="shared" si="3"/>
        <v>600</v>
      </c>
      <c r="J93" s="107">
        <f>+PRESUPUESTO!S93</f>
        <v>0</v>
      </c>
      <c r="K93" s="107">
        <f>+PRESUPUESTO!T93</f>
        <v>0</v>
      </c>
      <c r="L93" s="107">
        <f>+PRESUPUESTO!U93</f>
        <v>300</v>
      </c>
      <c r="M93" s="107">
        <f>+PRESUPUESTO!V93</f>
        <v>300</v>
      </c>
      <c r="N93" s="107">
        <f>+PRESUPUESTO!W93</f>
        <v>0</v>
      </c>
      <c r="O93" s="107">
        <f>+PRESUPUESTO!X93</f>
        <v>0</v>
      </c>
      <c r="P93" s="107">
        <f>+PRESUPUESTO!Y93</f>
        <v>0</v>
      </c>
      <c r="Q93" s="107">
        <f>+PRESUPUESTO!Z93</f>
        <v>0</v>
      </c>
    </row>
    <row r="94" spans="1:17" ht="24" x14ac:dyDescent="0.25">
      <c r="A94" t="str">
        <f t="shared" si="2"/>
        <v>C</v>
      </c>
      <c r="B94" s="227"/>
      <c r="C94" s="243"/>
      <c r="D94" s="243"/>
      <c r="E94" s="240" t="s">
        <v>444</v>
      </c>
      <c r="F94" s="242" t="s">
        <v>192</v>
      </c>
      <c r="G94" s="162" t="s">
        <v>454</v>
      </c>
      <c r="H94" s="89" t="s">
        <v>468</v>
      </c>
      <c r="I94" s="108">
        <f t="shared" si="3"/>
        <v>534</v>
      </c>
      <c r="J94" s="107">
        <f>+PRESUPUESTO!S94</f>
        <v>534</v>
      </c>
      <c r="K94" s="107">
        <f>+PRESUPUESTO!T94</f>
        <v>0</v>
      </c>
      <c r="L94" s="107">
        <f>+PRESUPUESTO!U94</f>
        <v>0</v>
      </c>
      <c r="M94" s="107">
        <f>+PRESUPUESTO!V94</f>
        <v>0</v>
      </c>
      <c r="N94" s="107">
        <f>+PRESUPUESTO!W94</f>
        <v>0</v>
      </c>
      <c r="O94" s="107">
        <f>+PRESUPUESTO!X94</f>
        <v>0</v>
      </c>
      <c r="P94" s="107">
        <f>+PRESUPUESTO!Y94</f>
        <v>0</v>
      </c>
      <c r="Q94" s="107">
        <f>+PRESUPUESTO!Z94</f>
        <v>0</v>
      </c>
    </row>
    <row r="95" spans="1:17" ht="23.25" x14ac:dyDescent="0.25">
      <c r="A95" t="str">
        <f t="shared" si="2"/>
        <v>I</v>
      </c>
      <c r="B95" s="227"/>
      <c r="C95" s="243"/>
      <c r="D95" s="245"/>
      <c r="E95" s="244"/>
      <c r="F95" s="245"/>
      <c r="G95" s="162" t="s">
        <v>61</v>
      </c>
      <c r="H95" s="62" t="s">
        <v>470</v>
      </c>
      <c r="I95" s="108">
        <f t="shared" si="3"/>
        <v>560.69999999999993</v>
      </c>
      <c r="J95" s="107">
        <f>+PRESUPUESTO!S95</f>
        <v>0</v>
      </c>
      <c r="K95" s="107">
        <f>+PRESUPUESTO!T95</f>
        <v>0</v>
      </c>
      <c r="L95" s="107">
        <f>+PRESUPUESTO!U95</f>
        <v>0</v>
      </c>
      <c r="M95" s="107">
        <f>+PRESUPUESTO!V95</f>
        <v>0</v>
      </c>
      <c r="N95" s="107">
        <f>+PRESUPUESTO!W95</f>
        <v>0</v>
      </c>
      <c r="O95" s="107">
        <f>+PRESUPUESTO!X95</f>
        <v>560.69999999999993</v>
      </c>
      <c r="P95" s="107">
        <f>+PRESUPUESTO!Y95</f>
        <v>0</v>
      </c>
      <c r="Q95" s="107">
        <f>+PRESUPUESTO!Z95</f>
        <v>0</v>
      </c>
    </row>
    <row r="96" spans="1:17" ht="45.75" x14ac:dyDescent="0.25">
      <c r="A96" t="str">
        <f t="shared" si="2"/>
        <v>C</v>
      </c>
      <c r="B96" s="227"/>
      <c r="C96" s="243"/>
      <c r="D96" s="242" t="s">
        <v>194</v>
      </c>
      <c r="E96" s="240" t="s">
        <v>446</v>
      </c>
      <c r="F96" s="242" t="s">
        <v>193</v>
      </c>
      <c r="G96" s="162" t="s">
        <v>457</v>
      </c>
      <c r="H96" s="82" t="s">
        <v>472</v>
      </c>
      <c r="I96" s="108">
        <f t="shared" si="3"/>
        <v>360</v>
      </c>
      <c r="J96" s="107">
        <f>+PRESUPUESTO!S96</f>
        <v>0</v>
      </c>
      <c r="K96" s="107">
        <f>+PRESUPUESTO!T96</f>
        <v>180</v>
      </c>
      <c r="L96" s="107">
        <f>+PRESUPUESTO!U96</f>
        <v>180</v>
      </c>
      <c r="M96" s="107">
        <f>+PRESUPUESTO!V96</f>
        <v>0</v>
      </c>
      <c r="N96" s="107">
        <f>+PRESUPUESTO!W96</f>
        <v>0</v>
      </c>
      <c r="O96" s="107">
        <f>+PRESUPUESTO!X96</f>
        <v>0</v>
      </c>
      <c r="P96" s="107">
        <f>+PRESUPUESTO!Y96</f>
        <v>0</v>
      </c>
      <c r="Q96" s="107">
        <f>+PRESUPUESTO!Z96</f>
        <v>0</v>
      </c>
    </row>
    <row r="97" spans="1:17" ht="34.5" x14ac:dyDescent="0.25">
      <c r="A97" t="str">
        <f t="shared" si="2"/>
        <v>C</v>
      </c>
      <c r="B97" s="227"/>
      <c r="C97" s="243"/>
      <c r="D97" s="243"/>
      <c r="E97" s="241"/>
      <c r="F97" s="243"/>
      <c r="G97" s="215" t="s">
        <v>460</v>
      </c>
      <c r="H97" s="82" t="s">
        <v>475</v>
      </c>
      <c r="I97" s="108">
        <f t="shared" si="3"/>
        <v>600</v>
      </c>
      <c r="J97" s="107">
        <f>+PRESUPUESTO!S97</f>
        <v>0</v>
      </c>
      <c r="K97" s="107">
        <f>+PRESUPUESTO!T97</f>
        <v>300</v>
      </c>
      <c r="L97" s="107">
        <f>+PRESUPUESTO!U97</f>
        <v>300</v>
      </c>
      <c r="M97" s="107">
        <f>+PRESUPUESTO!V97</f>
        <v>0</v>
      </c>
      <c r="N97" s="107">
        <f>+PRESUPUESTO!W97</f>
        <v>0</v>
      </c>
      <c r="O97" s="107">
        <f>+PRESUPUESTO!X97</f>
        <v>0</v>
      </c>
      <c r="P97" s="107">
        <f>+PRESUPUESTO!Y97</f>
        <v>0</v>
      </c>
      <c r="Q97" s="107">
        <f>+PRESUPUESTO!Z97</f>
        <v>0</v>
      </c>
    </row>
    <row r="98" spans="1:17" ht="23.25" x14ac:dyDescent="0.25">
      <c r="A98" t="str">
        <f t="shared" si="2"/>
        <v>C</v>
      </c>
      <c r="B98" s="227"/>
      <c r="C98" s="243"/>
      <c r="D98" s="243"/>
      <c r="E98" s="241"/>
      <c r="F98" s="243"/>
      <c r="G98" s="215" t="s">
        <v>463</v>
      </c>
      <c r="H98" s="82" t="s">
        <v>477</v>
      </c>
      <c r="I98" s="108">
        <f t="shared" si="3"/>
        <v>220</v>
      </c>
      <c r="J98" s="107">
        <f>+PRESUPUESTO!S98</f>
        <v>0</v>
      </c>
      <c r="K98" s="107">
        <f>+PRESUPUESTO!T98</f>
        <v>0</v>
      </c>
      <c r="L98" s="107">
        <f>+PRESUPUESTO!U98</f>
        <v>110</v>
      </c>
      <c r="M98" s="107">
        <f>+PRESUPUESTO!V98</f>
        <v>110</v>
      </c>
      <c r="N98" s="107">
        <f>+PRESUPUESTO!W98</f>
        <v>0</v>
      </c>
      <c r="O98" s="107">
        <f>+PRESUPUESTO!X98</f>
        <v>0</v>
      </c>
      <c r="P98" s="107">
        <f>+PRESUPUESTO!Y98</f>
        <v>0</v>
      </c>
      <c r="Q98" s="107">
        <f>+PRESUPUESTO!Z98</f>
        <v>0</v>
      </c>
    </row>
    <row r="99" spans="1:17" ht="23.25" x14ac:dyDescent="0.25">
      <c r="A99" t="str">
        <f t="shared" si="2"/>
        <v>C</v>
      </c>
      <c r="B99" s="227"/>
      <c r="C99" s="243"/>
      <c r="D99" s="243"/>
      <c r="E99" s="241"/>
      <c r="F99" s="243"/>
      <c r="G99" s="215" t="s">
        <v>465</v>
      </c>
      <c r="H99" s="82" t="s">
        <v>479</v>
      </c>
      <c r="I99" s="108">
        <f t="shared" si="3"/>
        <v>220</v>
      </c>
      <c r="J99" s="107">
        <f>+PRESUPUESTO!S99</f>
        <v>0</v>
      </c>
      <c r="K99" s="107">
        <f>+PRESUPUESTO!T99</f>
        <v>0</v>
      </c>
      <c r="L99" s="107">
        <f>+PRESUPUESTO!U99</f>
        <v>110</v>
      </c>
      <c r="M99" s="107">
        <f>+PRESUPUESTO!V99</f>
        <v>110</v>
      </c>
      <c r="N99" s="107">
        <f>+PRESUPUESTO!W99</f>
        <v>0</v>
      </c>
      <c r="O99" s="107">
        <f>+PRESUPUESTO!X99</f>
        <v>0</v>
      </c>
      <c r="P99" s="107">
        <f>+PRESUPUESTO!Y99</f>
        <v>0</v>
      </c>
      <c r="Q99" s="107">
        <f>+PRESUPUESTO!Z99</f>
        <v>0</v>
      </c>
    </row>
    <row r="100" spans="1:17" ht="23.25" x14ac:dyDescent="0.25">
      <c r="A100" t="str">
        <f t="shared" si="2"/>
        <v>C</v>
      </c>
      <c r="B100" s="227"/>
      <c r="C100" s="243"/>
      <c r="D100" s="243"/>
      <c r="E100" s="241"/>
      <c r="F100" s="243"/>
      <c r="G100" s="215" t="s">
        <v>467</v>
      </c>
      <c r="H100" s="82" t="s">
        <v>481</v>
      </c>
      <c r="I100" s="108">
        <f t="shared" si="3"/>
        <v>220</v>
      </c>
      <c r="J100" s="107">
        <f>+PRESUPUESTO!S100</f>
        <v>0</v>
      </c>
      <c r="K100" s="107">
        <f>+PRESUPUESTO!T100</f>
        <v>0</v>
      </c>
      <c r="L100" s="107">
        <f>+PRESUPUESTO!U100</f>
        <v>110</v>
      </c>
      <c r="M100" s="107">
        <f>+PRESUPUESTO!V100</f>
        <v>110</v>
      </c>
      <c r="N100" s="107">
        <f>+PRESUPUESTO!W100</f>
        <v>0</v>
      </c>
      <c r="O100" s="107">
        <f>+PRESUPUESTO!X100</f>
        <v>0</v>
      </c>
      <c r="P100" s="107">
        <f>+PRESUPUESTO!Y100</f>
        <v>0</v>
      </c>
      <c r="Q100" s="107">
        <f>+PRESUPUESTO!Z100</f>
        <v>0</v>
      </c>
    </row>
    <row r="101" spans="1:17" ht="23.25" x14ac:dyDescent="0.25">
      <c r="A101" t="str">
        <f t="shared" si="2"/>
        <v>I</v>
      </c>
      <c r="B101" s="227"/>
      <c r="C101" s="245"/>
      <c r="D101" s="243"/>
      <c r="E101" s="240" t="s">
        <v>709</v>
      </c>
      <c r="F101" s="242" t="s">
        <v>195</v>
      </c>
      <c r="G101" s="162" t="s">
        <v>62</v>
      </c>
      <c r="H101" s="62" t="s">
        <v>484</v>
      </c>
      <c r="I101" s="108">
        <f t="shared" si="3"/>
        <v>230</v>
      </c>
      <c r="J101" s="107">
        <f>+PRESUPUESTO!S101</f>
        <v>0</v>
      </c>
      <c r="K101" s="107">
        <f>+PRESUPUESTO!T101</f>
        <v>115</v>
      </c>
      <c r="L101" s="107">
        <f>+PRESUPUESTO!U101</f>
        <v>115</v>
      </c>
      <c r="M101" s="107">
        <f>+PRESUPUESTO!V101</f>
        <v>0</v>
      </c>
      <c r="N101" s="107">
        <f>+PRESUPUESTO!W101</f>
        <v>0</v>
      </c>
      <c r="O101" s="107">
        <f>+PRESUPUESTO!X101</f>
        <v>0</v>
      </c>
      <c r="P101" s="107">
        <f>+PRESUPUESTO!Y101</f>
        <v>0</v>
      </c>
      <c r="Q101" s="107">
        <f>+PRESUPUESTO!Z101</f>
        <v>0</v>
      </c>
    </row>
    <row r="102" spans="1:17" ht="23.25" x14ac:dyDescent="0.25">
      <c r="A102" t="str">
        <f t="shared" si="2"/>
        <v>I</v>
      </c>
      <c r="B102" s="227"/>
      <c r="C102" s="161"/>
      <c r="D102" s="243"/>
      <c r="E102" s="241"/>
      <c r="F102" s="243"/>
      <c r="G102" s="162" t="s">
        <v>63</v>
      </c>
      <c r="H102" s="62" t="s">
        <v>485</v>
      </c>
      <c r="I102" s="108">
        <f t="shared" si="3"/>
        <v>230</v>
      </c>
      <c r="J102" s="107">
        <f>+PRESUPUESTO!S102</f>
        <v>0</v>
      </c>
      <c r="K102" s="107">
        <f>+PRESUPUESTO!T102</f>
        <v>0</v>
      </c>
      <c r="L102" s="107">
        <f>+PRESUPUESTO!U102</f>
        <v>0</v>
      </c>
      <c r="M102" s="107">
        <f>+PRESUPUESTO!V102</f>
        <v>0</v>
      </c>
      <c r="N102" s="107">
        <f>+PRESUPUESTO!W102</f>
        <v>0</v>
      </c>
      <c r="O102" s="107">
        <f>+PRESUPUESTO!X102</f>
        <v>230</v>
      </c>
      <c r="P102" s="107">
        <f>+PRESUPUESTO!Y102</f>
        <v>0</v>
      </c>
      <c r="Q102" s="107">
        <f>+PRESUPUESTO!Z102</f>
        <v>0</v>
      </c>
    </row>
    <row r="103" spans="1:17" ht="23.25" x14ac:dyDescent="0.25">
      <c r="A103" t="str">
        <f t="shared" si="2"/>
        <v>I</v>
      </c>
      <c r="B103" s="227"/>
      <c r="C103" s="161"/>
      <c r="D103" s="243"/>
      <c r="E103" s="241"/>
      <c r="F103" s="243"/>
      <c r="G103" s="162" t="s">
        <v>64</v>
      </c>
      <c r="H103" s="62" t="s">
        <v>486</v>
      </c>
      <c r="I103" s="108">
        <f t="shared" si="3"/>
        <v>230</v>
      </c>
      <c r="J103" s="107">
        <f>+PRESUPUESTO!S103</f>
        <v>0</v>
      </c>
      <c r="K103" s="107">
        <f>+PRESUPUESTO!T103</f>
        <v>0</v>
      </c>
      <c r="L103" s="107">
        <f>+PRESUPUESTO!U103</f>
        <v>0</v>
      </c>
      <c r="M103" s="107">
        <f>+PRESUPUESTO!V103</f>
        <v>0</v>
      </c>
      <c r="N103" s="107">
        <f>+PRESUPUESTO!W103</f>
        <v>0</v>
      </c>
      <c r="O103" s="107">
        <f>+PRESUPUESTO!X103</f>
        <v>230</v>
      </c>
      <c r="P103" s="107">
        <f>+PRESUPUESTO!Y103</f>
        <v>0</v>
      </c>
      <c r="Q103" s="107">
        <f>+PRESUPUESTO!Z103</f>
        <v>0</v>
      </c>
    </row>
    <row r="104" spans="1:17" ht="23.25" x14ac:dyDescent="0.25">
      <c r="A104" t="str">
        <f t="shared" si="2"/>
        <v>I</v>
      </c>
      <c r="B104" s="227"/>
      <c r="C104" s="161"/>
      <c r="D104" s="245"/>
      <c r="E104" s="244"/>
      <c r="F104" s="245"/>
      <c r="G104" s="162" t="s">
        <v>65</v>
      </c>
      <c r="H104" s="62" t="s">
        <v>487</v>
      </c>
      <c r="I104" s="108">
        <f t="shared" si="3"/>
        <v>230</v>
      </c>
      <c r="J104" s="107">
        <f>+PRESUPUESTO!S104</f>
        <v>0</v>
      </c>
      <c r="K104" s="107">
        <f>+PRESUPUESTO!T104</f>
        <v>0</v>
      </c>
      <c r="L104" s="107">
        <f>+PRESUPUESTO!U104</f>
        <v>0</v>
      </c>
      <c r="M104" s="107">
        <f>+PRESUPUESTO!V104</f>
        <v>0</v>
      </c>
      <c r="N104" s="107">
        <f>+PRESUPUESTO!W104</f>
        <v>0</v>
      </c>
      <c r="O104" s="107">
        <f>+PRESUPUESTO!X104</f>
        <v>230</v>
      </c>
      <c r="P104" s="107">
        <f>+PRESUPUESTO!Y104</f>
        <v>0</v>
      </c>
      <c r="Q104" s="107">
        <f>+PRESUPUESTO!Z104</f>
        <v>0</v>
      </c>
    </row>
    <row r="105" spans="1:17" ht="72" x14ac:dyDescent="0.25">
      <c r="A105" t="str">
        <f t="shared" si="2"/>
        <v>I</v>
      </c>
      <c r="B105" s="227"/>
      <c r="C105" s="242" t="s">
        <v>488</v>
      </c>
      <c r="D105" s="162" t="s">
        <v>197</v>
      </c>
      <c r="E105" s="83" t="s">
        <v>710</v>
      </c>
      <c r="F105" s="162" t="s">
        <v>196</v>
      </c>
      <c r="G105" s="162" t="s">
        <v>66</v>
      </c>
      <c r="H105" s="85" t="s">
        <v>196</v>
      </c>
      <c r="I105" s="108">
        <f t="shared" si="3"/>
        <v>500</v>
      </c>
      <c r="J105" s="107">
        <f>+PRESUPUESTO!S105</f>
        <v>0</v>
      </c>
      <c r="K105" s="107">
        <f>+PRESUPUESTO!T105</f>
        <v>0</v>
      </c>
      <c r="L105" s="107">
        <f>+PRESUPUESTO!U105</f>
        <v>0</v>
      </c>
      <c r="M105" s="107">
        <f>+PRESUPUESTO!V105</f>
        <v>0</v>
      </c>
      <c r="N105" s="107">
        <f>+PRESUPUESTO!W105</f>
        <v>0</v>
      </c>
      <c r="O105" s="107">
        <f>+PRESUPUESTO!X105</f>
        <v>500</v>
      </c>
      <c r="P105" s="107">
        <f>+PRESUPUESTO!Y105</f>
        <v>0</v>
      </c>
      <c r="Q105" s="107">
        <f>+PRESUPUESTO!Z105</f>
        <v>0</v>
      </c>
    </row>
    <row r="106" spans="1:17" ht="84" x14ac:dyDescent="0.25">
      <c r="A106" t="str">
        <f t="shared" si="2"/>
        <v>I</v>
      </c>
      <c r="B106" s="227"/>
      <c r="C106" s="245"/>
      <c r="D106" s="162" t="s">
        <v>200</v>
      </c>
      <c r="E106" s="83" t="s">
        <v>730</v>
      </c>
      <c r="F106" s="162" t="s">
        <v>199</v>
      </c>
      <c r="G106" s="162" t="s">
        <v>67</v>
      </c>
      <c r="H106" s="85" t="s">
        <v>199</v>
      </c>
      <c r="I106" s="108">
        <f t="shared" si="3"/>
        <v>0</v>
      </c>
      <c r="J106" s="107">
        <f>+PRESUPUESTO!S106</f>
        <v>0</v>
      </c>
      <c r="K106" s="107">
        <f>+PRESUPUESTO!T106</f>
        <v>0</v>
      </c>
      <c r="L106" s="107">
        <f>+PRESUPUESTO!U106</f>
        <v>0</v>
      </c>
      <c r="M106" s="107">
        <f>+PRESUPUESTO!V106</f>
        <v>0</v>
      </c>
      <c r="N106" s="107">
        <f>+PRESUPUESTO!W106</f>
        <v>0</v>
      </c>
      <c r="O106" s="107">
        <f>+PRESUPUESTO!X106</f>
        <v>0</v>
      </c>
      <c r="P106" s="107">
        <f>+PRESUPUESTO!Y106</f>
        <v>0</v>
      </c>
      <c r="Q106" s="107">
        <f>+PRESUPUESTO!Z106</f>
        <v>0</v>
      </c>
    </row>
    <row r="107" spans="1:17" ht="60" x14ac:dyDescent="0.25">
      <c r="A107" t="str">
        <f t="shared" si="2"/>
        <v>I</v>
      </c>
      <c r="B107" s="227"/>
      <c r="C107" s="242" t="s">
        <v>203</v>
      </c>
      <c r="D107" s="242" t="s">
        <v>202</v>
      </c>
      <c r="E107" s="83" t="s">
        <v>483</v>
      </c>
      <c r="F107" s="162" t="s">
        <v>201</v>
      </c>
      <c r="G107" s="162" t="s">
        <v>68</v>
      </c>
      <c r="H107" s="85" t="s">
        <v>201</v>
      </c>
      <c r="I107" s="108">
        <f t="shared" si="3"/>
        <v>198.91665</v>
      </c>
      <c r="J107" s="107">
        <f>+PRESUPUESTO!S107</f>
        <v>0</v>
      </c>
      <c r="K107" s="107">
        <f>+PRESUPUESTO!T107</f>
        <v>0</v>
      </c>
      <c r="L107" s="107">
        <f>+PRESUPUESTO!U107</f>
        <v>0</v>
      </c>
      <c r="M107" s="107">
        <f>+PRESUPUESTO!V107</f>
        <v>0</v>
      </c>
      <c r="N107" s="107">
        <f>+PRESUPUESTO!W107</f>
        <v>0</v>
      </c>
      <c r="O107" s="107">
        <f>+PRESUPUESTO!X107</f>
        <v>198.91665</v>
      </c>
      <c r="P107" s="107">
        <f>+PRESUPUESTO!Y107</f>
        <v>0</v>
      </c>
      <c r="Q107" s="107">
        <f>+PRESUPUESTO!Z107</f>
        <v>0</v>
      </c>
    </row>
    <row r="108" spans="1:17" ht="60" x14ac:dyDescent="0.25">
      <c r="A108" t="str">
        <f t="shared" si="2"/>
        <v>I</v>
      </c>
      <c r="B108" s="228"/>
      <c r="C108" s="245"/>
      <c r="D108" s="245"/>
      <c r="E108" s="83" t="s">
        <v>489</v>
      </c>
      <c r="F108" s="90" t="s">
        <v>204</v>
      </c>
      <c r="G108" s="162" t="s">
        <v>69</v>
      </c>
      <c r="H108" s="91" t="s">
        <v>204</v>
      </c>
      <c r="I108" s="108">
        <f t="shared" si="3"/>
        <v>198.91665</v>
      </c>
      <c r="J108" s="107">
        <f>+PRESUPUESTO!S108</f>
        <v>0</v>
      </c>
      <c r="K108" s="107">
        <f>+PRESUPUESTO!T108</f>
        <v>198.91665</v>
      </c>
      <c r="L108" s="107">
        <f>+PRESUPUESTO!U108</f>
        <v>0</v>
      </c>
      <c r="M108" s="107">
        <f>+PRESUPUESTO!V108</f>
        <v>0</v>
      </c>
      <c r="N108" s="107">
        <f>+PRESUPUESTO!W108</f>
        <v>0</v>
      </c>
      <c r="O108" s="107">
        <f>+PRESUPUESTO!X108</f>
        <v>0</v>
      </c>
      <c r="P108" s="107">
        <f>+PRESUPUESTO!Y108</f>
        <v>0</v>
      </c>
      <c r="Q108" s="107">
        <f>+PRESUPUESTO!Z108</f>
        <v>0</v>
      </c>
    </row>
    <row r="109" spans="1:17" ht="60" x14ac:dyDescent="0.25">
      <c r="A109" t="str">
        <f t="shared" si="2"/>
        <v>I</v>
      </c>
      <c r="B109" s="226" t="s">
        <v>494</v>
      </c>
      <c r="C109" s="246" t="s">
        <v>495</v>
      </c>
      <c r="D109" s="246" t="s">
        <v>206</v>
      </c>
      <c r="E109" s="92" t="s">
        <v>490</v>
      </c>
      <c r="F109" s="93" t="s">
        <v>205</v>
      </c>
      <c r="G109" s="93" t="s">
        <v>70</v>
      </c>
      <c r="H109" s="85" t="s">
        <v>205</v>
      </c>
      <c r="I109" s="108">
        <f t="shared" si="3"/>
        <v>356.43330000000003</v>
      </c>
      <c r="J109" s="107">
        <f>+PRESUPUESTO!S109</f>
        <v>0</v>
      </c>
      <c r="K109" s="107">
        <f>+PRESUPUESTO!T109</f>
        <v>178.21665000000002</v>
      </c>
      <c r="L109" s="107">
        <f>+PRESUPUESTO!U109</f>
        <v>178.21665000000002</v>
      </c>
      <c r="M109" s="107">
        <f>+PRESUPUESTO!V109</f>
        <v>0</v>
      </c>
      <c r="N109" s="107">
        <f>+PRESUPUESTO!W109</f>
        <v>0</v>
      </c>
      <c r="O109" s="107">
        <f>+PRESUPUESTO!X109</f>
        <v>0</v>
      </c>
      <c r="P109" s="107">
        <f>+PRESUPUESTO!Y109</f>
        <v>0</v>
      </c>
      <c r="Q109" s="107">
        <f>+PRESUPUESTO!Z109</f>
        <v>0</v>
      </c>
    </row>
    <row r="110" spans="1:17" ht="21" customHeight="1" x14ac:dyDescent="0.25">
      <c r="A110" t="str">
        <f t="shared" si="2"/>
        <v>I</v>
      </c>
      <c r="B110" s="227"/>
      <c r="C110" s="247"/>
      <c r="D110" s="248"/>
      <c r="E110" s="214" t="s">
        <v>491</v>
      </c>
      <c r="F110" s="213" t="s">
        <v>822</v>
      </c>
      <c r="G110" s="93" t="s">
        <v>71</v>
      </c>
      <c r="H110" s="88" t="s">
        <v>821</v>
      </c>
      <c r="I110" s="108">
        <f t="shared" si="3"/>
        <v>600</v>
      </c>
      <c r="J110" s="107">
        <f>+PRESUPUESTO!S110</f>
        <v>0</v>
      </c>
      <c r="K110" s="107">
        <f>+PRESUPUESTO!T110</f>
        <v>0</v>
      </c>
      <c r="L110" s="107">
        <f>+PRESUPUESTO!U110</f>
        <v>0</v>
      </c>
      <c r="M110" s="107">
        <f>+PRESUPUESTO!V110</f>
        <v>0</v>
      </c>
      <c r="N110" s="107">
        <f>+PRESUPUESTO!W110</f>
        <v>0</v>
      </c>
      <c r="O110" s="107">
        <f>+PRESUPUESTO!X110</f>
        <v>600</v>
      </c>
      <c r="P110" s="107">
        <f>+PRESUPUESTO!Y110</f>
        <v>0</v>
      </c>
      <c r="Q110" s="107">
        <f>+PRESUPUESTO!Z110</f>
        <v>0</v>
      </c>
    </row>
    <row r="111" spans="1:17" ht="48" x14ac:dyDescent="0.25">
      <c r="A111" t="str">
        <f t="shared" si="2"/>
        <v>I</v>
      </c>
      <c r="B111" s="227"/>
      <c r="C111" s="247"/>
      <c r="D111" s="246" t="s">
        <v>210</v>
      </c>
      <c r="E111" s="92" t="s">
        <v>492</v>
      </c>
      <c r="F111" s="93" t="s">
        <v>209</v>
      </c>
      <c r="G111" s="93" t="s">
        <v>72</v>
      </c>
      <c r="H111" s="62" t="s">
        <v>503</v>
      </c>
      <c r="I111" s="108">
        <f t="shared" si="3"/>
        <v>329.72</v>
      </c>
      <c r="J111" s="107">
        <f>+PRESUPUESTO!S111</f>
        <v>0</v>
      </c>
      <c r="K111" s="107">
        <f>+PRESUPUESTO!T111</f>
        <v>0</v>
      </c>
      <c r="L111" s="107">
        <f>+PRESUPUESTO!U111</f>
        <v>329.72</v>
      </c>
      <c r="M111" s="107">
        <f>+PRESUPUESTO!V111</f>
        <v>0</v>
      </c>
      <c r="N111" s="107">
        <f>+PRESUPUESTO!W111</f>
        <v>0</v>
      </c>
      <c r="O111" s="107">
        <f>+PRESUPUESTO!X111</f>
        <v>0</v>
      </c>
      <c r="P111" s="107">
        <f>+PRESUPUESTO!Y111</f>
        <v>0</v>
      </c>
      <c r="Q111" s="107">
        <f>+PRESUPUESTO!Z111</f>
        <v>0</v>
      </c>
    </row>
    <row r="112" spans="1:17" ht="48" x14ac:dyDescent="0.25">
      <c r="A112" t="str">
        <f t="shared" si="2"/>
        <v>I</v>
      </c>
      <c r="B112" s="227"/>
      <c r="C112" s="248"/>
      <c r="D112" s="248"/>
      <c r="E112" s="92" t="s">
        <v>496</v>
      </c>
      <c r="F112" s="95" t="s">
        <v>211</v>
      </c>
      <c r="G112" s="93" t="s">
        <v>73</v>
      </c>
      <c r="H112" s="91" t="s">
        <v>211</v>
      </c>
      <c r="I112" s="108">
        <f t="shared" si="3"/>
        <v>0</v>
      </c>
      <c r="J112" s="107">
        <f>+PRESUPUESTO!S112</f>
        <v>0</v>
      </c>
      <c r="K112" s="107">
        <f>+PRESUPUESTO!T112</f>
        <v>0</v>
      </c>
      <c r="L112" s="107">
        <f>+PRESUPUESTO!U112</f>
        <v>0</v>
      </c>
      <c r="M112" s="107">
        <f>+PRESUPUESTO!V112</f>
        <v>0</v>
      </c>
      <c r="N112" s="107">
        <f>+PRESUPUESTO!W112</f>
        <v>0</v>
      </c>
      <c r="O112" s="107">
        <f>+PRESUPUESTO!X112</f>
        <v>0</v>
      </c>
      <c r="P112" s="107">
        <f>+PRESUPUESTO!Y112</f>
        <v>0</v>
      </c>
      <c r="Q112" s="107">
        <f>+PRESUPUESTO!Z112</f>
        <v>0</v>
      </c>
    </row>
    <row r="113" spans="1:17" ht="72" x14ac:dyDescent="0.25">
      <c r="A113" t="str">
        <f t="shared" si="2"/>
        <v>I</v>
      </c>
      <c r="B113" s="227"/>
      <c r="C113" s="93" t="s">
        <v>215</v>
      </c>
      <c r="D113" s="93" t="s">
        <v>214</v>
      </c>
      <c r="E113" s="92" t="s">
        <v>498</v>
      </c>
      <c r="F113" s="93" t="s">
        <v>213</v>
      </c>
      <c r="G113" s="93" t="s">
        <v>74</v>
      </c>
      <c r="H113" s="85" t="s">
        <v>213</v>
      </c>
      <c r="I113" s="108">
        <f t="shared" si="3"/>
        <v>283.52400000000006</v>
      </c>
      <c r="J113" s="107">
        <f>+PRESUPUESTO!S113</f>
        <v>0</v>
      </c>
      <c r="K113" s="107">
        <f>+PRESUPUESTO!T113</f>
        <v>0</v>
      </c>
      <c r="L113" s="107">
        <f>+PRESUPUESTO!U113</f>
        <v>0</v>
      </c>
      <c r="M113" s="107">
        <f>+PRESUPUESTO!V113</f>
        <v>0</v>
      </c>
      <c r="N113" s="107">
        <f>+PRESUPUESTO!W113</f>
        <v>0</v>
      </c>
      <c r="O113" s="107">
        <f>+PRESUPUESTO!X113</f>
        <v>283.52400000000006</v>
      </c>
      <c r="P113" s="107">
        <f>+PRESUPUESTO!Y113</f>
        <v>0</v>
      </c>
      <c r="Q113" s="107">
        <f>+PRESUPUESTO!Z113</f>
        <v>0</v>
      </c>
    </row>
    <row r="114" spans="1:17" ht="48" x14ac:dyDescent="0.25">
      <c r="A114" t="str">
        <f t="shared" si="2"/>
        <v>I</v>
      </c>
      <c r="B114" s="227"/>
      <c r="C114" s="246" t="s">
        <v>135</v>
      </c>
      <c r="D114" s="246" t="s">
        <v>216</v>
      </c>
      <c r="E114" s="92" t="s">
        <v>501</v>
      </c>
      <c r="F114" s="93" t="s">
        <v>509</v>
      </c>
      <c r="G114" s="93" t="s">
        <v>75</v>
      </c>
      <c r="H114" s="62" t="s">
        <v>511</v>
      </c>
      <c r="I114" s="108">
        <f t="shared" si="3"/>
        <v>240</v>
      </c>
      <c r="J114" s="107">
        <f>+PRESUPUESTO!S114</f>
        <v>0</v>
      </c>
      <c r="K114" s="107">
        <f>+PRESUPUESTO!T114</f>
        <v>0</v>
      </c>
      <c r="L114" s="107">
        <f>+PRESUPUESTO!U114</f>
        <v>0</v>
      </c>
      <c r="M114" s="107">
        <f>+PRESUPUESTO!V114</f>
        <v>0</v>
      </c>
      <c r="N114" s="107">
        <f>+PRESUPUESTO!W114</f>
        <v>0</v>
      </c>
      <c r="O114" s="107">
        <f>+PRESUPUESTO!X114</f>
        <v>240</v>
      </c>
      <c r="P114" s="107">
        <f>+PRESUPUESTO!Y114</f>
        <v>0</v>
      </c>
      <c r="Q114" s="107">
        <f>+PRESUPUESTO!Z114</f>
        <v>0</v>
      </c>
    </row>
    <row r="115" spans="1:17" ht="60" x14ac:dyDescent="0.25">
      <c r="A115" t="str">
        <f t="shared" si="2"/>
        <v>I</v>
      </c>
      <c r="B115" s="228"/>
      <c r="C115" s="248"/>
      <c r="D115" s="248"/>
      <c r="E115" s="92" t="s">
        <v>504</v>
      </c>
      <c r="F115" s="93" t="s">
        <v>218</v>
      </c>
      <c r="G115" s="93" t="s">
        <v>715</v>
      </c>
      <c r="H115" s="85" t="s">
        <v>218</v>
      </c>
      <c r="I115" s="108">
        <f t="shared" si="3"/>
        <v>0</v>
      </c>
      <c r="J115" s="107">
        <f>+PRESUPUESTO!S115</f>
        <v>0</v>
      </c>
      <c r="K115" s="107">
        <f>+PRESUPUESTO!T115</f>
        <v>0</v>
      </c>
      <c r="L115" s="107">
        <f>+PRESUPUESTO!U115</f>
        <v>0</v>
      </c>
      <c r="M115" s="107">
        <f>+PRESUPUESTO!V115</f>
        <v>0</v>
      </c>
      <c r="N115" s="107">
        <f>+PRESUPUESTO!W115</f>
        <v>0</v>
      </c>
      <c r="O115" s="107">
        <f>+PRESUPUESTO!X115</f>
        <v>0</v>
      </c>
      <c r="P115" s="107">
        <f>+PRESUPUESTO!Y115</f>
        <v>0</v>
      </c>
      <c r="Q115" s="107">
        <f>+PRESUPUESTO!Z115</f>
        <v>0</v>
      </c>
    </row>
    <row r="116" spans="1:17" ht="48" x14ac:dyDescent="0.25">
      <c r="A116" t="str">
        <f t="shared" si="2"/>
        <v>I</v>
      </c>
      <c r="B116" s="226" t="s">
        <v>514</v>
      </c>
      <c r="C116" s="237" t="s">
        <v>221</v>
      </c>
      <c r="D116" s="237" t="s">
        <v>220</v>
      </c>
      <c r="E116" s="96" t="s">
        <v>506</v>
      </c>
      <c r="F116" s="97" t="s">
        <v>219</v>
      </c>
      <c r="G116" s="97" t="s">
        <v>716</v>
      </c>
      <c r="H116" s="85" t="s">
        <v>219</v>
      </c>
      <c r="I116" s="108">
        <f t="shared" si="3"/>
        <v>452.2</v>
      </c>
      <c r="J116" s="107">
        <f>+PRESUPUESTO!S116</f>
        <v>0</v>
      </c>
      <c r="K116" s="107">
        <f>+PRESUPUESTO!T116</f>
        <v>226.1</v>
      </c>
      <c r="L116" s="107">
        <f>+PRESUPUESTO!U116</f>
        <v>226.1</v>
      </c>
      <c r="M116" s="107">
        <f>+PRESUPUESTO!V116</f>
        <v>0</v>
      </c>
      <c r="N116" s="107">
        <f>+PRESUPUESTO!W116</f>
        <v>0</v>
      </c>
      <c r="O116" s="107">
        <f>+PRESUPUESTO!X116</f>
        <v>0</v>
      </c>
      <c r="P116" s="107">
        <f>+PRESUPUESTO!Y116</f>
        <v>0</v>
      </c>
      <c r="Q116" s="107">
        <f>+PRESUPUESTO!Z116</f>
        <v>0</v>
      </c>
    </row>
    <row r="117" spans="1:17" ht="48" x14ac:dyDescent="0.25">
      <c r="A117" t="str">
        <f t="shared" si="2"/>
        <v>I</v>
      </c>
      <c r="B117" s="227"/>
      <c r="C117" s="238"/>
      <c r="D117" s="238"/>
      <c r="E117" s="96" t="s">
        <v>508</v>
      </c>
      <c r="F117" s="97" t="s">
        <v>223</v>
      </c>
      <c r="G117" s="97" t="s">
        <v>717</v>
      </c>
      <c r="H117" s="85" t="s">
        <v>223</v>
      </c>
      <c r="I117" s="108">
        <f t="shared" si="3"/>
        <v>266</v>
      </c>
      <c r="J117" s="107">
        <f>+PRESUPUESTO!S117</f>
        <v>0</v>
      </c>
      <c r="K117" s="107">
        <f>+PRESUPUESTO!T117</f>
        <v>0</v>
      </c>
      <c r="L117" s="107">
        <f>+PRESUPUESTO!U117</f>
        <v>0</v>
      </c>
      <c r="M117" s="107">
        <f>+PRESUPUESTO!V117</f>
        <v>0</v>
      </c>
      <c r="N117" s="107">
        <f>+PRESUPUESTO!W117</f>
        <v>0</v>
      </c>
      <c r="O117" s="107">
        <f>+PRESUPUESTO!X117</f>
        <v>266</v>
      </c>
      <c r="P117" s="107">
        <f>+PRESUPUESTO!Y117</f>
        <v>0</v>
      </c>
      <c r="Q117" s="107">
        <f>+PRESUPUESTO!Z117</f>
        <v>0</v>
      </c>
    </row>
    <row r="118" spans="1:17" ht="48" x14ac:dyDescent="0.25">
      <c r="A118" t="str">
        <f t="shared" si="2"/>
        <v>I</v>
      </c>
      <c r="B118" s="227"/>
      <c r="C118" s="238"/>
      <c r="D118" s="239"/>
      <c r="E118" s="96" t="s">
        <v>512</v>
      </c>
      <c r="F118" s="97" t="s">
        <v>224</v>
      </c>
      <c r="G118" s="97" t="s">
        <v>493</v>
      </c>
      <c r="H118" s="85" t="s">
        <v>224</v>
      </c>
      <c r="I118" s="108">
        <f t="shared" si="3"/>
        <v>452.2</v>
      </c>
      <c r="J118" s="107">
        <f>+PRESUPUESTO!S118</f>
        <v>0</v>
      </c>
      <c r="K118" s="107">
        <f>+PRESUPUESTO!T118</f>
        <v>0</v>
      </c>
      <c r="L118" s="107">
        <f>+PRESUPUESTO!U118</f>
        <v>0</v>
      </c>
      <c r="M118" s="107">
        <f>+PRESUPUESTO!V118</f>
        <v>0</v>
      </c>
      <c r="N118" s="107">
        <f>+PRESUPUESTO!W118</f>
        <v>0</v>
      </c>
      <c r="O118" s="107">
        <f>+PRESUPUESTO!X118</f>
        <v>452.2</v>
      </c>
      <c r="P118" s="107">
        <f>+PRESUPUESTO!Y118</f>
        <v>0</v>
      </c>
      <c r="Q118" s="107">
        <f>+PRESUPUESTO!Z118</f>
        <v>0</v>
      </c>
    </row>
    <row r="119" spans="1:17" ht="60" x14ac:dyDescent="0.25">
      <c r="A119" t="str">
        <f t="shared" si="2"/>
        <v>I</v>
      </c>
      <c r="B119" s="228"/>
      <c r="C119" s="239"/>
      <c r="D119" s="97" t="s">
        <v>226</v>
      </c>
      <c r="E119" s="96" t="s">
        <v>515</v>
      </c>
      <c r="F119" s="97" t="s">
        <v>225</v>
      </c>
      <c r="G119" s="97" t="s">
        <v>497</v>
      </c>
      <c r="H119" s="85" t="s">
        <v>225</v>
      </c>
      <c r="I119" s="108">
        <f t="shared" si="3"/>
        <v>0</v>
      </c>
      <c r="J119" s="107">
        <f>+PRESUPUESTO!S119</f>
        <v>0</v>
      </c>
      <c r="K119" s="107">
        <f>+PRESUPUESTO!T119</f>
        <v>0</v>
      </c>
      <c r="L119" s="107">
        <f>+PRESUPUESTO!U119</f>
        <v>0</v>
      </c>
      <c r="M119" s="107">
        <f>+PRESUPUESTO!V119</f>
        <v>0</v>
      </c>
      <c r="N119" s="107">
        <f>+PRESUPUESTO!W119</f>
        <v>0</v>
      </c>
      <c r="O119" s="107">
        <f>+PRESUPUESTO!X119</f>
        <v>0</v>
      </c>
      <c r="P119" s="107">
        <f>+PRESUPUESTO!Y119</f>
        <v>0</v>
      </c>
      <c r="Q119" s="107">
        <f>+PRESUPUESTO!Z119</f>
        <v>0</v>
      </c>
    </row>
    <row r="120" spans="1:17" x14ac:dyDescent="0.25">
      <c r="A120" t="str">
        <f t="shared" si="2"/>
        <v>I</v>
      </c>
      <c r="B120" s="226" t="s">
        <v>523</v>
      </c>
      <c r="C120" s="223" t="s">
        <v>524</v>
      </c>
      <c r="D120" s="223" t="s">
        <v>228</v>
      </c>
      <c r="E120" s="220" t="s">
        <v>517</v>
      </c>
      <c r="F120" s="223" t="s">
        <v>227</v>
      </c>
      <c r="G120" s="98" t="s">
        <v>499</v>
      </c>
      <c r="H120" s="62" t="s">
        <v>526</v>
      </c>
      <c r="I120" s="108">
        <f t="shared" si="3"/>
        <v>245.07600000000002</v>
      </c>
      <c r="J120" s="107">
        <f>+PRESUPUESTO!S120</f>
        <v>0</v>
      </c>
      <c r="K120" s="107">
        <f>+PRESUPUESTO!T120</f>
        <v>0</v>
      </c>
      <c r="L120" s="107">
        <f>+PRESUPUESTO!U120</f>
        <v>0</v>
      </c>
      <c r="M120" s="107">
        <f>+PRESUPUESTO!V120</f>
        <v>0</v>
      </c>
      <c r="N120" s="107">
        <f>+PRESUPUESTO!W120</f>
        <v>0</v>
      </c>
      <c r="O120" s="107">
        <f>+PRESUPUESTO!X120</f>
        <v>245.07600000000002</v>
      </c>
      <c r="P120" s="107">
        <f>+PRESUPUESTO!Y120</f>
        <v>0</v>
      </c>
      <c r="Q120" s="107">
        <f>+PRESUPUESTO!Z120</f>
        <v>0</v>
      </c>
    </row>
    <row r="121" spans="1:17" x14ac:dyDescent="0.25">
      <c r="A121" t="str">
        <f t="shared" si="2"/>
        <v>I</v>
      </c>
      <c r="B121" s="227"/>
      <c r="C121" s="224"/>
      <c r="D121" s="224"/>
      <c r="E121" s="221"/>
      <c r="F121" s="224"/>
      <c r="G121" s="98" t="s">
        <v>502</v>
      </c>
      <c r="H121" s="62" t="s">
        <v>528</v>
      </c>
      <c r="I121" s="108">
        <f t="shared" si="3"/>
        <v>321.97200000000004</v>
      </c>
      <c r="J121" s="107">
        <f>+PRESUPUESTO!S121</f>
        <v>0</v>
      </c>
      <c r="K121" s="107">
        <f>+PRESUPUESTO!T121</f>
        <v>0</v>
      </c>
      <c r="L121" s="107">
        <f>+PRESUPUESTO!U121</f>
        <v>0</v>
      </c>
      <c r="M121" s="107">
        <f>+PRESUPUESTO!V121</f>
        <v>0</v>
      </c>
      <c r="N121" s="107">
        <f>+PRESUPUESTO!W121</f>
        <v>0</v>
      </c>
      <c r="O121" s="107">
        <f>+PRESUPUESTO!X121</f>
        <v>321.97200000000004</v>
      </c>
      <c r="P121" s="107">
        <f>+PRESUPUESTO!Y121</f>
        <v>0</v>
      </c>
      <c r="Q121" s="107">
        <f>+PRESUPUESTO!Z121</f>
        <v>0</v>
      </c>
    </row>
    <row r="122" spans="1:17" x14ac:dyDescent="0.25">
      <c r="A122" t="str">
        <f t="shared" si="2"/>
        <v>I</v>
      </c>
      <c r="B122" s="227"/>
      <c r="C122" s="224"/>
      <c r="D122" s="224"/>
      <c r="E122" s="221"/>
      <c r="F122" s="224"/>
      <c r="G122" s="98" t="s">
        <v>505</v>
      </c>
      <c r="H122" s="62" t="s">
        <v>530</v>
      </c>
      <c r="I122" s="108">
        <f t="shared" si="3"/>
        <v>245.07600000000002</v>
      </c>
      <c r="J122" s="107">
        <f>+PRESUPUESTO!S122</f>
        <v>122.53800000000001</v>
      </c>
      <c r="K122" s="107">
        <f>+PRESUPUESTO!T122</f>
        <v>122.53800000000001</v>
      </c>
      <c r="L122" s="107">
        <f>+PRESUPUESTO!U122</f>
        <v>0</v>
      </c>
      <c r="M122" s="107">
        <f>+PRESUPUESTO!V122</f>
        <v>0</v>
      </c>
      <c r="N122" s="107">
        <f>+PRESUPUESTO!W122</f>
        <v>0</v>
      </c>
      <c r="O122" s="107">
        <f>+PRESUPUESTO!X122</f>
        <v>0</v>
      </c>
      <c r="P122" s="107">
        <f>+PRESUPUESTO!Y122</f>
        <v>0</v>
      </c>
      <c r="Q122" s="107">
        <f>+PRESUPUESTO!Z122</f>
        <v>0</v>
      </c>
    </row>
    <row r="123" spans="1:17" x14ac:dyDescent="0.25">
      <c r="A123" t="str">
        <f t="shared" si="2"/>
        <v>I</v>
      </c>
      <c r="B123" s="227"/>
      <c r="C123" s="224"/>
      <c r="D123" s="224"/>
      <c r="E123" s="222"/>
      <c r="F123" s="225"/>
      <c r="G123" s="98" t="s">
        <v>507</v>
      </c>
      <c r="H123" s="62" t="s">
        <v>532</v>
      </c>
      <c r="I123" s="108">
        <f t="shared" si="3"/>
        <v>245.07600000000002</v>
      </c>
      <c r="J123" s="107">
        <f>+PRESUPUESTO!S123</f>
        <v>0</v>
      </c>
      <c r="K123" s="107">
        <f>+PRESUPUESTO!T123</f>
        <v>0</v>
      </c>
      <c r="L123" s="107">
        <f>+PRESUPUESTO!U123</f>
        <v>0</v>
      </c>
      <c r="M123" s="107">
        <f>+PRESUPUESTO!V123</f>
        <v>0</v>
      </c>
      <c r="N123" s="107">
        <f>+PRESUPUESTO!W123</f>
        <v>0</v>
      </c>
      <c r="O123" s="107">
        <f>+PRESUPUESTO!X123</f>
        <v>245.07600000000002</v>
      </c>
      <c r="P123" s="107">
        <f>+PRESUPUESTO!Y123</f>
        <v>0</v>
      </c>
      <c r="Q123" s="107">
        <f>+PRESUPUESTO!Z123</f>
        <v>0</v>
      </c>
    </row>
    <row r="124" spans="1:17" ht="48" x14ac:dyDescent="0.25">
      <c r="A124" t="str">
        <f t="shared" si="2"/>
        <v>I</v>
      </c>
      <c r="B124" s="227"/>
      <c r="C124" s="224"/>
      <c r="D124" s="224"/>
      <c r="E124" s="99" t="s">
        <v>519</v>
      </c>
      <c r="F124" s="98" t="s">
        <v>230</v>
      </c>
      <c r="G124" s="98" t="s">
        <v>510</v>
      </c>
      <c r="H124" s="62" t="s">
        <v>534</v>
      </c>
      <c r="I124" s="108">
        <f t="shared" si="3"/>
        <v>245.07600000000002</v>
      </c>
      <c r="J124" s="107">
        <f>+PRESUPUESTO!S124</f>
        <v>0</v>
      </c>
      <c r="K124" s="107">
        <f>+PRESUPUESTO!T124</f>
        <v>0</v>
      </c>
      <c r="L124" s="107">
        <f>+PRESUPUESTO!U124</f>
        <v>245.07600000000002</v>
      </c>
      <c r="M124" s="107">
        <f>+PRESUPUESTO!V124</f>
        <v>0</v>
      </c>
      <c r="N124" s="107">
        <f>+PRESUPUESTO!W124</f>
        <v>0</v>
      </c>
      <c r="O124" s="107">
        <f>+PRESUPUESTO!X124</f>
        <v>0</v>
      </c>
      <c r="P124" s="107">
        <f>+PRESUPUESTO!Y124</f>
        <v>0</v>
      </c>
      <c r="Q124" s="107">
        <f>+PRESUPUESTO!Z124</f>
        <v>0</v>
      </c>
    </row>
    <row r="125" spans="1:17" ht="36" x14ac:dyDescent="0.25">
      <c r="A125" t="str">
        <f t="shared" si="2"/>
        <v>I</v>
      </c>
      <c r="B125" s="228"/>
      <c r="C125" s="225"/>
      <c r="D125" s="225"/>
      <c r="E125" s="99" t="s">
        <v>521</v>
      </c>
      <c r="F125" s="98" t="s">
        <v>231</v>
      </c>
      <c r="G125" s="98" t="s">
        <v>513</v>
      </c>
      <c r="H125" s="62" t="s">
        <v>536</v>
      </c>
      <c r="I125" s="108">
        <f t="shared" si="3"/>
        <v>245.07600000000002</v>
      </c>
      <c r="J125" s="107">
        <f>+PRESUPUESTO!S125</f>
        <v>0</v>
      </c>
      <c r="K125" s="107">
        <f>+PRESUPUESTO!T125</f>
        <v>0</v>
      </c>
      <c r="L125" s="107">
        <f>+PRESUPUESTO!U125</f>
        <v>0</v>
      </c>
      <c r="M125" s="107">
        <f>+PRESUPUESTO!V125</f>
        <v>122.53800000000001</v>
      </c>
      <c r="N125" s="107">
        <f>+PRESUPUESTO!W125</f>
        <v>122.53800000000001</v>
      </c>
      <c r="O125" s="107">
        <f>+PRESUPUESTO!X125</f>
        <v>0</v>
      </c>
      <c r="P125" s="107">
        <f>+PRESUPUESTO!Y125</f>
        <v>0</v>
      </c>
      <c r="Q125" s="107">
        <f>+PRESUPUESTO!Z125</f>
        <v>0</v>
      </c>
    </row>
    <row r="126" spans="1:17" ht="24" x14ac:dyDescent="0.25">
      <c r="A126" t="str">
        <f t="shared" si="2"/>
        <v>I</v>
      </c>
      <c r="B126" s="226" t="s">
        <v>537</v>
      </c>
      <c r="C126" s="229" t="s">
        <v>538</v>
      </c>
      <c r="D126" s="229" t="s">
        <v>233</v>
      </c>
      <c r="E126" s="100" t="s">
        <v>539</v>
      </c>
      <c r="F126" s="164" t="s">
        <v>232</v>
      </c>
      <c r="G126" s="164" t="s">
        <v>516</v>
      </c>
      <c r="H126" s="102" t="s">
        <v>232</v>
      </c>
      <c r="I126" s="108">
        <f t="shared" si="3"/>
        <v>30</v>
      </c>
      <c r="J126" s="107">
        <f>+PRESUPUESTO!S126</f>
        <v>6</v>
      </c>
      <c r="K126" s="107">
        <f>+PRESUPUESTO!T126</f>
        <v>6</v>
      </c>
      <c r="L126" s="107">
        <f>+PRESUPUESTO!U126</f>
        <v>6</v>
      </c>
      <c r="M126" s="107">
        <f>+PRESUPUESTO!V126</f>
        <v>6</v>
      </c>
      <c r="N126" s="107">
        <f>+PRESUPUESTO!W126</f>
        <v>6</v>
      </c>
      <c r="O126" s="107">
        <f>+PRESUPUESTO!X126</f>
        <v>0</v>
      </c>
      <c r="P126" s="107">
        <f>+PRESUPUESTO!Y126</f>
        <v>0</v>
      </c>
      <c r="Q126" s="107">
        <f>+PRESUPUESTO!Z126</f>
        <v>0</v>
      </c>
    </row>
    <row r="127" spans="1:17" ht="36" x14ac:dyDescent="0.25">
      <c r="A127" t="str">
        <f t="shared" si="2"/>
        <v>I</v>
      </c>
      <c r="B127" s="227"/>
      <c r="C127" s="230"/>
      <c r="D127" s="230"/>
      <c r="E127" s="100" t="s">
        <v>541</v>
      </c>
      <c r="F127" s="164" t="s">
        <v>235</v>
      </c>
      <c r="G127" s="164" t="s">
        <v>518</v>
      </c>
      <c r="H127" s="102" t="s">
        <v>235</v>
      </c>
      <c r="I127" s="108">
        <f t="shared" si="3"/>
        <v>0</v>
      </c>
      <c r="J127" s="107">
        <f>+PRESUPUESTO!S127</f>
        <v>0</v>
      </c>
      <c r="K127" s="107">
        <f>+PRESUPUESTO!T127</f>
        <v>0</v>
      </c>
      <c r="L127" s="107">
        <f>+PRESUPUESTO!U127</f>
        <v>0</v>
      </c>
      <c r="M127" s="107">
        <f>+PRESUPUESTO!V127</f>
        <v>0</v>
      </c>
      <c r="N127" s="107">
        <f>+PRESUPUESTO!W127</f>
        <v>0</v>
      </c>
      <c r="O127" s="107">
        <f>+PRESUPUESTO!X127</f>
        <v>0</v>
      </c>
      <c r="P127" s="107">
        <f>+PRESUPUESTO!Y127</f>
        <v>0</v>
      </c>
      <c r="Q127" s="107">
        <f>+PRESUPUESTO!Z127</f>
        <v>0</v>
      </c>
    </row>
    <row r="128" spans="1:17" ht="48" x14ac:dyDescent="0.25">
      <c r="A128" t="str">
        <f t="shared" si="2"/>
        <v>I</v>
      </c>
      <c r="B128" s="227"/>
      <c r="C128" s="231"/>
      <c r="D128" s="231"/>
      <c r="E128" s="100" t="s">
        <v>543</v>
      </c>
      <c r="F128" s="164" t="s">
        <v>236</v>
      </c>
      <c r="G128" s="164" t="s">
        <v>520</v>
      </c>
      <c r="H128" s="102" t="s">
        <v>236</v>
      </c>
      <c r="I128" s="108">
        <f t="shared" si="3"/>
        <v>50</v>
      </c>
      <c r="J128" s="107">
        <f>+PRESUPUESTO!S128</f>
        <v>10</v>
      </c>
      <c r="K128" s="107">
        <f>+PRESUPUESTO!T128</f>
        <v>10</v>
      </c>
      <c r="L128" s="107">
        <f>+PRESUPUESTO!U128</f>
        <v>10</v>
      </c>
      <c r="M128" s="107">
        <f>+PRESUPUESTO!V128</f>
        <v>10</v>
      </c>
      <c r="N128" s="107">
        <f>+PRESUPUESTO!W128</f>
        <v>10</v>
      </c>
      <c r="O128" s="107">
        <f>+PRESUPUESTO!X128</f>
        <v>0</v>
      </c>
      <c r="P128" s="107">
        <f>+PRESUPUESTO!Y128</f>
        <v>0</v>
      </c>
      <c r="Q128" s="107">
        <f>+PRESUPUESTO!Z128</f>
        <v>0</v>
      </c>
    </row>
    <row r="129" spans="1:17" ht="108" x14ac:dyDescent="0.25">
      <c r="A129" t="str">
        <f t="shared" si="2"/>
        <v>I</v>
      </c>
      <c r="B129" s="227"/>
      <c r="C129" s="164" t="s">
        <v>238</v>
      </c>
      <c r="D129" s="164" t="s">
        <v>237</v>
      </c>
      <c r="E129" s="100" t="s">
        <v>545</v>
      </c>
      <c r="F129" s="164" t="s">
        <v>239</v>
      </c>
      <c r="G129" s="164" t="s">
        <v>522</v>
      </c>
      <c r="H129" s="102" t="s">
        <v>239</v>
      </c>
      <c r="I129" s="108">
        <f t="shared" si="3"/>
        <v>135</v>
      </c>
      <c r="J129" s="107">
        <f>+PRESUPUESTO!S129</f>
        <v>27</v>
      </c>
      <c r="K129" s="107">
        <f>+PRESUPUESTO!T129</f>
        <v>27</v>
      </c>
      <c r="L129" s="107">
        <f>+PRESUPUESTO!U129</f>
        <v>27</v>
      </c>
      <c r="M129" s="107">
        <f>+PRESUPUESTO!V129</f>
        <v>27</v>
      </c>
      <c r="N129" s="107">
        <f>+PRESUPUESTO!W129</f>
        <v>27</v>
      </c>
      <c r="O129" s="107">
        <f>+PRESUPUESTO!X129</f>
        <v>0</v>
      </c>
      <c r="P129" s="107">
        <f>+PRESUPUESTO!Y129</f>
        <v>0</v>
      </c>
      <c r="Q129" s="107">
        <f>+PRESUPUESTO!Z129</f>
        <v>0</v>
      </c>
    </row>
    <row r="130" spans="1:17" ht="48" x14ac:dyDescent="0.25">
      <c r="A130" t="str">
        <f t="shared" si="2"/>
        <v>I</v>
      </c>
      <c r="B130" s="227"/>
      <c r="C130" s="229" t="s">
        <v>241</v>
      </c>
      <c r="D130" s="232" t="s">
        <v>240</v>
      </c>
      <c r="E130" s="100" t="s">
        <v>547</v>
      </c>
      <c r="F130" s="164" t="s">
        <v>548</v>
      </c>
      <c r="G130" s="164" t="s">
        <v>525</v>
      </c>
      <c r="H130" s="102" t="s">
        <v>548</v>
      </c>
      <c r="I130" s="108">
        <f t="shared" si="3"/>
        <v>1417.98</v>
      </c>
      <c r="J130" s="107">
        <f>+PRESUPUESTO!S130</f>
        <v>283.596</v>
      </c>
      <c r="K130" s="107">
        <f>+PRESUPUESTO!T130</f>
        <v>283.596</v>
      </c>
      <c r="L130" s="107">
        <f>+PRESUPUESTO!U130</f>
        <v>283.596</v>
      </c>
      <c r="M130" s="107">
        <f>+PRESUPUESTO!V130</f>
        <v>283.596</v>
      </c>
      <c r="N130" s="107">
        <f>+PRESUPUESTO!W130</f>
        <v>283.596</v>
      </c>
      <c r="O130" s="107">
        <f>+PRESUPUESTO!X130</f>
        <v>0</v>
      </c>
      <c r="P130" s="107">
        <f>+PRESUPUESTO!Y130</f>
        <v>0</v>
      </c>
      <c r="Q130" s="107">
        <f>+PRESUPUESTO!Z130</f>
        <v>0</v>
      </c>
    </row>
    <row r="131" spans="1:17" ht="72" x14ac:dyDescent="0.25">
      <c r="A131" t="str">
        <f t="shared" si="2"/>
        <v>I</v>
      </c>
      <c r="B131" s="227"/>
      <c r="C131" s="230"/>
      <c r="D131" s="232"/>
      <c r="E131" s="100" t="s">
        <v>550</v>
      </c>
      <c r="F131" s="164" t="s">
        <v>243</v>
      </c>
      <c r="G131" s="164" t="s">
        <v>527</v>
      </c>
      <c r="H131" s="102" t="s">
        <v>243</v>
      </c>
      <c r="I131" s="108">
        <f t="shared" si="3"/>
        <v>146.39999999999998</v>
      </c>
      <c r="J131" s="107">
        <f>+PRESUPUESTO!S131</f>
        <v>29.279999999999998</v>
      </c>
      <c r="K131" s="107">
        <f>+PRESUPUESTO!T131</f>
        <v>29.279999999999998</v>
      </c>
      <c r="L131" s="107">
        <f>+PRESUPUESTO!U131</f>
        <v>29.279999999999998</v>
      </c>
      <c r="M131" s="107">
        <f>+PRESUPUESTO!V131</f>
        <v>29.279999999999998</v>
      </c>
      <c r="N131" s="107">
        <f>+PRESUPUESTO!W131</f>
        <v>29.279999999999998</v>
      </c>
      <c r="O131" s="107">
        <f>+PRESUPUESTO!X131</f>
        <v>0</v>
      </c>
      <c r="P131" s="107">
        <f>+PRESUPUESTO!Y131</f>
        <v>0</v>
      </c>
      <c r="Q131" s="107">
        <f>+PRESUPUESTO!Z131</f>
        <v>0</v>
      </c>
    </row>
    <row r="132" spans="1:17" ht="72" x14ac:dyDescent="0.25">
      <c r="A132" t="str">
        <f t="shared" si="2"/>
        <v>I</v>
      </c>
      <c r="B132" s="227"/>
      <c r="C132" s="230"/>
      <c r="D132" s="164" t="s">
        <v>244</v>
      </c>
      <c r="E132" s="100" t="s">
        <v>552</v>
      </c>
      <c r="F132" s="164" t="s">
        <v>245</v>
      </c>
      <c r="G132" s="164" t="s">
        <v>529</v>
      </c>
      <c r="H132" s="102" t="s">
        <v>245</v>
      </c>
      <c r="I132" s="108">
        <f t="shared" si="3"/>
        <v>0</v>
      </c>
      <c r="J132" s="107">
        <f>+PRESUPUESTO!S132</f>
        <v>0</v>
      </c>
      <c r="K132" s="107">
        <f>+PRESUPUESTO!T132</f>
        <v>0</v>
      </c>
      <c r="L132" s="107">
        <f>+PRESUPUESTO!U132</f>
        <v>0</v>
      </c>
      <c r="M132" s="107">
        <f>+PRESUPUESTO!V132</f>
        <v>0</v>
      </c>
      <c r="N132" s="107">
        <f>+PRESUPUESTO!W132</f>
        <v>0</v>
      </c>
      <c r="O132" s="107">
        <f>+PRESUPUESTO!X132</f>
        <v>0</v>
      </c>
      <c r="P132" s="107">
        <f>+PRESUPUESTO!Y132</f>
        <v>0</v>
      </c>
      <c r="Q132" s="107">
        <f>+PRESUPUESTO!Z132</f>
        <v>0</v>
      </c>
    </row>
    <row r="133" spans="1:17" ht="84" x14ac:dyDescent="0.25">
      <c r="A133" t="str">
        <f t="shared" si="2"/>
        <v>I</v>
      </c>
      <c r="B133" s="227"/>
      <c r="C133" s="231"/>
      <c r="D133" s="164" t="s">
        <v>246</v>
      </c>
      <c r="E133" s="100" t="s">
        <v>553</v>
      </c>
      <c r="F133" s="164" t="s">
        <v>247</v>
      </c>
      <c r="G133" s="164" t="s">
        <v>531</v>
      </c>
      <c r="H133" s="102" t="s">
        <v>247</v>
      </c>
      <c r="I133" s="108">
        <f t="shared" si="3"/>
        <v>300</v>
      </c>
      <c r="J133" s="107">
        <f>+PRESUPUESTO!S133</f>
        <v>0</v>
      </c>
      <c r="K133" s="107">
        <f>+PRESUPUESTO!T133</f>
        <v>300</v>
      </c>
      <c r="L133" s="107">
        <f>+PRESUPUESTO!U133</f>
        <v>0</v>
      </c>
      <c r="M133" s="107">
        <f>+PRESUPUESTO!V133</f>
        <v>0</v>
      </c>
      <c r="N133" s="107">
        <f>+PRESUPUESTO!W133</f>
        <v>0</v>
      </c>
      <c r="O133" s="107">
        <f>+PRESUPUESTO!X133</f>
        <v>0</v>
      </c>
      <c r="P133" s="107">
        <f>+PRESUPUESTO!Y133</f>
        <v>0</v>
      </c>
      <c r="Q133" s="107">
        <f>+PRESUPUESTO!Z133</f>
        <v>0</v>
      </c>
    </row>
    <row r="134" spans="1:17" ht="36" x14ac:dyDescent="0.25">
      <c r="A134" t="str">
        <f t="shared" si="2"/>
        <v>I</v>
      </c>
      <c r="B134" s="227"/>
      <c r="C134" s="229" t="s">
        <v>250</v>
      </c>
      <c r="D134" s="229" t="s">
        <v>249</v>
      </c>
      <c r="E134" s="100" t="s">
        <v>554</v>
      </c>
      <c r="F134" s="164" t="s">
        <v>248</v>
      </c>
      <c r="G134" s="164" t="s">
        <v>533</v>
      </c>
      <c r="H134" s="102" t="s">
        <v>248</v>
      </c>
      <c r="I134" s="108">
        <f t="shared" si="3"/>
        <v>120</v>
      </c>
      <c r="J134" s="107">
        <f>+PRESUPUESTO!S134</f>
        <v>24</v>
      </c>
      <c r="K134" s="107">
        <f>+PRESUPUESTO!T134</f>
        <v>24</v>
      </c>
      <c r="L134" s="107">
        <f>+PRESUPUESTO!U134</f>
        <v>24</v>
      </c>
      <c r="M134" s="107">
        <f>+PRESUPUESTO!V134</f>
        <v>24</v>
      </c>
      <c r="N134" s="107">
        <f>+PRESUPUESTO!W134</f>
        <v>24</v>
      </c>
      <c r="O134" s="107">
        <f>+PRESUPUESTO!X134</f>
        <v>0</v>
      </c>
      <c r="P134" s="107">
        <f>+PRESUPUESTO!Y134</f>
        <v>0</v>
      </c>
      <c r="Q134" s="107">
        <f>+PRESUPUESTO!Z134</f>
        <v>0</v>
      </c>
    </row>
    <row r="135" spans="1:17" ht="72" x14ac:dyDescent="0.25">
      <c r="A135" t="str">
        <f t="shared" ref="A135:A142" si="4">MID(G135,1,1)</f>
        <v>I</v>
      </c>
      <c r="B135" s="227"/>
      <c r="C135" s="230"/>
      <c r="D135" s="230"/>
      <c r="E135" s="100" t="s">
        <v>555</v>
      </c>
      <c r="F135" s="164" t="s">
        <v>556</v>
      </c>
      <c r="G135" s="164" t="s">
        <v>535</v>
      </c>
      <c r="H135" s="102" t="s">
        <v>556</v>
      </c>
      <c r="I135" s="108">
        <f t="shared" ref="I135:I142" si="5">SUM(J135:Q135)</f>
        <v>214.71440000000001</v>
      </c>
      <c r="J135" s="107">
        <f>+PRESUPUESTO!S135</f>
        <v>214.71440000000001</v>
      </c>
      <c r="K135" s="107">
        <f>+PRESUPUESTO!T135</f>
        <v>0</v>
      </c>
      <c r="L135" s="107">
        <f>+PRESUPUESTO!U135</f>
        <v>0</v>
      </c>
      <c r="M135" s="107">
        <f>+PRESUPUESTO!V135</f>
        <v>0</v>
      </c>
      <c r="N135" s="107">
        <f>+PRESUPUESTO!W135</f>
        <v>0</v>
      </c>
      <c r="O135" s="107">
        <f>+PRESUPUESTO!X135</f>
        <v>0</v>
      </c>
      <c r="P135" s="107">
        <f>+PRESUPUESTO!Y135</f>
        <v>0</v>
      </c>
      <c r="Q135" s="107">
        <f>+PRESUPUESTO!Z135</f>
        <v>0</v>
      </c>
    </row>
    <row r="136" spans="1:17" ht="48" x14ac:dyDescent="0.25">
      <c r="A136" t="str">
        <f t="shared" si="4"/>
        <v>I</v>
      </c>
      <c r="B136" s="227"/>
      <c r="C136" s="231"/>
      <c r="D136" s="231"/>
      <c r="E136" s="100" t="s">
        <v>557</v>
      </c>
      <c r="F136" s="164" t="s">
        <v>558</v>
      </c>
      <c r="G136" s="164" t="s">
        <v>540</v>
      </c>
      <c r="H136" s="102" t="s">
        <v>558</v>
      </c>
      <c r="I136" s="108">
        <f t="shared" si="5"/>
        <v>0</v>
      </c>
      <c r="J136" s="107">
        <f>+PRESUPUESTO!S136</f>
        <v>0</v>
      </c>
      <c r="K136" s="107">
        <f>+PRESUPUESTO!T136</f>
        <v>0</v>
      </c>
      <c r="L136" s="107">
        <f>+PRESUPUESTO!U136</f>
        <v>0</v>
      </c>
      <c r="M136" s="107">
        <f>+PRESUPUESTO!V136</f>
        <v>0</v>
      </c>
      <c r="N136" s="107">
        <f>+PRESUPUESTO!W136</f>
        <v>0</v>
      </c>
      <c r="O136" s="107">
        <f>+PRESUPUESTO!X136</f>
        <v>0</v>
      </c>
      <c r="P136" s="107">
        <f>+PRESUPUESTO!Y136</f>
        <v>0</v>
      </c>
      <c r="Q136" s="107">
        <f>+PRESUPUESTO!Z136</f>
        <v>0</v>
      </c>
    </row>
    <row r="137" spans="1:17" ht="36" x14ac:dyDescent="0.25">
      <c r="A137" t="str">
        <f t="shared" si="4"/>
        <v>I</v>
      </c>
      <c r="B137" s="227"/>
      <c r="C137" s="229" t="s">
        <v>256</v>
      </c>
      <c r="D137" s="229" t="s">
        <v>255</v>
      </c>
      <c r="E137" s="100" t="s">
        <v>559</v>
      </c>
      <c r="F137" s="164" t="s">
        <v>254</v>
      </c>
      <c r="G137" s="164" t="s">
        <v>542</v>
      </c>
      <c r="H137" s="102" t="s">
        <v>254</v>
      </c>
      <c r="I137" s="108">
        <f t="shared" si="5"/>
        <v>0</v>
      </c>
      <c r="J137" s="107">
        <f>+PRESUPUESTO!S137</f>
        <v>0</v>
      </c>
      <c r="K137" s="107">
        <f>+PRESUPUESTO!T137</f>
        <v>0</v>
      </c>
      <c r="L137" s="107">
        <f>+PRESUPUESTO!U137</f>
        <v>0</v>
      </c>
      <c r="M137" s="107">
        <f>+PRESUPUESTO!V137</f>
        <v>0</v>
      </c>
      <c r="N137" s="107">
        <f>+PRESUPUESTO!W137</f>
        <v>0</v>
      </c>
      <c r="O137" s="107">
        <f>+PRESUPUESTO!X137</f>
        <v>0</v>
      </c>
      <c r="P137" s="107">
        <f>+PRESUPUESTO!Y137</f>
        <v>0</v>
      </c>
      <c r="Q137" s="107">
        <f>+PRESUPUESTO!Z137</f>
        <v>0</v>
      </c>
    </row>
    <row r="138" spans="1:17" ht="36" x14ac:dyDescent="0.25">
      <c r="A138" t="str">
        <f t="shared" si="4"/>
        <v>I</v>
      </c>
      <c r="B138" s="227"/>
      <c r="C138" s="230"/>
      <c r="D138" s="230"/>
      <c r="E138" s="100" t="s">
        <v>560</v>
      </c>
      <c r="F138" s="164" t="s">
        <v>257</v>
      </c>
      <c r="G138" s="164" t="s">
        <v>544</v>
      </c>
      <c r="H138" s="102" t="s">
        <v>257</v>
      </c>
      <c r="I138" s="108">
        <f t="shared" si="5"/>
        <v>0</v>
      </c>
      <c r="J138" s="107">
        <f>+PRESUPUESTO!S138</f>
        <v>0</v>
      </c>
      <c r="K138" s="107">
        <f>+PRESUPUESTO!T138</f>
        <v>0</v>
      </c>
      <c r="L138" s="107">
        <f>+PRESUPUESTO!U138</f>
        <v>0</v>
      </c>
      <c r="M138" s="107">
        <f>+PRESUPUESTO!V138</f>
        <v>0</v>
      </c>
      <c r="N138" s="107">
        <f>+PRESUPUESTO!W138</f>
        <v>0</v>
      </c>
      <c r="O138" s="107">
        <f>+PRESUPUESTO!X138</f>
        <v>0</v>
      </c>
      <c r="P138" s="107">
        <f>+PRESUPUESTO!Y138</f>
        <v>0</v>
      </c>
      <c r="Q138" s="107">
        <f>+PRESUPUESTO!Z138</f>
        <v>0</v>
      </c>
    </row>
    <row r="139" spans="1:17" ht="72" x14ac:dyDescent="0.25">
      <c r="A139" t="str">
        <f t="shared" si="4"/>
        <v>I</v>
      </c>
      <c r="B139" s="227"/>
      <c r="C139" s="231"/>
      <c r="D139" s="231"/>
      <c r="E139" s="100" t="s">
        <v>561</v>
      </c>
      <c r="F139" s="164" t="s">
        <v>562</v>
      </c>
      <c r="G139" s="164" t="s">
        <v>546</v>
      </c>
      <c r="H139" s="102" t="s">
        <v>562</v>
      </c>
      <c r="I139" s="108">
        <f t="shared" si="5"/>
        <v>60</v>
      </c>
      <c r="J139" s="107">
        <f>+PRESUPUESTO!S139</f>
        <v>12</v>
      </c>
      <c r="K139" s="107">
        <f>+PRESUPUESTO!T139</f>
        <v>12</v>
      </c>
      <c r="L139" s="107">
        <f>+PRESUPUESTO!U139</f>
        <v>12</v>
      </c>
      <c r="M139" s="107">
        <f>+PRESUPUESTO!V139</f>
        <v>12</v>
      </c>
      <c r="N139" s="107">
        <f>+PRESUPUESTO!W139</f>
        <v>12</v>
      </c>
      <c r="O139" s="107">
        <f>+PRESUPUESTO!X139</f>
        <v>0</v>
      </c>
      <c r="P139" s="107">
        <f>+PRESUPUESTO!Y139</f>
        <v>0</v>
      </c>
      <c r="Q139" s="107">
        <f>+PRESUPUESTO!Z139</f>
        <v>0</v>
      </c>
    </row>
    <row r="140" spans="1:17" ht="72" x14ac:dyDescent="0.25">
      <c r="A140" t="str">
        <f t="shared" si="4"/>
        <v>I</v>
      </c>
      <c r="B140" s="227"/>
      <c r="C140" s="229" t="s">
        <v>563</v>
      </c>
      <c r="D140" s="164" t="s">
        <v>259</v>
      </c>
      <c r="E140" s="100" t="s">
        <v>564</v>
      </c>
      <c r="F140" s="164" t="s">
        <v>258</v>
      </c>
      <c r="G140" s="164" t="s">
        <v>549</v>
      </c>
      <c r="H140" s="102" t="s">
        <v>258</v>
      </c>
      <c r="I140" s="108">
        <f t="shared" si="5"/>
        <v>0</v>
      </c>
      <c r="J140" s="107">
        <f>+PRESUPUESTO!S140</f>
        <v>0</v>
      </c>
      <c r="K140" s="107">
        <f>+PRESUPUESTO!T140</f>
        <v>0</v>
      </c>
      <c r="L140" s="107">
        <f>+PRESUPUESTO!U140</f>
        <v>0</v>
      </c>
      <c r="M140" s="107">
        <f>+PRESUPUESTO!V140</f>
        <v>0</v>
      </c>
      <c r="N140" s="107">
        <f>+PRESUPUESTO!W140</f>
        <v>0</v>
      </c>
      <c r="O140" s="107">
        <f>+PRESUPUESTO!X140</f>
        <v>0</v>
      </c>
      <c r="P140" s="107">
        <f>+PRESUPUESTO!Y140</f>
        <v>0</v>
      </c>
      <c r="Q140" s="107">
        <f>+PRESUPUESTO!Z140</f>
        <v>0</v>
      </c>
    </row>
    <row r="141" spans="1:17" ht="24" x14ac:dyDescent="0.25">
      <c r="A141" t="str">
        <f t="shared" si="4"/>
        <v>C</v>
      </c>
      <c r="B141" s="227"/>
      <c r="C141" s="230"/>
      <c r="D141" s="233" t="s">
        <v>261</v>
      </c>
      <c r="E141" s="235" t="s">
        <v>565</v>
      </c>
      <c r="F141" s="233" t="s">
        <v>566</v>
      </c>
      <c r="G141" s="164" t="s">
        <v>471</v>
      </c>
      <c r="H141" s="167" t="s">
        <v>567</v>
      </c>
      <c r="I141" s="108">
        <f t="shared" si="5"/>
        <v>200</v>
      </c>
      <c r="J141" s="107">
        <f>+PRESUPUESTO!S141</f>
        <v>200</v>
      </c>
      <c r="K141" s="107">
        <f>+PRESUPUESTO!T141</f>
        <v>0</v>
      </c>
      <c r="L141" s="107">
        <f>+PRESUPUESTO!U141</f>
        <v>0</v>
      </c>
      <c r="M141" s="107">
        <f>+PRESUPUESTO!V141</f>
        <v>0</v>
      </c>
      <c r="N141" s="107">
        <f>+PRESUPUESTO!W141</f>
        <v>0</v>
      </c>
      <c r="O141" s="107">
        <f>+PRESUPUESTO!X141</f>
        <v>0</v>
      </c>
      <c r="P141" s="107">
        <f>+PRESUPUESTO!Y141</f>
        <v>0</v>
      </c>
      <c r="Q141" s="107">
        <f>+PRESUPUESTO!Z141</f>
        <v>0</v>
      </c>
    </row>
    <row r="142" spans="1:17" ht="24" x14ac:dyDescent="0.25">
      <c r="A142" t="str">
        <f t="shared" si="4"/>
        <v>I</v>
      </c>
      <c r="B142" s="228"/>
      <c r="C142" s="231"/>
      <c r="D142" s="234"/>
      <c r="E142" s="236"/>
      <c r="F142" s="234"/>
      <c r="G142" s="164" t="s">
        <v>551</v>
      </c>
      <c r="H142" s="102" t="s">
        <v>566</v>
      </c>
      <c r="I142" s="108">
        <f t="shared" si="5"/>
        <v>0</v>
      </c>
      <c r="J142" s="107">
        <f>+PRESUPUESTO!S142</f>
        <v>0</v>
      </c>
      <c r="K142" s="107">
        <f>+PRESUPUESTO!T142</f>
        <v>0</v>
      </c>
      <c r="L142" s="107">
        <f>+PRESUPUESTO!U142</f>
        <v>0</v>
      </c>
      <c r="M142" s="107">
        <f>+PRESUPUESTO!V142</f>
        <v>0</v>
      </c>
      <c r="N142" s="107">
        <f>+PRESUPUESTO!W142</f>
        <v>0</v>
      </c>
      <c r="O142" s="107">
        <f>+PRESUPUESTO!X142</f>
        <v>0</v>
      </c>
      <c r="P142" s="107">
        <f>+PRESUPUESTO!Y142</f>
        <v>0</v>
      </c>
      <c r="Q142" s="107">
        <f>+PRESUPUESTO!Z142</f>
        <v>0</v>
      </c>
    </row>
    <row r="143" spans="1:17" x14ac:dyDescent="0.25">
      <c r="I143" s="126">
        <f t="shared" ref="I143:Q143" si="6">SUM(I8:I142)</f>
        <v>1959565.2610299992</v>
      </c>
      <c r="J143" s="126">
        <f t="shared" si="6"/>
        <v>53944.687883949999</v>
      </c>
      <c r="K143" s="126">
        <f t="shared" si="6"/>
        <v>93072.081680950025</v>
      </c>
      <c r="L143" s="126">
        <f t="shared" si="6"/>
        <v>63753.351030949998</v>
      </c>
      <c r="M143" s="126">
        <f t="shared" si="6"/>
        <v>32834.697932950003</v>
      </c>
      <c r="N143" s="126">
        <f t="shared" si="6"/>
        <v>26773.687975200006</v>
      </c>
      <c r="O143" s="126">
        <f t="shared" si="6"/>
        <v>735348.98452599987</v>
      </c>
      <c r="P143" s="126">
        <f t="shared" si="6"/>
        <v>332929.77</v>
      </c>
      <c r="Q143" s="126">
        <f t="shared" si="6"/>
        <v>620908</v>
      </c>
    </row>
    <row r="146" spans="10:17" x14ac:dyDescent="0.25">
      <c r="J146" s="104">
        <f>+J7</f>
        <v>2018</v>
      </c>
      <c r="K146" s="104">
        <f>+K7</f>
        <v>2019</v>
      </c>
      <c r="L146" s="104">
        <f>+L7</f>
        <v>2020</v>
      </c>
      <c r="M146" s="104">
        <f>+M7</f>
        <v>2021</v>
      </c>
      <c r="N146" s="104" t="s">
        <v>816</v>
      </c>
      <c r="O146" s="104" t="str">
        <f>+O7</f>
        <v>2023 - 2027</v>
      </c>
      <c r="P146" s="104" t="str">
        <f>+P7</f>
        <v>2028 - 2032</v>
      </c>
      <c r="Q146" s="104" t="str">
        <f>+Q7</f>
        <v>2033 - 2037</v>
      </c>
    </row>
    <row r="147" spans="10:17" x14ac:dyDescent="0.25">
      <c r="J147" s="104">
        <f>+J143</f>
        <v>53944.687883949999</v>
      </c>
      <c r="K147" s="104">
        <f t="shared" ref="K147:Q147" si="7">+K143</f>
        <v>93072.081680950025</v>
      </c>
      <c r="L147" s="104">
        <f t="shared" si="7"/>
        <v>63753.351030949998</v>
      </c>
      <c r="M147" s="104">
        <f t="shared" si="7"/>
        <v>32834.697932950003</v>
      </c>
      <c r="N147" s="104">
        <f t="shared" si="7"/>
        <v>26773.687975200006</v>
      </c>
      <c r="O147" s="104">
        <f t="shared" si="7"/>
        <v>735348.98452599987</v>
      </c>
      <c r="P147" s="104">
        <f t="shared" si="7"/>
        <v>332929.77</v>
      </c>
      <c r="Q147" s="104">
        <f t="shared" si="7"/>
        <v>620908</v>
      </c>
    </row>
    <row r="148" spans="10:17" x14ac:dyDescent="0.25">
      <c r="N148" s="104">
        <f>+N147+M147+L147+K147+J147</f>
        <v>270378.50650400005</v>
      </c>
      <c r="O148" s="104">
        <f>+O147</f>
        <v>735348.98452599987</v>
      </c>
      <c r="P148" s="104">
        <f t="shared" ref="P148:Q148" si="8">+P147</f>
        <v>332929.77</v>
      </c>
      <c r="Q148" s="104">
        <f t="shared" si="8"/>
        <v>620908</v>
      </c>
    </row>
  </sheetData>
  <mergeCells count="91">
    <mergeCell ref="E141:E142"/>
    <mergeCell ref="F141:F142"/>
    <mergeCell ref="C134:C136"/>
    <mergeCell ref="D134:D136"/>
    <mergeCell ref="C137:C139"/>
    <mergeCell ref="D137:D139"/>
    <mergeCell ref="C140:C142"/>
    <mergeCell ref="D141:D142"/>
    <mergeCell ref="B120:B125"/>
    <mergeCell ref="C120:C125"/>
    <mergeCell ref="D120:D125"/>
    <mergeCell ref="E120:E123"/>
    <mergeCell ref="F120:F123"/>
    <mergeCell ref="B126:B142"/>
    <mergeCell ref="C126:C128"/>
    <mergeCell ref="D126:D128"/>
    <mergeCell ref="C130:C133"/>
    <mergeCell ref="D130:D131"/>
    <mergeCell ref="E101:E104"/>
    <mergeCell ref="F101:F104"/>
    <mergeCell ref="B116:B119"/>
    <mergeCell ref="C116:C119"/>
    <mergeCell ref="D116:D118"/>
    <mergeCell ref="C105:C106"/>
    <mergeCell ref="C107:C108"/>
    <mergeCell ref="D107:D108"/>
    <mergeCell ref="B109:B115"/>
    <mergeCell ref="C109:C112"/>
    <mergeCell ref="D109:D110"/>
    <mergeCell ref="B65:B108"/>
    <mergeCell ref="D111:D112"/>
    <mergeCell ref="C114:C115"/>
    <mergeCell ref="D114:D115"/>
    <mergeCell ref="C65:C71"/>
    <mergeCell ref="D65:D66"/>
    <mergeCell ref="E65:E66"/>
    <mergeCell ref="F65:F66"/>
    <mergeCell ref="D67:D69"/>
    <mergeCell ref="E68:E69"/>
    <mergeCell ref="C73:C101"/>
    <mergeCell ref="D73:D82"/>
    <mergeCell ref="E73:E80"/>
    <mergeCell ref="F73:F80"/>
    <mergeCell ref="D83:D95"/>
    <mergeCell ref="E83:E86"/>
    <mergeCell ref="F83:F86"/>
    <mergeCell ref="E87:E91"/>
    <mergeCell ref="F87:F91"/>
    <mergeCell ref="E92:E93"/>
    <mergeCell ref="F92:F93"/>
    <mergeCell ref="E94:E95"/>
    <mergeCell ref="F94:F95"/>
    <mergeCell ref="D96:D104"/>
    <mergeCell ref="E96:E100"/>
    <mergeCell ref="F96:F100"/>
    <mergeCell ref="C55:C64"/>
    <mergeCell ref="D55:D60"/>
    <mergeCell ref="E55:E60"/>
    <mergeCell ref="F55:F60"/>
    <mergeCell ref="D61:D64"/>
    <mergeCell ref="E61:E64"/>
    <mergeCell ref="F61:F64"/>
    <mergeCell ref="E45:E48"/>
    <mergeCell ref="E50:E53"/>
    <mergeCell ref="F50:F53"/>
    <mergeCell ref="F68:F69"/>
    <mergeCell ref="D70:D72"/>
    <mergeCell ref="E71:E72"/>
    <mergeCell ref="F71:F72"/>
    <mergeCell ref="B8:B64"/>
    <mergeCell ref="C8:C44"/>
    <mergeCell ref="D8:D17"/>
    <mergeCell ref="E8:E12"/>
    <mergeCell ref="F8:F12"/>
    <mergeCell ref="E13:E17"/>
    <mergeCell ref="F13:F17"/>
    <mergeCell ref="D18:D44"/>
    <mergeCell ref="E18:E37"/>
    <mergeCell ref="F18:F37"/>
    <mergeCell ref="E38:E39"/>
    <mergeCell ref="F38:F39"/>
    <mergeCell ref="E40:E44"/>
    <mergeCell ref="F40:F44"/>
    <mergeCell ref="C45:C54"/>
    <mergeCell ref="D45:D53"/>
    <mergeCell ref="P6:Q6"/>
    <mergeCell ref="B2:B4"/>
    <mergeCell ref="C2:N2"/>
    <mergeCell ref="C3:N3"/>
    <mergeCell ref="C4:N4"/>
    <mergeCell ref="J6:N6"/>
  </mergeCells>
  <conditionalFormatting sqref="J8:Q142">
    <cfRule type="cellIs" dxfId="0" priority="1" operator="greaterThan">
      <formula>1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0033" r:id="rId3">
          <objectPr defaultSize="0" autoPict="0" r:id="rId4">
            <anchor moveWithCells="1" sizeWithCells="1">
              <from>
                <xdr:col>1</xdr:col>
                <xdr:colOff>66675</xdr:colOff>
                <xdr:row>1</xdr:row>
                <xdr:rowOff>19050</xdr:rowOff>
              </from>
              <to>
                <xdr:col>1</xdr:col>
                <xdr:colOff>619125</xdr:colOff>
                <xdr:row>3</xdr:row>
                <xdr:rowOff>161925</xdr:rowOff>
              </to>
            </anchor>
          </objectPr>
        </oleObject>
      </mc:Choice>
      <mc:Fallback>
        <oleObject progId="PBrush" shapeId="300033" r:id="rId3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2:S25"/>
  <sheetViews>
    <sheetView showGridLines="0" workbookViewId="0">
      <pane xSplit="8" ySplit="11" topLeftCell="I15" activePane="bottomRight" state="frozen"/>
      <selection activeCell="K8" sqref="K8:O8"/>
      <selection pane="topRight" activeCell="K8" sqref="K8:O8"/>
      <selection pane="bottomLeft" activeCell="K8" sqref="K8:O8"/>
      <selection pane="bottomRight" activeCell="G12" sqref="G12"/>
    </sheetView>
  </sheetViews>
  <sheetFormatPr baseColWidth="10" defaultRowHeight="15" x14ac:dyDescent="0.25"/>
  <cols>
    <col min="1" max="1" width="2" customWidth="1"/>
    <col min="2" max="2" width="2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2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2:19" x14ac:dyDescent="0.25">
      <c r="B6" s="306" t="s">
        <v>92</v>
      </c>
      <c r="C6" s="306"/>
      <c r="D6" s="307" t="s">
        <v>198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x14ac:dyDescent="0.25">
      <c r="B7" s="306"/>
      <c r="C7" s="306"/>
      <c r="D7" s="307" t="s">
        <v>200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199</v>
      </c>
      <c r="C8" s="309"/>
      <c r="D8" s="309"/>
      <c r="E8" s="309"/>
      <c r="F8" s="309"/>
      <c r="G8" s="18" t="s">
        <v>730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67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IN42</v>
      </c>
      <c r="J12" s="25" t="str">
        <f>+$J$8</f>
        <v>NO ESTRUCTURAL</v>
      </c>
      <c r="K12" s="6">
        <f>SUM(L12:Q12)</f>
        <v>0</v>
      </c>
      <c r="L12" s="6">
        <v>0</v>
      </c>
      <c r="M12" s="6">
        <v>0</v>
      </c>
      <c r="N12" s="6">
        <v>0</v>
      </c>
      <c r="O12" s="6">
        <v>0</v>
      </c>
      <c r="P12" s="6"/>
      <c r="Q12" s="6"/>
      <c r="R12" s="6"/>
      <c r="S12" s="6">
        <f>+R12</f>
        <v>0</v>
      </c>
    </row>
    <row r="13" spans="2:19" ht="60.75" x14ac:dyDescent="0.25">
      <c r="B13" s="15" t="s">
        <v>199</v>
      </c>
      <c r="C13" s="5"/>
      <c r="D13" s="5" t="s">
        <v>611</v>
      </c>
      <c r="E13" s="6">
        <v>0</v>
      </c>
      <c r="F13" s="6">
        <v>0</v>
      </c>
      <c r="G13" s="6">
        <f>+F13*E13</f>
        <v>0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>
        <f>+R13</f>
        <v>0</v>
      </c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>
        <f>+R14</f>
        <v>0</v>
      </c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>
        <f>+R15</f>
        <v>0</v>
      </c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>
        <f>+R16</f>
        <v>0</v>
      </c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>SUM(L17:Q17)</f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13" t="s">
        <v>265</v>
      </c>
      <c r="J22" s="114"/>
      <c r="K22" s="114"/>
      <c r="L22" s="114"/>
      <c r="M22" s="114"/>
      <c r="N22" s="115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IN42</v>
      </c>
      <c r="J24" s="15"/>
      <c r="K24" s="109"/>
      <c r="L24" s="6"/>
      <c r="M24" s="6">
        <v>0</v>
      </c>
      <c r="N24" s="6">
        <f>-PMT($L$8,2,M24)</f>
        <v>0</v>
      </c>
      <c r="O24" s="2"/>
      <c r="P24" s="16">
        <f>+M13</f>
        <v>0</v>
      </c>
      <c r="Q24" s="16">
        <f>+N13</f>
        <v>0</v>
      </c>
      <c r="R24" s="2"/>
    </row>
    <row r="25" spans="2:19" x14ac:dyDescent="0.25">
      <c r="M25" s="195" t="s">
        <v>779</v>
      </c>
      <c r="N25" s="195"/>
      <c r="O25" s="195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7920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79201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2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P25" sqref="P25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6.25" customHeight="1" x14ac:dyDescent="0.25">
      <c r="B6" s="306" t="s">
        <v>92</v>
      </c>
      <c r="C6" s="306"/>
      <c r="D6" s="307" t="s">
        <v>203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202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201</v>
      </c>
      <c r="C8" s="309"/>
      <c r="D8" s="309"/>
      <c r="E8" s="309"/>
      <c r="F8" s="309"/>
      <c r="G8" s="18" t="s">
        <v>483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95</v>
      </c>
      <c r="D11" s="21"/>
      <c r="E11" s="21"/>
      <c r="F11" s="22" t="s">
        <v>1</v>
      </c>
      <c r="G11" s="22" t="s">
        <v>68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IN43</v>
      </c>
      <c r="J12" s="25" t="str">
        <f>+$J$8</f>
        <v>NO ESTRUCTURAL</v>
      </c>
      <c r="K12" s="6">
        <f>SUM(L12:Q12)</f>
        <v>198.91665</v>
      </c>
      <c r="L12" s="6"/>
      <c r="M12" s="6"/>
      <c r="N12" s="6"/>
      <c r="O12" s="6"/>
      <c r="P12" s="6"/>
      <c r="Q12" s="6">
        <f>+G19</f>
        <v>198.91665</v>
      </c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45*12</f>
        <v>540</v>
      </c>
      <c r="F13" s="147">
        <f>26700/1000000*1.5</f>
        <v>4.0050000000000002E-2</v>
      </c>
      <c r="G13" s="30">
        <f t="shared" ref="G13:G18" si="0">+F13*E13</f>
        <v>21.627000000000002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781</v>
      </c>
      <c r="C14" s="5"/>
      <c r="D14" s="5" t="s">
        <v>611</v>
      </c>
      <c r="E14" s="6">
        <f>90*12</f>
        <v>1080</v>
      </c>
      <c r="F14" s="147">
        <f>26700/1000000*1</f>
        <v>2.6700000000000002E-2</v>
      </c>
      <c r="G14" s="30">
        <f t="shared" si="0"/>
        <v>28.836000000000002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782</v>
      </c>
      <c r="C15" s="5"/>
      <c r="D15" s="5" t="s">
        <v>611</v>
      </c>
      <c r="E15" s="6">
        <f>90*12</f>
        <v>1080</v>
      </c>
      <c r="F15" s="147">
        <f t="shared" ref="F15:F16" si="1">26700/1000000*1.5</f>
        <v>4.0050000000000002E-2</v>
      </c>
      <c r="G15" s="30">
        <f t="shared" si="0"/>
        <v>43.254000000000005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783</v>
      </c>
      <c r="C16" s="5"/>
      <c r="D16" s="5" t="s">
        <v>611</v>
      </c>
      <c r="E16" s="6">
        <f>90*12</f>
        <v>1080</v>
      </c>
      <c r="F16" s="147">
        <f t="shared" si="1"/>
        <v>4.0050000000000002E-2</v>
      </c>
      <c r="G16" s="30">
        <f t="shared" si="0"/>
        <v>43.254000000000005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667</v>
      </c>
      <c r="C17" s="8"/>
      <c r="D17" s="8" t="s">
        <v>128</v>
      </c>
      <c r="E17" s="9">
        <v>12</v>
      </c>
      <c r="F17" s="9">
        <v>3</v>
      </c>
      <c r="G17" s="30">
        <f t="shared" si="0"/>
        <v>36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8" t="s">
        <v>784</v>
      </c>
      <c r="C18" s="8"/>
      <c r="D18" s="8" t="s">
        <v>79</v>
      </c>
      <c r="E18" s="196">
        <v>0.15</v>
      </c>
      <c r="F18" s="9">
        <f>SUM(G13:G17)</f>
        <v>172.971</v>
      </c>
      <c r="G18" s="30">
        <f t="shared" si="0"/>
        <v>25.945650000000001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10" t="s">
        <v>2</v>
      </c>
      <c r="C19" s="11"/>
      <c r="D19" s="11"/>
      <c r="E19" s="12"/>
      <c r="F19" s="7"/>
      <c r="G19" s="40">
        <f>SUM(G13:G18)</f>
        <v>198.91665</v>
      </c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198.91665</v>
      </c>
      <c r="L20" s="16">
        <f t="shared" ref="L20:S20" si="2">SUM(L12:L19)</f>
        <v>0</v>
      </c>
      <c r="M20" s="16">
        <f t="shared" si="2"/>
        <v>0</v>
      </c>
      <c r="N20" s="16">
        <f t="shared" si="2"/>
        <v>0</v>
      </c>
      <c r="O20" s="16">
        <f t="shared" si="2"/>
        <v>0</v>
      </c>
      <c r="P20" s="16">
        <f t="shared" si="2"/>
        <v>0</v>
      </c>
      <c r="Q20" s="16">
        <f t="shared" si="2"/>
        <v>198.91665</v>
      </c>
      <c r="R20" s="16">
        <f t="shared" si="2"/>
        <v>0</v>
      </c>
      <c r="S20" s="16">
        <f t="shared" si="2"/>
        <v>0</v>
      </c>
    </row>
    <row r="22" spans="2:19" x14ac:dyDescent="0.25">
      <c r="I22" s="113" t="s">
        <v>265</v>
      </c>
      <c r="J22" s="114"/>
      <c r="K22" s="114"/>
      <c r="L22" s="114"/>
      <c r="M22" s="114"/>
      <c r="N22" s="115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</row>
    <row r="24" spans="2:19" x14ac:dyDescent="0.25">
      <c r="I24" s="15" t="str">
        <f>+I12</f>
        <v>IN43</v>
      </c>
      <c r="J24" s="15"/>
      <c r="K24" s="109"/>
      <c r="L24" s="6"/>
      <c r="M24" s="6">
        <f>NPV($L$8,P24:R24)+O24</f>
        <v>187.65721698113208</v>
      </c>
      <c r="N24" s="6">
        <f>-PMT($L$8,1,M24)</f>
        <v>198.91665000000003</v>
      </c>
      <c r="O24" s="2"/>
      <c r="P24" s="16">
        <f>+Q12</f>
        <v>198.91665</v>
      </c>
      <c r="Q24" s="16">
        <f>+N13</f>
        <v>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022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0225" r:id="rId3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CC"/>
  </sheetPr>
  <dimension ref="B1:S2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I22" sqref="I22:Q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9.25" customHeight="1" x14ac:dyDescent="0.25">
      <c r="B6" s="306" t="s">
        <v>92</v>
      </c>
      <c r="C6" s="306"/>
      <c r="D6" s="307" t="s">
        <v>203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202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204</v>
      </c>
      <c r="C8" s="309"/>
      <c r="D8" s="309"/>
      <c r="E8" s="309"/>
      <c r="F8" s="309"/>
      <c r="G8" s="18" t="s">
        <v>489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98</v>
      </c>
      <c r="D11" s="21"/>
      <c r="E11" s="21"/>
      <c r="F11" s="22" t="s">
        <v>1</v>
      </c>
      <c r="G11" s="22" t="s">
        <v>69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IN44</v>
      </c>
      <c r="J12" s="25" t="str">
        <f>+$J$8</f>
        <v>NO ESTRUCTURAL</v>
      </c>
      <c r="K12" s="6">
        <f>SUM(L12:Q12)</f>
        <v>198.91665</v>
      </c>
      <c r="L12" s="6"/>
      <c r="M12" s="6">
        <f>+G19</f>
        <v>198.91665</v>
      </c>
      <c r="N12" s="6"/>
      <c r="O12" s="6"/>
      <c r="P12" s="6"/>
      <c r="Q12" s="6"/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45*12</f>
        <v>540</v>
      </c>
      <c r="F13" s="147">
        <f>26700/1000000*1.5</f>
        <v>4.0050000000000002E-2</v>
      </c>
      <c r="G13" s="30">
        <f t="shared" ref="G13:G18" si="0">+F13*E13</f>
        <v>21.627000000000002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785</v>
      </c>
      <c r="C14" s="5"/>
      <c r="D14" s="5" t="s">
        <v>611</v>
      </c>
      <c r="E14" s="6">
        <f>90*12</f>
        <v>1080</v>
      </c>
      <c r="F14" s="147">
        <f>26700/1000000*1</f>
        <v>2.6700000000000002E-2</v>
      </c>
      <c r="G14" s="30">
        <f t="shared" si="0"/>
        <v>28.836000000000002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782</v>
      </c>
      <c r="C15" s="5"/>
      <c r="D15" s="5" t="s">
        <v>611</v>
      </c>
      <c r="E15" s="6">
        <f>90*12</f>
        <v>1080</v>
      </c>
      <c r="F15" s="147">
        <f t="shared" ref="F15:F16" si="1">26700/1000000*1.5</f>
        <v>4.0050000000000002E-2</v>
      </c>
      <c r="G15" s="30">
        <f t="shared" si="0"/>
        <v>43.254000000000005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786</v>
      </c>
      <c r="C16" s="5"/>
      <c r="D16" s="5" t="s">
        <v>611</v>
      </c>
      <c r="E16" s="6">
        <f>90*12</f>
        <v>1080</v>
      </c>
      <c r="F16" s="147">
        <f t="shared" si="1"/>
        <v>4.0050000000000002E-2</v>
      </c>
      <c r="G16" s="30">
        <f t="shared" si="0"/>
        <v>43.254000000000005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667</v>
      </c>
      <c r="C17" s="8"/>
      <c r="D17" s="8" t="s">
        <v>128</v>
      </c>
      <c r="E17" s="9">
        <v>12</v>
      </c>
      <c r="F17" s="9">
        <v>3</v>
      </c>
      <c r="G17" s="30">
        <f t="shared" si="0"/>
        <v>36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8" t="s">
        <v>784</v>
      </c>
      <c r="C18" s="8"/>
      <c r="D18" s="8" t="s">
        <v>79</v>
      </c>
      <c r="E18" s="196">
        <v>0.15</v>
      </c>
      <c r="F18" s="9">
        <f>SUM(G13:G17)</f>
        <v>172.971</v>
      </c>
      <c r="G18" s="30">
        <f t="shared" si="0"/>
        <v>25.945650000000001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10" t="s">
        <v>2</v>
      </c>
      <c r="C19" s="11"/>
      <c r="D19" s="11"/>
      <c r="E19" s="12"/>
      <c r="F19" s="7"/>
      <c r="G19" s="40">
        <f>SUM(G13:G18)</f>
        <v>198.91665</v>
      </c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198.91665</v>
      </c>
      <c r="L20" s="16">
        <f t="shared" ref="L20:S20" si="2">SUM(L12:L19)</f>
        <v>0</v>
      </c>
      <c r="M20" s="16">
        <f t="shared" si="2"/>
        <v>198.91665</v>
      </c>
      <c r="N20" s="16">
        <f t="shared" si="2"/>
        <v>0</v>
      </c>
      <c r="O20" s="16">
        <f t="shared" si="2"/>
        <v>0</v>
      </c>
      <c r="P20" s="16">
        <f t="shared" si="2"/>
        <v>0</v>
      </c>
      <c r="Q20" s="16">
        <f t="shared" si="2"/>
        <v>0</v>
      </c>
      <c r="R20" s="16">
        <f t="shared" si="2"/>
        <v>0</v>
      </c>
      <c r="S20" s="16">
        <f t="shared" si="2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13" t="s">
        <v>265</v>
      </c>
      <c r="J22" s="114"/>
      <c r="K22" s="114"/>
      <c r="L22" s="114"/>
      <c r="M22" s="114"/>
      <c r="N22" s="115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</row>
    <row r="24" spans="2:19" x14ac:dyDescent="0.25">
      <c r="I24" s="15" t="str">
        <f>+I12</f>
        <v>IN44</v>
      </c>
      <c r="J24" s="15"/>
      <c r="K24" s="109"/>
      <c r="L24" s="6"/>
      <c r="M24" s="6">
        <f>NPV($L$8,P24:R24)+O24</f>
        <v>187.65721698113208</v>
      </c>
      <c r="N24" s="6">
        <f>-PMT($L$8,1,M24)</f>
        <v>198.91665000000003</v>
      </c>
      <c r="O24" s="2"/>
      <c r="P24" s="16">
        <f>+M12</f>
        <v>198.91665</v>
      </c>
      <c r="Q24" s="16">
        <f>+N13</f>
        <v>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124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1249" r:id="rId3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4"/>
  <sheetViews>
    <sheetView showGridLines="0" workbookViewId="0">
      <selection activeCell="I22" sqref="I22:Q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7.75" customHeight="1" x14ac:dyDescent="0.25">
      <c r="B6" s="306" t="s">
        <v>212</v>
      </c>
      <c r="C6" s="306"/>
      <c r="D6" s="307" t="s">
        <v>207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206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205</v>
      </c>
      <c r="C8" s="309"/>
      <c r="D8" s="309"/>
      <c r="E8" s="309"/>
      <c r="F8" s="309"/>
      <c r="G8" s="18" t="s">
        <v>490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70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IN45</v>
      </c>
      <c r="J12" s="25" t="str">
        <f>+$J$8</f>
        <v>NO ESTRUCTURAL</v>
      </c>
      <c r="K12" s="6">
        <f>SUM(L12:Q12)</f>
        <v>356.43330000000003</v>
      </c>
      <c r="L12" s="6"/>
      <c r="M12" s="6">
        <f>+G19*0.5</f>
        <v>178.21665000000002</v>
      </c>
      <c r="N12" s="6">
        <f>+M12</f>
        <v>178.21665000000002</v>
      </c>
      <c r="O12" s="6"/>
      <c r="P12" s="6"/>
      <c r="Q12" s="6"/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90*12</f>
        <v>1080</v>
      </c>
      <c r="F13" s="147">
        <f>26700/1000000*1.5</f>
        <v>4.0050000000000002E-2</v>
      </c>
      <c r="G13" s="30">
        <f t="shared" ref="G13:G18" si="0">+F13*E13</f>
        <v>43.254000000000005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787</v>
      </c>
      <c r="C14" s="5"/>
      <c r="D14" s="5" t="s">
        <v>611</v>
      </c>
      <c r="E14" s="6">
        <f t="shared" ref="E14:E15" si="1">180*12</f>
        <v>2160</v>
      </c>
      <c r="F14" s="147">
        <f>26700/1000000*1</f>
        <v>2.6700000000000002E-2</v>
      </c>
      <c r="G14" s="30">
        <f t="shared" si="0"/>
        <v>57.672000000000004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788</v>
      </c>
      <c r="C15" s="5"/>
      <c r="D15" s="5" t="s">
        <v>611</v>
      </c>
      <c r="E15" s="6">
        <f t="shared" si="1"/>
        <v>2160</v>
      </c>
      <c r="F15" s="147">
        <f t="shared" ref="F15:F16" si="2">26700/1000000*1.5</f>
        <v>4.0050000000000002E-2</v>
      </c>
      <c r="G15" s="30">
        <f t="shared" si="0"/>
        <v>86.50800000000001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786</v>
      </c>
      <c r="C16" s="5"/>
      <c r="D16" s="5" t="s">
        <v>611</v>
      </c>
      <c r="E16" s="6">
        <f>180*12</f>
        <v>2160</v>
      </c>
      <c r="F16" s="147">
        <f t="shared" si="2"/>
        <v>4.0050000000000002E-2</v>
      </c>
      <c r="G16" s="30">
        <f t="shared" si="0"/>
        <v>86.50800000000001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667</v>
      </c>
      <c r="C17" s="8"/>
      <c r="D17" s="8" t="s">
        <v>128</v>
      </c>
      <c r="E17" s="9">
        <v>12</v>
      </c>
      <c r="F17" s="9">
        <v>3</v>
      </c>
      <c r="G17" s="30">
        <f t="shared" si="0"/>
        <v>36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8" t="s">
        <v>784</v>
      </c>
      <c r="C18" s="8"/>
      <c r="D18" s="8" t="s">
        <v>79</v>
      </c>
      <c r="E18" s="196">
        <v>0.15</v>
      </c>
      <c r="F18" s="9">
        <f>SUM(G13:G17)</f>
        <v>309.94200000000001</v>
      </c>
      <c r="G18" s="30">
        <f t="shared" si="0"/>
        <v>46.491300000000003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10" t="s">
        <v>2</v>
      </c>
      <c r="C19" s="11"/>
      <c r="D19" s="11"/>
      <c r="E19" s="12"/>
      <c r="F19" s="7"/>
      <c r="G19" s="40">
        <f>SUM(G13:G18)</f>
        <v>356.43330000000003</v>
      </c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356.43330000000003</v>
      </c>
      <c r="L20" s="16">
        <f t="shared" ref="L20:S20" si="3">SUM(L12:L19)</f>
        <v>0</v>
      </c>
      <c r="M20" s="16">
        <f t="shared" si="3"/>
        <v>178.21665000000002</v>
      </c>
      <c r="N20" s="16">
        <f t="shared" si="3"/>
        <v>178.21665000000002</v>
      </c>
      <c r="O20" s="16">
        <f t="shared" si="3"/>
        <v>0</v>
      </c>
      <c r="P20" s="16">
        <f t="shared" si="3"/>
        <v>0</v>
      </c>
      <c r="Q20" s="16">
        <f t="shared" si="3"/>
        <v>0</v>
      </c>
      <c r="R20" s="16">
        <f t="shared" si="3"/>
        <v>0</v>
      </c>
      <c r="S20" s="16">
        <f t="shared" si="3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13" t="s">
        <v>265</v>
      </c>
      <c r="J22" s="114"/>
      <c r="K22" s="114"/>
      <c r="L22" s="114"/>
      <c r="M22" s="114"/>
      <c r="N22" s="115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</row>
    <row r="24" spans="2:19" x14ac:dyDescent="0.25">
      <c r="I24" s="15" t="str">
        <f>+I12</f>
        <v>IN45</v>
      </c>
      <c r="J24" s="15"/>
      <c r="K24" s="109"/>
      <c r="L24" s="6"/>
      <c r="M24" s="6">
        <f>NPV($L$8,P24:R24)+O24</f>
        <v>326.74109914560341</v>
      </c>
      <c r="N24" s="6">
        <f>-PMT($L$8,1,M24)</f>
        <v>346.34556509433963</v>
      </c>
      <c r="O24" s="2"/>
      <c r="P24" s="16">
        <f>+M12</f>
        <v>178.21665000000002</v>
      </c>
      <c r="Q24" s="16">
        <f>+P24</f>
        <v>178.21665000000002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227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2273" r:id="rId3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28"/>
  <sheetViews>
    <sheetView showGridLines="0" workbookViewId="0">
      <pane xSplit="8" ySplit="11" topLeftCell="I21" activePane="bottomRight" state="frozen"/>
      <selection activeCell="K8" sqref="K8:O8"/>
      <selection pane="topRight" activeCell="K8" sqref="K8:O8"/>
      <selection pane="bottomLeft" activeCell="K8" sqref="K8:O8"/>
      <selection pane="bottomRight" activeCell="I12" sqref="I12"/>
    </sheetView>
  </sheetViews>
  <sheetFormatPr baseColWidth="10" defaultRowHeight="15" x14ac:dyDescent="0.25"/>
  <cols>
    <col min="1" max="1" width="4.85546875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1:19" ht="7.5" customHeight="1" x14ac:dyDescent="0.25"/>
    <row r="2" spans="1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1:19" ht="6" customHeight="1" x14ac:dyDescent="0.25"/>
    <row r="6" spans="1:19" ht="22.5" customHeight="1" x14ac:dyDescent="0.25">
      <c r="B6" s="306" t="s">
        <v>212</v>
      </c>
      <c r="C6" s="306"/>
      <c r="D6" s="307" t="s">
        <v>207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ht="22.5" customHeight="1" x14ac:dyDescent="0.25">
      <c r="B7" s="306"/>
      <c r="C7" s="306"/>
      <c r="D7" s="307" t="s">
        <v>206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30.75" customHeight="1" x14ac:dyDescent="0.4">
      <c r="B8" s="309" t="s">
        <v>208</v>
      </c>
      <c r="C8" s="309"/>
      <c r="D8" s="309"/>
      <c r="E8" s="309"/>
      <c r="F8" s="309"/>
      <c r="G8" s="18" t="s">
        <v>491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1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471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>
        <f>+A13</f>
        <v>0</v>
      </c>
      <c r="J12" s="25" t="str">
        <f>+$J$8</f>
        <v>NO ESTRUCTURAL</v>
      </c>
      <c r="K12" s="6">
        <f>SUM(L12:Q12)</f>
        <v>0</v>
      </c>
      <c r="L12" s="6">
        <f>+G18</f>
        <v>0</v>
      </c>
      <c r="M12" s="6"/>
      <c r="N12" s="6"/>
      <c r="O12" s="6"/>
      <c r="P12" s="6"/>
      <c r="Q12" s="6"/>
      <c r="R12" s="6"/>
      <c r="S12" s="6"/>
    </row>
    <row r="13" spans="1:19" x14ac:dyDescent="0.25">
      <c r="A13" s="93"/>
      <c r="B13" s="94"/>
      <c r="C13" s="5"/>
      <c r="D13" s="5"/>
      <c r="E13" s="6"/>
      <c r="F13" s="6"/>
      <c r="G13" s="6"/>
      <c r="I13" s="15" t="str">
        <f>+G20</f>
        <v>IN46</v>
      </c>
      <c r="J13" s="25" t="str">
        <f>+$J$8</f>
        <v>NO ESTRUCTURAL</v>
      </c>
      <c r="K13" s="6">
        <f>SUM(L13:Q13)</f>
        <v>600</v>
      </c>
      <c r="L13" s="6"/>
      <c r="M13" s="6"/>
      <c r="N13" s="6"/>
      <c r="O13" s="6"/>
      <c r="P13" s="6"/>
      <c r="Q13" s="6">
        <f>+G28</f>
        <v>600</v>
      </c>
      <c r="R13" s="6"/>
      <c r="S13" s="6"/>
    </row>
    <row r="14" spans="1:19" x14ac:dyDescent="0.25">
      <c r="A14" s="93"/>
      <c r="B14" s="88"/>
      <c r="C14" s="5"/>
      <c r="D14" s="5"/>
      <c r="E14" s="6"/>
      <c r="F14" s="6"/>
      <c r="G14" s="6">
        <f>+F14*E14</f>
        <v>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86</v>
      </c>
      <c r="D20" s="21"/>
      <c r="E20" s="21"/>
      <c r="F20" s="22" t="s">
        <v>268</v>
      </c>
      <c r="G20" s="22" t="s">
        <v>71</v>
      </c>
      <c r="I20" s="17" t="s">
        <v>2</v>
      </c>
      <c r="J20" s="14"/>
      <c r="K20" s="16">
        <f>SUM(K12:K19)</f>
        <v>600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600</v>
      </c>
      <c r="R20" s="16">
        <f t="shared" si="0"/>
        <v>0</v>
      </c>
      <c r="S20" s="16">
        <f t="shared" si="0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ht="45.75" x14ac:dyDescent="0.25">
      <c r="B22" s="88" t="s">
        <v>789</v>
      </c>
      <c r="C22" s="5"/>
      <c r="D22" s="5" t="s">
        <v>686</v>
      </c>
      <c r="E22" s="6">
        <v>1</v>
      </c>
      <c r="F22" s="6">
        <v>100</v>
      </c>
      <c r="G22" s="6">
        <f t="shared" ref="G22:G27" si="1">+F22*E22</f>
        <v>100</v>
      </c>
      <c r="I22" s="197" t="s">
        <v>265</v>
      </c>
      <c r="J22" s="198"/>
      <c r="K22" s="198"/>
      <c r="L22" s="198"/>
      <c r="M22" s="198"/>
      <c r="N22" s="199"/>
    </row>
    <row r="23" spans="2:19" ht="57" x14ac:dyDescent="0.25">
      <c r="B23" s="88" t="s">
        <v>790</v>
      </c>
      <c r="C23" s="5"/>
      <c r="D23" s="5" t="s">
        <v>686</v>
      </c>
      <c r="E23" s="6">
        <v>1</v>
      </c>
      <c r="F23" s="6">
        <v>200</v>
      </c>
      <c r="G23" s="6">
        <f t="shared" si="1"/>
        <v>200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ht="34.5" x14ac:dyDescent="0.25">
      <c r="B24" s="88" t="s">
        <v>791</v>
      </c>
      <c r="C24" s="5"/>
      <c r="D24" s="5" t="s">
        <v>686</v>
      </c>
      <c r="E24" s="6">
        <v>1</v>
      </c>
      <c r="F24" s="6">
        <v>300</v>
      </c>
      <c r="G24" s="6">
        <f t="shared" si="1"/>
        <v>300</v>
      </c>
      <c r="I24" s="15">
        <f>+I12</f>
        <v>0</v>
      </c>
      <c r="J24" s="15"/>
      <c r="K24" s="109"/>
      <c r="L24" s="6"/>
      <c r="M24" s="6">
        <f>NPV($L$8,P24:R24)+O24</f>
        <v>0</v>
      </c>
      <c r="N24" s="6">
        <f>-PMT($L$8,1,M24)</f>
        <v>0</v>
      </c>
      <c r="O24" s="2"/>
      <c r="P24" s="16">
        <f>+L12</f>
        <v>0</v>
      </c>
      <c r="Q24" s="16"/>
      <c r="R24" s="2"/>
    </row>
    <row r="25" spans="2:19" x14ac:dyDescent="0.25">
      <c r="B25" s="5"/>
      <c r="C25" s="5"/>
      <c r="D25" s="5"/>
      <c r="E25" s="6"/>
      <c r="F25" s="147"/>
      <c r="G25" s="30">
        <f t="shared" si="1"/>
        <v>0</v>
      </c>
      <c r="I25" s="15" t="str">
        <f>+I13</f>
        <v>IN46</v>
      </c>
      <c r="J25" s="2"/>
      <c r="K25" s="2"/>
      <c r="L25" s="2"/>
      <c r="M25" s="6">
        <f>NPV($L$8,P25:R25)+O25</f>
        <v>524.2246955540478</v>
      </c>
      <c r="N25" s="6">
        <f>-PMT($L$8,1,M25)</f>
        <v>555.67817728729062</v>
      </c>
      <c r="O25" s="2"/>
      <c r="P25" s="192">
        <v>100</v>
      </c>
      <c r="Q25" s="192">
        <v>200</v>
      </c>
      <c r="R25" s="192">
        <v>300</v>
      </c>
    </row>
    <row r="26" spans="2:19" x14ac:dyDescent="0.25">
      <c r="B26" s="8"/>
      <c r="C26" s="8"/>
      <c r="D26" s="8"/>
      <c r="E26" s="9"/>
      <c r="F26" s="9"/>
      <c r="G26" s="30">
        <f t="shared" si="1"/>
        <v>0</v>
      </c>
    </row>
    <row r="27" spans="2:19" x14ac:dyDescent="0.25">
      <c r="B27" s="8"/>
      <c r="C27" s="8"/>
      <c r="D27" s="8"/>
      <c r="E27" s="196"/>
      <c r="F27" s="9"/>
      <c r="G27" s="30">
        <f t="shared" si="1"/>
        <v>0</v>
      </c>
    </row>
    <row r="28" spans="2:19" x14ac:dyDescent="0.25">
      <c r="B28" s="10" t="s">
        <v>2</v>
      </c>
      <c r="C28" s="11"/>
      <c r="D28" s="11"/>
      <c r="E28" s="12"/>
      <c r="F28" s="7"/>
      <c r="G28" s="40">
        <f>SUM(G22:G27)</f>
        <v>600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1811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18113" r:id="rId3"/>
      </mc:Fallback>
    </mc:AlternateContent>
  </oleObjec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4"/>
  <sheetViews>
    <sheetView showGridLines="0" workbookViewId="0">
      <selection activeCell="Q12" sqref="Q1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7.75" customHeight="1" x14ac:dyDescent="0.25">
      <c r="B6" s="306" t="s">
        <v>212</v>
      </c>
      <c r="C6" s="306"/>
      <c r="D6" s="307" t="s">
        <v>207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210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17" t="s">
        <v>209</v>
      </c>
      <c r="C8" s="317"/>
      <c r="D8" s="317"/>
      <c r="E8" s="317"/>
      <c r="F8" s="317"/>
      <c r="G8" s="18" t="s">
        <v>492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98</v>
      </c>
      <c r="D11" s="21"/>
      <c r="E11" s="21"/>
      <c r="F11" s="22" t="s">
        <v>268</v>
      </c>
      <c r="G11" s="22" t="s">
        <v>72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IN47</v>
      </c>
      <c r="J12" s="25" t="str">
        <f>+$J$8</f>
        <v>NO ESTRUCTURAL</v>
      </c>
      <c r="K12" s="6">
        <f>SUM(L12:Q12)</f>
        <v>329.72</v>
      </c>
      <c r="L12" s="6"/>
      <c r="M12" s="6"/>
      <c r="N12" s="6">
        <f>+G18</f>
        <v>329.72</v>
      </c>
      <c r="O12" s="6"/>
      <c r="P12" s="6"/>
      <c r="Q12" s="6"/>
      <c r="R12" s="6"/>
      <c r="S12" s="6"/>
    </row>
    <row r="13" spans="2:19" x14ac:dyDescent="0.25">
      <c r="B13" s="5" t="s">
        <v>793</v>
      </c>
      <c r="C13" s="5"/>
      <c r="D13" s="5" t="s">
        <v>611</v>
      </c>
      <c r="E13" s="6">
        <v>2000</v>
      </c>
      <c r="F13" s="129">
        <f>26700/1000000</f>
        <v>2.6700000000000002E-2</v>
      </c>
      <c r="G13" s="6">
        <f>+F13*E13</f>
        <v>53.400000000000006</v>
      </c>
      <c r="I13" s="5"/>
      <c r="J13" s="25"/>
      <c r="K13" s="6">
        <f>SUM(L13:Q13)</f>
        <v>0</v>
      </c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796</v>
      </c>
      <c r="C14" s="5"/>
      <c r="D14" s="5" t="s">
        <v>90</v>
      </c>
      <c r="E14" s="6">
        <v>20</v>
      </c>
      <c r="F14" s="129">
        <v>1</v>
      </c>
      <c r="G14" s="6">
        <f>+F14*E14</f>
        <v>20</v>
      </c>
      <c r="I14" s="5"/>
      <c r="J14" s="25"/>
      <c r="K14" s="6">
        <f>SUM(L14:Q14)</f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792</v>
      </c>
      <c r="C15" s="5"/>
      <c r="D15" s="5" t="s">
        <v>769</v>
      </c>
      <c r="E15" s="6">
        <v>32</v>
      </c>
      <c r="F15" s="129">
        <f>26700/1000000*50</f>
        <v>1.335</v>
      </c>
      <c r="G15" s="6">
        <f>+F15*E15</f>
        <v>42.72</v>
      </c>
      <c r="I15" s="5"/>
      <c r="J15" s="25"/>
      <c r="K15" s="6">
        <f>SUM(L15:Q15)</f>
        <v>0</v>
      </c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794</v>
      </c>
      <c r="C16" s="5"/>
      <c r="D16" s="5" t="s">
        <v>769</v>
      </c>
      <c r="E16" s="6">
        <v>200</v>
      </c>
      <c r="F16" s="129">
        <f>26700/1000000*20</f>
        <v>0.53400000000000003</v>
      </c>
      <c r="G16" s="6">
        <f>+F16*E16</f>
        <v>106.80000000000001</v>
      </c>
      <c r="I16" s="5"/>
      <c r="J16" s="25"/>
      <c r="K16" s="6">
        <f>SUM(L16:Q16)</f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5" t="s">
        <v>795</v>
      </c>
      <c r="C17" s="5"/>
      <c r="D17" s="5" t="s">
        <v>769</v>
      </c>
      <c r="E17" s="6">
        <v>100</v>
      </c>
      <c r="F17" s="129">
        <f>26700/1000000*40</f>
        <v>1.0680000000000001</v>
      </c>
      <c r="G17" s="6">
        <f>+F17*E17</f>
        <v>106.80000000000001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329.72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329.72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329.72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IN47</v>
      </c>
      <c r="J24" s="15"/>
      <c r="K24" s="109"/>
      <c r="L24" s="6"/>
      <c r="M24" s="6">
        <f>NPV($L$8,P24:R24)+O24</f>
        <v>0</v>
      </c>
      <c r="N24" s="6">
        <f>-PMT($L$8,1,M24)</f>
        <v>0</v>
      </c>
      <c r="O24" s="2"/>
      <c r="P24" s="16">
        <f>+Q12*0.5</f>
        <v>0</v>
      </c>
      <c r="Q24" s="16">
        <f>+P24</f>
        <v>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1913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19137" r:id="rId3"/>
      </mc:Fallback>
    </mc:AlternateContent>
  </oleObjec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4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I22" sqref="I22:R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1" customHeight="1" x14ac:dyDescent="0.25">
      <c r="B6" s="306" t="s">
        <v>212</v>
      </c>
      <c r="C6" s="306"/>
      <c r="D6" s="307" t="s">
        <v>207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210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211</v>
      </c>
      <c r="C8" s="309"/>
      <c r="D8" s="309"/>
      <c r="E8" s="309"/>
      <c r="F8" s="309"/>
      <c r="G8" s="18" t="s">
        <v>496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73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IN48</v>
      </c>
      <c r="J12" s="25" t="s">
        <v>91</v>
      </c>
      <c r="K12" s="6">
        <f>SUM(L12:S12)</f>
        <v>0</v>
      </c>
      <c r="L12" s="6">
        <f>+G18</f>
        <v>0</v>
      </c>
      <c r="M12" s="6"/>
      <c r="N12" s="6"/>
      <c r="O12" s="6"/>
      <c r="P12" s="6"/>
      <c r="Q12" s="6"/>
      <c r="R12" s="6"/>
      <c r="S12" s="6"/>
    </row>
    <row r="13" spans="2:19" x14ac:dyDescent="0.25">
      <c r="B13" s="5" t="s">
        <v>797</v>
      </c>
      <c r="C13" s="5"/>
      <c r="D13" s="5" t="s">
        <v>90</v>
      </c>
      <c r="E13" s="6">
        <v>0</v>
      </c>
      <c r="F13" s="6">
        <v>0</v>
      </c>
      <c r="G13" s="6">
        <f>+F13*E13</f>
        <v>0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IN48</v>
      </c>
      <c r="J24" s="15"/>
      <c r="K24" s="109"/>
      <c r="L24" s="6"/>
      <c r="M24" s="6">
        <f>NPV($L$8,P24:R24)+O24</f>
        <v>0</v>
      </c>
      <c r="N24" s="6">
        <f>-PMT($L$8,1,M24)</f>
        <v>0</v>
      </c>
      <c r="O24" s="2"/>
      <c r="P24" s="16">
        <f>+M12</f>
        <v>0</v>
      </c>
      <c r="Q24" s="16">
        <f>+N12</f>
        <v>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636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6369" r:id="rId3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3"/>
  <sheetViews>
    <sheetView showGridLines="0" workbookViewId="0">
      <pane xSplit="8" ySplit="11" topLeftCell="I12" activePane="bottomRight" state="frozen"/>
      <selection activeCell="K8" sqref="K8:O8"/>
      <selection pane="topRight" activeCell="K8" sqref="K8:O8"/>
      <selection pane="bottomLeft" activeCell="K8" sqref="K8:O8"/>
      <selection pane="bottomRight" activeCell="P24" sqref="P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5.5" customHeight="1" x14ac:dyDescent="0.25">
      <c r="B6" s="306" t="s">
        <v>212</v>
      </c>
      <c r="C6" s="306"/>
      <c r="D6" s="307" t="s">
        <v>215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214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213</v>
      </c>
      <c r="C8" s="309"/>
      <c r="D8" s="309"/>
      <c r="E8" s="309"/>
      <c r="F8" s="309"/>
      <c r="G8" s="18" t="s">
        <v>498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98</v>
      </c>
      <c r="D11" s="21"/>
      <c r="E11" s="21"/>
      <c r="F11" s="22" t="s">
        <v>268</v>
      </c>
      <c r="G11" s="22" t="s">
        <v>74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IN49</v>
      </c>
      <c r="J12" s="25" t="str">
        <f>+$J$8</f>
        <v>NO ESTRUCTURAL</v>
      </c>
      <c r="K12" s="6">
        <f>SUM(L12:Q12)</f>
        <v>283.52400000000006</v>
      </c>
      <c r="L12" s="6"/>
      <c r="M12" s="6"/>
      <c r="N12" s="6"/>
      <c r="O12" s="6"/>
      <c r="P12" s="6"/>
      <c r="Q12" s="6">
        <f>+G18</f>
        <v>283.52400000000006</v>
      </c>
      <c r="R12" s="6"/>
      <c r="S12" s="6">
        <f>+R12</f>
        <v>0</v>
      </c>
    </row>
    <row r="13" spans="2:19" x14ac:dyDescent="0.25">
      <c r="B13" s="5" t="s">
        <v>662</v>
      </c>
      <c r="C13" s="5"/>
      <c r="D13" s="5" t="s">
        <v>611</v>
      </c>
      <c r="E13" s="6">
        <f>12*60</f>
        <v>720</v>
      </c>
      <c r="F13" s="129">
        <f>26700/1000000*1.5</f>
        <v>4.0050000000000002E-2</v>
      </c>
      <c r="G13" s="6">
        <f>+F13*E13</f>
        <v>28.836000000000002</v>
      </c>
      <c r="I13" s="5"/>
      <c r="J13" s="25"/>
      <c r="K13" s="6">
        <f>SUM(L13:Q13)</f>
        <v>0</v>
      </c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788</v>
      </c>
      <c r="C14" s="5"/>
      <c r="D14" s="5" t="s">
        <v>611</v>
      </c>
      <c r="E14" s="6">
        <f>180*12</f>
        <v>2160</v>
      </c>
      <c r="F14" s="129">
        <f t="shared" ref="F14:F15" si="0">26700/1000000*1.5</f>
        <v>4.0050000000000002E-2</v>
      </c>
      <c r="G14" s="6">
        <f>+F14*E14</f>
        <v>86.50800000000001</v>
      </c>
      <c r="I14" s="5"/>
      <c r="J14" s="25"/>
      <c r="K14" s="6">
        <f>SUM(L14:Q14)</f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798</v>
      </c>
      <c r="C15" s="5"/>
      <c r="D15" s="5" t="s">
        <v>611</v>
      </c>
      <c r="E15" s="6">
        <f>180*12</f>
        <v>2160</v>
      </c>
      <c r="F15" s="129">
        <f t="shared" si="0"/>
        <v>4.0050000000000002E-2</v>
      </c>
      <c r="G15" s="6">
        <f>+F15*E15</f>
        <v>86.50800000000001</v>
      </c>
      <c r="I15" s="5"/>
      <c r="J15" s="25"/>
      <c r="K15" s="6">
        <f>SUM(L15:Q15)</f>
        <v>0</v>
      </c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799</v>
      </c>
      <c r="C16" s="5"/>
      <c r="D16" s="5" t="s">
        <v>611</v>
      </c>
      <c r="E16" s="6">
        <f>180*2*12</f>
        <v>4320</v>
      </c>
      <c r="F16" s="129">
        <f>26700/1000000*0.5</f>
        <v>1.3350000000000001E-2</v>
      </c>
      <c r="G16" s="6">
        <f>+F16*E16</f>
        <v>57.672000000000004</v>
      </c>
      <c r="I16" s="5"/>
      <c r="J16" s="25"/>
      <c r="K16" s="6">
        <f>SUM(L16:Q16)</f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800</v>
      </c>
      <c r="C17" s="8"/>
      <c r="D17" s="8" t="s">
        <v>128</v>
      </c>
      <c r="E17" s="9">
        <v>12</v>
      </c>
      <c r="F17" s="129">
        <v>2</v>
      </c>
      <c r="G17" s="6">
        <f>+F17*E17</f>
        <v>24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283.52400000000006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1" spans="2:19" x14ac:dyDescent="0.25">
      <c r="I21" s="197" t="s">
        <v>265</v>
      </c>
      <c r="J21" s="198"/>
      <c r="K21" s="198"/>
      <c r="L21" s="198"/>
      <c r="M21" s="198"/>
      <c r="N21" s="199"/>
    </row>
    <row r="22" spans="2:19" x14ac:dyDescent="0.25">
      <c r="I22" s="29" t="s">
        <v>3</v>
      </c>
      <c r="J22" s="29" t="s">
        <v>582</v>
      </c>
      <c r="K22" s="29" t="s">
        <v>78</v>
      </c>
      <c r="L22" s="29" t="s">
        <v>80</v>
      </c>
      <c r="M22" s="29" t="s">
        <v>263</v>
      </c>
      <c r="N22" s="29" t="s">
        <v>264</v>
      </c>
      <c r="O22" s="2">
        <v>0</v>
      </c>
      <c r="P22" s="2">
        <v>1</v>
      </c>
      <c r="Q22" s="2">
        <v>2</v>
      </c>
      <c r="R22" s="2">
        <v>3</v>
      </c>
    </row>
    <row r="23" spans="2:19" x14ac:dyDescent="0.25">
      <c r="I23" s="15" t="str">
        <f>+I12</f>
        <v>IN49</v>
      </c>
      <c r="J23" s="15"/>
      <c r="K23" s="109"/>
      <c r="L23" s="6"/>
      <c r="M23" s="6">
        <f>NPV($L$8,P23:R23)+O23</f>
        <v>267.47547169811327</v>
      </c>
      <c r="N23" s="6">
        <f>-PMT($L$8,1,M23)</f>
        <v>283.52400000000006</v>
      </c>
      <c r="O23" s="2"/>
      <c r="P23" s="16">
        <f>+Q12</f>
        <v>283.52400000000006</v>
      </c>
      <c r="Q23" s="16"/>
      <c r="R23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2016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20161" r:id="rId3"/>
      </mc:Fallback>
    </mc:AlternateContent>
  </oleObjec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4"/>
  <sheetViews>
    <sheetView showGridLines="0" topLeftCell="A4" workbookViewId="0">
      <selection activeCell="K16" sqref="K16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9.5" customHeight="1" x14ac:dyDescent="0.25">
      <c r="B6" s="306" t="s">
        <v>212</v>
      </c>
      <c r="C6" s="306"/>
      <c r="D6" s="306" t="s">
        <v>217</v>
      </c>
      <c r="E6" s="306"/>
      <c r="F6" s="306"/>
      <c r="G6" s="306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6" t="s">
        <v>216</v>
      </c>
      <c r="E7" s="306"/>
      <c r="F7" s="306"/>
      <c r="G7" s="306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96</v>
      </c>
      <c r="C8" s="309"/>
      <c r="D8" s="309"/>
      <c r="E8" s="309"/>
      <c r="F8" s="309"/>
      <c r="G8" s="18" t="s">
        <v>501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75</v>
      </c>
      <c r="D11" s="21"/>
      <c r="E11" s="21"/>
      <c r="F11" s="22" t="s">
        <v>268</v>
      </c>
      <c r="G11" s="22" t="s">
        <v>75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+C11</f>
        <v>IN50</v>
      </c>
      <c r="J12" s="25" t="str">
        <f>+$J$8</f>
        <v>NO ESTRUCTURAL</v>
      </c>
      <c r="K12" s="6">
        <f>SUM(L12:Q12)</f>
        <v>240</v>
      </c>
      <c r="L12" s="6"/>
      <c r="M12" s="6"/>
      <c r="N12" s="6"/>
      <c r="O12" s="6"/>
      <c r="P12" s="6"/>
      <c r="Q12" s="6">
        <f>+G18</f>
        <v>240</v>
      </c>
      <c r="R12" s="6"/>
      <c r="S12" s="6"/>
    </row>
    <row r="13" spans="2:19" x14ac:dyDescent="0.25">
      <c r="B13" s="5" t="s">
        <v>801</v>
      </c>
      <c r="C13" s="5"/>
      <c r="D13" s="5" t="s">
        <v>128</v>
      </c>
      <c r="E13" s="6">
        <v>24</v>
      </c>
      <c r="F13" s="6">
        <v>10</v>
      </c>
      <c r="G13" s="6">
        <f>+F13*E13</f>
        <v>240</v>
      </c>
      <c r="I13" s="5"/>
      <c r="J13" s="25"/>
      <c r="K13" s="6">
        <f>SUM(L13:Q13)</f>
        <v>0</v>
      </c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240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240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>
        <f>+I13</f>
        <v>0</v>
      </c>
      <c r="J24" s="15"/>
      <c r="K24" s="109"/>
      <c r="L24" s="6"/>
      <c r="M24" s="6">
        <f>NPV($L$8,P24:R24)+O24</f>
        <v>220.00711997152013</v>
      </c>
      <c r="N24" s="6">
        <f>-PMT($L$8,1,M24)</f>
        <v>233.20754716981133</v>
      </c>
      <c r="O24" s="2"/>
      <c r="P24" s="16">
        <f>+Q12*0.5</f>
        <v>120</v>
      </c>
      <c r="Q24" s="16">
        <f>+P24</f>
        <v>120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0649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06497" r:id="rId3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S24"/>
  <sheetViews>
    <sheetView showGridLines="0" topLeftCell="D1" workbookViewId="0">
      <selection activeCell="I22" sqref="I22:R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0" customHeight="1" x14ac:dyDescent="0.25">
      <c r="B6" s="306" t="s">
        <v>212</v>
      </c>
      <c r="C6" s="306"/>
      <c r="D6" s="306" t="s">
        <v>217</v>
      </c>
      <c r="E6" s="306"/>
      <c r="F6" s="306"/>
      <c r="G6" s="306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6" t="s">
        <v>216</v>
      </c>
      <c r="E7" s="306"/>
      <c r="F7" s="306"/>
      <c r="G7" s="306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17" t="s">
        <v>218</v>
      </c>
      <c r="C8" s="317"/>
      <c r="D8" s="317"/>
      <c r="E8" s="317"/>
      <c r="F8" s="317"/>
      <c r="G8" s="18" t="s">
        <v>504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ht="15.75" x14ac:dyDescent="0.25">
      <c r="B11" s="19" t="s">
        <v>3</v>
      </c>
      <c r="C11" s="20" t="s">
        <v>218</v>
      </c>
      <c r="D11" s="21"/>
      <c r="E11" s="21"/>
      <c r="F11" s="22" t="s">
        <v>1</v>
      </c>
      <c r="G11" s="128" t="s">
        <v>715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IN51</v>
      </c>
      <c r="J12" s="25" t="str">
        <f>+$J$8</f>
        <v>NO ESTRUCTURAL</v>
      </c>
      <c r="K12" s="6">
        <f>SUM(L12:Q12)</f>
        <v>0</v>
      </c>
      <c r="L12" s="6"/>
      <c r="M12" s="6">
        <f>+G18</f>
        <v>0</v>
      </c>
      <c r="N12" s="6"/>
      <c r="O12" s="6"/>
      <c r="P12" s="6"/>
      <c r="Q12" s="6"/>
      <c r="R12" s="6"/>
      <c r="S12" s="6"/>
    </row>
    <row r="13" spans="2:19" x14ac:dyDescent="0.25">
      <c r="B13" s="5" t="s">
        <v>802</v>
      </c>
      <c r="C13" s="5"/>
      <c r="D13" s="5"/>
      <c r="E13" s="6"/>
      <c r="F13" s="6"/>
      <c r="G13" s="6">
        <f>+F13*E13</f>
        <v>0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>
        <f>+I13</f>
        <v>0</v>
      </c>
      <c r="J24" s="15"/>
      <c r="K24" s="109"/>
      <c r="L24" s="6"/>
      <c r="M24" s="6">
        <f>NPV($L$8,P24:R24)+O24</f>
        <v>0</v>
      </c>
      <c r="N24" s="6">
        <f>-PMT($L$8,1,M24)</f>
        <v>0</v>
      </c>
      <c r="O24" s="2"/>
      <c r="P24" s="16">
        <f>+M12</f>
        <v>0</v>
      </c>
      <c r="Q24" s="16">
        <f>+N12</f>
        <v>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1571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1571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B1:T54"/>
  <sheetViews>
    <sheetView showGridLines="0" workbookViewId="0">
      <pane xSplit="1" ySplit="8" topLeftCell="E15" activePane="bottomRight" state="frozen"/>
      <selection activeCell="F25" sqref="F25"/>
      <selection pane="topRight" activeCell="F25" sqref="F25"/>
      <selection pane="bottomLeft" activeCell="F25" sqref="F25"/>
      <selection pane="bottomRight" activeCell="I22" sqref="I22:T28"/>
    </sheetView>
  </sheetViews>
  <sheetFormatPr baseColWidth="10" defaultRowHeight="15" x14ac:dyDescent="0.25"/>
  <cols>
    <col min="1" max="1" width="2" customWidth="1"/>
    <col min="2" max="2" width="14.140625" bestFit="1" customWidth="1"/>
    <col min="6" max="6" width="14.28515625" customWidth="1"/>
    <col min="8" max="8" width="2.85546875" customWidth="1"/>
    <col min="9" max="9" width="26.140625" bestFit="1" customWidth="1"/>
    <col min="10" max="10" width="12.28515625" bestFit="1" customWidth="1"/>
    <col min="11" max="19" width="9.5703125" customWidth="1"/>
    <col min="20" max="20" width="11.42578125" style="69"/>
  </cols>
  <sheetData>
    <row r="1" spans="2:20" ht="7.5" customHeight="1" x14ac:dyDescent="0.25"/>
    <row r="2" spans="2:20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  <c r="T2" s="70"/>
    </row>
    <row r="3" spans="2:20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  <c r="T3" s="70"/>
    </row>
    <row r="4" spans="2:20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  <c r="T4" s="70"/>
    </row>
    <row r="5" spans="2:20" ht="6" customHeight="1" x14ac:dyDescent="0.25"/>
    <row r="6" spans="2:20" ht="22.5" customHeight="1" x14ac:dyDescent="0.25">
      <c r="B6" s="297" t="s">
        <v>81</v>
      </c>
      <c r="C6" s="297"/>
      <c r="D6" s="298" t="s">
        <v>156</v>
      </c>
      <c r="E6" s="298"/>
      <c r="F6" s="298"/>
      <c r="G6" s="298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71"/>
    </row>
    <row r="7" spans="2:20" ht="27.75" customHeight="1" x14ac:dyDescent="0.25">
      <c r="B7" s="297"/>
      <c r="C7" s="297"/>
      <c r="D7" s="298" t="s">
        <v>155</v>
      </c>
      <c r="E7" s="298"/>
      <c r="F7" s="298"/>
      <c r="G7" s="298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71"/>
    </row>
    <row r="8" spans="2:20" ht="19.5" customHeight="1" x14ac:dyDescent="0.4">
      <c r="B8" s="289" t="s">
        <v>154</v>
      </c>
      <c r="C8" s="289"/>
      <c r="D8" s="289"/>
      <c r="E8" s="289"/>
      <c r="F8" s="289"/>
      <c r="G8" s="18" t="s">
        <v>273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581</v>
      </c>
      <c r="N8" s="25">
        <v>10</v>
      </c>
      <c r="O8" s="25" t="s">
        <v>625</v>
      </c>
      <c r="P8" s="25"/>
      <c r="Q8" s="25"/>
      <c r="R8" s="2"/>
      <c r="S8" s="2"/>
      <c r="T8" s="72"/>
    </row>
    <row r="10" spans="2:20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  <c r="T10" s="73"/>
    </row>
    <row r="11" spans="2:20" x14ac:dyDescent="0.25">
      <c r="B11" s="19" t="s">
        <v>3</v>
      </c>
      <c r="C11" s="20" t="s">
        <v>573</v>
      </c>
      <c r="D11" s="21"/>
      <c r="E11" s="21"/>
      <c r="F11" s="22" t="s">
        <v>268</v>
      </c>
      <c r="G11" s="22" t="s">
        <v>27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  <c r="T11" s="65"/>
    </row>
    <row r="12" spans="2:20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+C11</f>
        <v>PMRH Río Mataquito</v>
      </c>
      <c r="J12" s="25" t="str">
        <f>+$J$8</f>
        <v>NO ESTRUCTURAL</v>
      </c>
      <c r="K12" s="6">
        <f>SUM(L12:Q12)</f>
        <v>347.1</v>
      </c>
      <c r="L12" s="6"/>
      <c r="M12" s="6"/>
      <c r="N12" s="6"/>
      <c r="O12" s="6"/>
      <c r="P12" s="6"/>
      <c r="Q12" s="6">
        <f>+G18</f>
        <v>347.1</v>
      </c>
      <c r="R12" s="6"/>
      <c r="S12" s="6"/>
      <c r="T12" s="66"/>
    </row>
    <row r="13" spans="2:20" x14ac:dyDescent="0.25">
      <c r="B13" s="5" t="s">
        <v>87</v>
      </c>
      <c r="C13" s="5"/>
      <c r="D13" s="5" t="s">
        <v>611</v>
      </c>
      <c r="E13" s="6">
        <v>3500</v>
      </c>
      <c r="F13" s="129">
        <f>26700/1000000</f>
        <v>2.6700000000000002E-2</v>
      </c>
      <c r="G13" s="6">
        <f>+F13*E13</f>
        <v>93.45</v>
      </c>
      <c r="I13" s="5" t="str">
        <f>+C20</f>
        <v>PMRH Río Maule</v>
      </c>
      <c r="J13" s="25" t="str">
        <f>+$J$8</f>
        <v>NO ESTRUCTURAL</v>
      </c>
      <c r="K13" s="6">
        <f t="shared" ref="K13:K19" si="0">SUM(L13:Q13)</f>
        <v>413.85</v>
      </c>
      <c r="L13" s="6"/>
      <c r="M13" s="6"/>
      <c r="N13" s="6"/>
      <c r="O13" s="6"/>
      <c r="P13" s="6"/>
      <c r="Q13" s="6">
        <f>+G27</f>
        <v>413.85</v>
      </c>
      <c r="R13" s="6"/>
      <c r="S13" s="6"/>
      <c r="T13" s="66"/>
    </row>
    <row r="14" spans="2:20" x14ac:dyDescent="0.25">
      <c r="B14" s="5" t="s">
        <v>88</v>
      </c>
      <c r="C14" s="5"/>
      <c r="D14" s="5" t="s">
        <v>611</v>
      </c>
      <c r="E14" s="6">
        <v>3500</v>
      </c>
      <c r="F14" s="129">
        <f>26700/1000000</f>
        <v>2.6700000000000002E-2</v>
      </c>
      <c r="G14" s="6">
        <f>+F14*E14</f>
        <v>93.45</v>
      </c>
      <c r="I14" s="5" t="str">
        <f>+C29</f>
        <v xml:space="preserve">PMRH Río Loncomilla </v>
      </c>
      <c r="J14" s="25" t="str">
        <f>+$J$8</f>
        <v>NO ESTRUCTURAL</v>
      </c>
      <c r="K14" s="6">
        <f t="shared" si="0"/>
        <v>347.1</v>
      </c>
      <c r="L14" s="6"/>
      <c r="M14" s="6"/>
      <c r="N14" s="6"/>
      <c r="O14" s="6"/>
      <c r="P14" s="6"/>
      <c r="Q14" s="6">
        <f>+G36</f>
        <v>347.1</v>
      </c>
      <c r="R14" s="6"/>
      <c r="S14" s="6"/>
      <c r="T14" s="66"/>
    </row>
    <row r="15" spans="2:20" x14ac:dyDescent="0.25">
      <c r="B15" s="5" t="s">
        <v>89</v>
      </c>
      <c r="C15" s="5"/>
      <c r="D15" s="5" t="s">
        <v>611</v>
      </c>
      <c r="E15" s="6">
        <v>6000</v>
      </c>
      <c r="F15" s="129">
        <f>26700/1000000</f>
        <v>2.6700000000000002E-2</v>
      </c>
      <c r="G15" s="6">
        <f>+F15*E15</f>
        <v>160.20000000000002</v>
      </c>
      <c r="I15" s="5" t="str">
        <f>+C38</f>
        <v xml:space="preserve">PMRH Río Perquilauquén </v>
      </c>
      <c r="J15" s="25" t="str">
        <f>+$J$8</f>
        <v>NO ESTRUCTURAL</v>
      </c>
      <c r="K15" s="6">
        <f t="shared" si="0"/>
        <v>347.1</v>
      </c>
      <c r="L15" s="6"/>
      <c r="M15" s="6"/>
      <c r="N15" s="6"/>
      <c r="O15" s="6"/>
      <c r="P15" s="6"/>
      <c r="Q15" s="6">
        <f>+G45</f>
        <v>347.1</v>
      </c>
      <c r="R15" s="6"/>
      <c r="S15" s="6"/>
      <c r="T15" s="66"/>
    </row>
    <row r="16" spans="2:20" x14ac:dyDescent="0.25">
      <c r="B16" s="5"/>
      <c r="C16" s="5"/>
      <c r="D16" s="5"/>
      <c r="E16" s="6"/>
      <c r="F16" s="6"/>
      <c r="G16" s="6">
        <f>+F16*E16</f>
        <v>0</v>
      </c>
      <c r="I16" s="5" t="str">
        <f>+C47</f>
        <v>PMRH Cuencas Costeras</v>
      </c>
      <c r="J16" s="25" t="str">
        <f>+$J$8</f>
        <v>NO ESTRUCTURAL</v>
      </c>
      <c r="K16" s="6">
        <f t="shared" si="0"/>
        <v>480.6</v>
      </c>
      <c r="L16" s="6"/>
      <c r="M16" s="6"/>
      <c r="N16" s="6"/>
      <c r="O16" s="6"/>
      <c r="P16" s="6"/>
      <c r="Q16" s="6">
        <f>+G54</f>
        <v>480.6</v>
      </c>
      <c r="R16" s="6"/>
      <c r="S16" s="6"/>
      <c r="T16" s="66"/>
    </row>
    <row r="17" spans="2:20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  <c r="T17" s="67"/>
    </row>
    <row r="18" spans="2:20" x14ac:dyDescent="0.25">
      <c r="B18" s="10" t="s">
        <v>2</v>
      </c>
      <c r="C18" s="11"/>
      <c r="D18" s="11"/>
      <c r="E18" s="12"/>
      <c r="F18" s="7"/>
      <c r="G18" s="24">
        <f>SUM(G13:G17)</f>
        <v>347.1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  <c r="T18" s="67"/>
    </row>
    <row r="19" spans="2:20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  <c r="T19" s="67"/>
    </row>
    <row r="20" spans="2:20" x14ac:dyDescent="0.25">
      <c r="B20" s="19" t="s">
        <v>3</v>
      </c>
      <c r="C20" s="20" t="s">
        <v>577</v>
      </c>
      <c r="D20" s="21"/>
      <c r="E20" s="21"/>
      <c r="F20" s="22" t="s">
        <v>268</v>
      </c>
      <c r="G20" s="22" t="s">
        <v>28</v>
      </c>
      <c r="I20" s="17" t="s">
        <v>2</v>
      </c>
      <c r="J20" s="14"/>
      <c r="K20" s="16">
        <f>SUM(K12:K19)</f>
        <v>1935.75</v>
      </c>
      <c r="L20" s="16">
        <f t="shared" ref="L20:Q20" si="1">SUM(L12:L19)</f>
        <v>0</v>
      </c>
      <c r="M20" s="16">
        <f t="shared" si="1"/>
        <v>0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1935.75</v>
      </c>
      <c r="R20" s="16">
        <f>SUM(R12:R19)</f>
        <v>0</v>
      </c>
      <c r="S20" s="16">
        <f>SUM(S12:S19)</f>
        <v>0</v>
      </c>
      <c r="T20" s="68"/>
    </row>
    <row r="21" spans="2:20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20" x14ac:dyDescent="0.25">
      <c r="B22" s="5" t="s">
        <v>87</v>
      </c>
      <c r="C22" s="5"/>
      <c r="D22" s="5" t="s">
        <v>611</v>
      </c>
      <c r="E22" s="6">
        <v>3500</v>
      </c>
      <c r="F22" s="129">
        <f>26700/1000000</f>
        <v>2.6700000000000002E-2</v>
      </c>
      <c r="G22" s="6">
        <f>+F22*E22</f>
        <v>93.45</v>
      </c>
      <c r="I22" s="113" t="s">
        <v>265</v>
      </c>
      <c r="J22" s="114"/>
      <c r="K22" s="114"/>
      <c r="L22" s="114"/>
      <c r="M22" s="114"/>
      <c r="N22" s="115"/>
      <c r="O22" s="286" t="s">
        <v>753</v>
      </c>
      <c r="P22" s="287"/>
      <c r="Q22" s="287"/>
      <c r="R22" s="287"/>
      <c r="S22" s="287"/>
      <c r="T22" s="288"/>
    </row>
    <row r="23" spans="2:20" x14ac:dyDescent="0.25">
      <c r="B23" s="5" t="s">
        <v>88</v>
      </c>
      <c r="C23" s="5"/>
      <c r="D23" s="5" t="s">
        <v>611</v>
      </c>
      <c r="E23" s="6">
        <v>5000</v>
      </c>
      <c r="F23" s="129">
        <f>26700/1000000</f>
        <v>2.6700000000000002E-2</v>
      </c>
      <c r="G23" s="6">
        <f>+F23*E23</f>
        <v>133.5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9">
        <v>0</v>
      </c>
      <c r="P23" s="29">
        <v>1</v>
      </c>
      <c r="Q23" s="29">
        <v>2</v>
      </c>
      <c r="R23" s="29"/>
      <c r="S23" s="29"/>
      <c r="T23" s="29"/>
    </row>
    <row r="24" spans="2:20" x14ac:dyDescent="0.25">
      <c r="B24" s="5" t="s">
        <v>89</v>
      </c>
      <c r="C24" s="5"/>
      <c r="D24" s="5" t="s">
        <v>611</v>
      </c>
      <c r="E24" s="6">
        <v>7000</v>
      </c>
      <c r="F24" s="129">
        <f>26700/1000000</f>
        <v>2.6700000000000002E-2</v>
      </c>
      <c r="G24" s="6">
        <f>+F24*E24</f>
        <v>186.9</v>
      </c>
      <c r="I24" s="15" t="str">
        <f>+I12</f>
        <v>PMRH Río Mataquito</v>
      </c>
      <c r="J24" s="15">
        <v>1</v>
      </c>
      <c r="K24" s="175" t="s">
        <v>754</v>
      </c>
      <c r="L24" s="175" t="s">
        <v>754</v>
      </c>
      <c r="M24" s="30">
        <f>NPV($L$8,P24:Q24)+O24</f>
        <v>318.18529725881098</v>
      </c>
      <c r="N24" s="30">
        <f>-PMT($L$8,$N$8,M24)</f>
        <v>43.231186674300538</v>
      </c>
      <c r="O24" s="181">
        <v>0</v>
      </c>
      <c r="P24" s="181">
        <f>+Q12*0.5</f>
        <v>173.55</v>
      </c>
      <c r="Q24" s="181">
        <f>+P24</f>
        <v>173.55</v>
      </c>
      <c r="R24" s="112"/>
      <c r="S24" s="112"/>
      <c r="T24" s="112"/>
    </row>
    <row r="25" spans="2:20" x14ac:dyDescent="0.25">
      <c r="B25" s="5"/>
      <c r="C25" s="5"/>
      <c r="D25" s="5"/>
      <c r="E25" s="6"/>
      <c r="F25" s="6"/>
      <c r="G25" s="6">
        <f>+F25*E25</f>
        <v>0</v>
      </c>
      <c r="I25" s="15" t="str">
        <f>+I13</f>
        <v>PMRH Río Maule</v>
      </c>
      <c r="J25" s="15">
        <v>4</v>
      </c>
      <c r="K25" s="175" t="s">
        <v>754</v>
      </c>
      <c r="L25" s="175" t="s">
        <v>754</v>
      </c>
      <c r="M25" s="30">
        <f>NPV($L$8,P25:Q25)+O25</f>
        <v>379.37477750088999</v>
      </c>
      <c r="N25" s="30">
        <f>-PMT($L$8,$N$8,M25)</f>
        <v>51.544876419358332</v>
      </c>
      <c r="O25" s="181">
        <v>0</v>
      </c>
      <c r="P25" s="181">
        <f>+Q13*0.5</f>
        <v>206.92500000000001</v>
      </c>
      <c r="Q25" s="181">
        <f t="shared" ref="Q25:Q28" si="2">+P25</f>
        <v>206.92500000000001</v>
      </c>
      <c r="R25" s="112"/>
      <c r="S25" s="112"/>
      <c r="T25" s="112"/>
    </row>
    <row r="26" spans="2:20" x14ac:dyDescent="0.25">
      <c r="B26" s="8"/>
      <c r="C26" s="8"/>
      <c r="D26" s="8"/>
      <c r="E26" s="9"/>
      <c r="F26" s="9"/>
      <c r="G26" s="6">
        <f>+F26*E26</f>
        <v>0</v>
      </c>
      <c r="I26" s="15" t="str">
        <f>+I14</f>
        <v xml:space="preserve">PMRH Río Loncomilla </v>
      </c>
      <c r="J26" s="15">
        <v>1</v>
      </c>
      <c r="K26" s="175" t="s">
        <v>754</v>
      </c>
      <c r="L26" s="175" t="s">
        <v>754</v>
      </c>
      <c r="M26" s="30">
        <f>NPV($L$8,P26:Q26)+O26</f>
        <v>318.18529725881098</v>
      </c>
      <c r="N26" s="30">
        <f>-PMT($L$8,$N$8,M26)</f>
        <v>43.231186674300538</v>
      </c>
      <c r="O26" s="181">
        <v>0</v>
      </c>
      <c r="P26" s="181">
        <f>+Q14*0.5</f>
        <v>173.55</v>
      </c>
      <c r="Q26" s="181">
        <f t="shared" si="2"/>
        <v>173.55</v>
      </c>
      <c r="R26" s="112"/>
      <c r="S26" s="112"/>
      <c r="T26" s="112"/>
    </row>
    <row r="27" spans="2:20" x14ac:dyDescent="0.25">
      <c r="B27" s="10" t="s">
        <v>2</v>
      </c>
      <c r="C27" s="11"/>
      <c r="D27" s="11"/>
      <c r="E27" s="12"/>
      <c r="F27" s="7"/>
      <c r="G27" s="24">
        <f>SUM(G22:G26)</f>
        <v>413.85</v>
      </c>
      <c r="I27" s="15" t="str">
        <f>+I15</f>
        <v xml:space="preserve">PMRH Río Perquilauquén </v>
      </c>
      <c r="J27" s="15">
        <v>1</v>
      </c>
      <c r="K27" s="175" t="s">
        <v>754</v>
      </c>
      <c r="L27" s="175" t="s">
        <v>754</v>
      </c>
      <c r="M27" s="30">
        <f>NPV($L$8,P27:Q27)+O27</f>
        <v>318.18529725881098</v>
      </c>
      <c r="N27" s="30">
        <f>-PMT($L$8,$N$8,M27)</f>
        <v>43.231186674300538</v>
      </c>
      <c r="O27" s="181">
        <v>0</v>
      </c>
      <c r="P27" s="181">
        <f>+Q15*0.5</f>
        <v>173.55</v>
      </c>
      <c r="Q27" s="181">
        <f t="shared" si="2"/>
        <v>173.55</v>
      </c>
      <c r="R27" s="112"/>
      <c r="S27" s="112"/>
      <c r="T27" s="112"/>
    </row>
    <row r="28" spans="2:20" x14ac:dyDescent="0.25">
      <c r="I28" s="15" t="str">
        <f>+I16</f>
        <v>PMRH Cuencas Costeras</v>
      </c>
      <c r="J28" s="15">
        <v>5</v>
      </c>
      <c r="K28" s="175" t="s">
        <v>754</v>
      </c>
      <c r="L28" s="175" t="s">
        <v>754</v>
      </c>
      <c r="M28" s="30">
        <f>NPV($L$8,P28:Q28)+O28</f>
        <v>440.564257742969</v>
      </c>
      <c r="N28" s="30">
        <f>-PMT($L$8,$N$8,M28)</f>
        <v>59.858566164416125</v>
      </c>
      <c r="O28" s="181">
        <v>0</v>
      </c>
      <c r="P28" s="181">
        <f>+Q16*0.5</f>
        <v>240.3</v>
      </c>
      <c r="Q28" s="181">
        <f t="shared" si="2"/>
        <v>240.3</v>
      </c>
      <c r="R28" s="112"/>
      <c r="S28" s="112"/>
      <c r="T28" s="112"/>
    </row>
    <row r="29" spans="2:20" x14ac:dyDescent="0.25">
      <c r="B29" s="19" t="s">
        <v>3</v>
      </c>
      <c r="C29" s="20" t="s">
        <v>576</v>
      </c>
      <c r="D29" s="21"/>
      <c r="E29" s="21"/>
      <c r="F29" s="22" t="s">
        <v>268</v>
      </c>
      <c r="G29" s="22" t="s">
        <v>29</v>
      </c>
      <c r="N29" s="67"/>
      <c r="O29" s="67"/>
      <c r="P29" s="67"/>
      <c r="Q29" s="67"/>
      <c r="R29" s="67"/>
      <c r="S29" s="67"/>
      <c r="T29" s="67"/>
    </row>
    <row r="30" spans="2:20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  <c r="N30" s="67"/>
      <c r="O30" s="67"/>
      <c r="P30" s="67"/>
      <c r="Q30" s="67"/>
      <c r="R30" s="67"/>
      <c r="S30" s="67"/>
      <c r="T30" s="67"/>
    </row>
    <row r="31" spans="2:20" x14ac:dyDescent="0.25">
      <c r="B31" s="5" t="s">
        <v>87</v>
      </c>
      <c r="C31" s="5"/>
      <c r="D31" s="5" t="s">
        <v>611</v>
      </c>
      <c r="E31" s="6">
        <v>3500</v>
      </c>
      <c r="F31" s="129">
        <f>26700/1000000</f>
        <v>2.6700000000000002E-2</v>
      </c>
      <c r="G31" s="6">
        <f>+F31*E31</f>
        <v>93.45</v>
      </c>
      <c r="N31" s="67"/>
      <c r="O31" s="67"/>
      <c r="P31" s="67"/>
      <c r="Q31" s="67"/>
      <c r="R31" s="67"/>
      <c r="S31" s="67"/>
      <c r="T31" s="67"/>
    </row>
    <row r="32" spans="2:20" x14ac:dyDescent="0.25">
      <c r="B32" s="5" t="s">
        <v>88</v>
      </c>
      <c r="C32" s="5"/>
      <c r="D32" s="5" t="s">
        <v>611</v>
      </c>
      <c r="E32" s="6">
        <v>3500</v>
      </c>
      <c r="F32" s="129">
        <f>26700/1000000</f>
        <v>2.6700000000000002E-2</v>
      </c>
      <c r="G32" s="6">
        <f>+F32*E32</f>
        <v>93.45</v>
      </c>
      <c r="N32" s="68"/>
      <c r="O32" s="68"/>
      <c r="P32" s="68"/>
      <c r="Q32" s="68"/>
      <c r="R32" s="68"/>
      <c r="S32" s="68"/>
      <c r="T32" s="68"/>
    </row>
    <row r="33" spans="2:7" x14ac:dyDescent="0.25">
      <c r="B33" s="5" t="s">
        <v>89</v>
      </c>
      <c r="C33" s="5"/>
      <c r="D33" s="5" t="s">
        <v>611</v>
      </c>
      <c r="E33" s="6">
        <v>6000</v>
      </c>
      <c r="F33" s="129">
        <f>26700/1000000</f>
        <v>2.6700000000000002E-2</v>
      </c>
      <c r="G33" s="6">
        <f>+F33*E33</f>
        <v>160.20000000000002</v>
      </c>
    </row>
    <row r="34" spans="2:7" x14ac:dyDescent="0.25">
      <c r="B34" s="5"/>
      <c r="C34" s="5"/>
      <c r="D34" s="5"/>
      <c r="E34" s="6"/>
      <c r="F34" s="6"/>
      <c r="G34" s="6">
        <f>+F34*E34</f>
        <v>0</v>
      </c>
    </row>
    <row r="35" spans="2:7" x14ac:dyDescent="0.25">
      <c r="B35" s="8"/>
      <c r="C35" s="8"/>
      <c r="D35" s="8"/>
      <c r="E35" s="9"/>
      <c r="F35" s="9"/>
      <c r="G35" s="6">
        <f>+F35*E35</f>
        <v>0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347.1</v>
      </c>
    </row>
    <row r="38" spans="2:7" x14ac:dyDescent="0.25">
      <c r="B38" s="19" t="s">
        <v>3</v>
      </c>
      <c r="C38" s="20" t="s">
        <v>575</v>
      </c>
      <c r="D38" s="21"/>
      <c r="E38" s="21"/>
      <c r="F38" s="22" t="s">
        <v>268</v>
      </c>
      <c r="G38" s="22" t="s">
        <v>30</v>
      </c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5" t="s">
        <v>87</v>
      </c>
      <c r="C40" s="5"/>
      <c r="D40" s="5" t="s">
        <v>611</v>
      </c>
      <c r="E40" s="6">
        <v>3500</v>
      </c>
      <c r="F40" s="129">
        <f>26700/1000000</f>
        <v>2.6700000000000002E-2</v>
      </c>
      <c r="G40" s="6">
        <f>+F40*E40</f>
        <v>93.45</v>
      </c>
    </row>
    <row r="41" spans="2:7" x14ac:dyDescent="0.25">
      <c r="B41" s="5" t="s">
        <v>88</v>
      </c>
      <c r="C41" s="5"/>
      <c r="D41" s="5" t="s">
        <v>611</v>
      </c>
      <c r="E41" s="6">
        <v>3500</v>
      </c>
      <c r="F41" s="129">
        <f>26700/1000000</f>
        <v>2.6700000000000002E-2</v>
      </c>
      <c r="G41" s="6">
        <f>+F41*E41</f>
        <v>93.45</v>
      </c>
    </row>
    <row r="42" spans="2:7" x14ac:dyDescent="0.25">
      <c r="B42" s="5" t="s">
        <v>89</v>
      </c>
      <c r="C42" s="5"/>
      <c r="D42" s="5" t="s">
        <v>611</v>
      </c>
      <c r="E42" s="6">
        <v>6000</v>
      </c>
      <c r="F42" s="129">
        <f>26700/1000000</f>
        <v>2.6700000000000002E-2</v>
      </c>
      <c r="G42" s="6">
        <f>+F42*E42</f>
        <v>160.20000000000002</v>
      </c>
    </row>
    <row r="43" spans="2:7" x14ac:dyDescent="0.25">
      <c r="B43" s="5"/>
      <c r="C43" s="5"/>
      <c r="D43" s="5"/>
      <c r="E43" s="6"/>
      <c r="F43" s="6"/>
      <c r="G43" s="6">
        <f>+F43*E43</f>
        <v>0</v>
      </c>
    </row>
    <row r="44" spans="2:7" x14ac:dyDescent="0.25">
      <c r="B44" s="8"/>
      <c r="C44" s="8"/>
      <c r="D44" s="8"/>
      <c r="E44" s="9"/>
      <c r="F44" s="9"/>
      <c r="G44" s="6">
        <f>+F44*E44</f>
        <v>0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347.1</v>
      </c>
    </row>
    <row r="47" spans="2:7" x14ac:dyDescent="0.25">
      <c r="B47" s="19" t="s">
        <v>3</v>
      </c>
      <c r="C47" s="20" t="s">
        <v>574</v>
      </c>
      <c r="D47" s="21"/>
      <c r="E47" s="21"/>
      <c r="F47" s="22" t="s">
        <v>268</v>
      </c>
      <c r="G47" s="22" t="s">
        <v>31</v>
      </c>
    </row>
    <row r="48" spans="2:7" ht="23.25" x14ac:dyDescent="0.25">
      <c r="B48" s="3" t="s">
        <v>13</v>
      </c>
      <c r="C48" s="4" t="s">
        <v>11</v>
      </c>
      <c r="D48" s="4" t="s">
        <v>9</v>
      </c>
      <c r="E48" s="4" t="s">
        <v>10</v>
      </c>
      <c r="F48" s="4" t="s">
        <v>14</v>
      </c>
      <c r="G48" s="4" t="s">
        <v>12</v>
      </c>
    </row>
    <row r="49" spans="2:7" x14ac:dyDescent="0.25">
      <c r="B49" s="5" t="s">
        <v>87</v>
      </c>
      <c r="C49" s="5"/>
      <c r="D49" s="5" t="s">
        <v>611</v>
      </c>
      <c r="E49" s="6">
        <v>5000</v>
      </c>
      <c r="F49" s="129">
        <f>26700/1000000</f>
        <v>2.6700000000000002E-2</v>
      </c>
      <c r="G49" s="6">
        <f>+F49*E49</f>
        <v>133.5</v>
      </c>
    </row>
    <row r="50" spans="2:7" x14ac:dyDescent="0.25">
      <c r="B50" s="5" t="s">
        <v>88</v>
      </c>
      <c r="C50" s="5"/>
      <c r="D50" s="5" t="s">
        <v>611</v>
      </c>
      <c r="E50" s="6">
        <v>5000</v>
      </c>
      <c r="F50" s="129">
        <f>26700/1000000</f>
        <v>2.6700000000000002E-2</v>
      </c>
      <c r="G50" s="6">
        <f>+F50*E50</f>
        <v>133.5</v>
      </c>
    </row>
    <row r="51" spans="2:7" x14ac:dyDescent="0.25">
      <c r="B51" s="5" t="s">
        <v>89</v>
      </c>
      <c r="C51" s="5"/>
      <c r="D51" s="5" t="s">
        <v>611</v>
      </c>
      <c r="E51" s="6">
        <v>8000</v>
      </c>
      <c r="F51" s="129">
        <f>26700/1000000</f>
        <v>2.6700000000000002E-2</v>
      </c>
      <c r="G51" s="6">
        <f>+F51*E51</f>
        <v>213.60000000000002</v>
      </c>
    </row>
    <row r="52" spans="2:7" x14ac:dyDescent="0.25">
      <c r="B52" s="5"/>
      <c r="C52" s="5"/>
      <c r="D52" s="5"/>
      <c r="E52" s="6"/>
      <c r="F52" s="6"/>
      <c r="G52" s="6">
        <f>+F52*E52</f>
        <v>0</v>
      </c>
    </row>
    <row r="53" spans="2:7" x14ac:dyDescent="0.25">
      <c r="B53" s="8"/>
      <c r="C53" s="8"/>
      <c r="D53" s="8"/>
      <c r="E53" s="9"/>
      <c r="F53" s="9"/>
      <c r="G53" s="6">
        <f>+F53*E53</f>
        <v>0</v>
      </c>
    </row>
    <row r="54" spans="2:7" x14ac:dyDescent="0.25">
      <c r="B54" s="10" t="s">
        <v>2</v>
      </c>
      <c r="C54" s="11"/>
      <c r="D54" s="11"/>
      <c r="E54" s="12"/>
      <c r="F54" s="7"/>
      <c r="G54" s="23">
        <f>SUM(G49:G53)</f>
        <v>480.6</v>
      </c>
    </row>
  </sheetData>
  <mergeCells count="12">
    <mergeCell ref="O22:T22"/>
    <mergeCell ref="B10:G10"/>
    <mergeCell ref="B8:F8"/>
    <mergeCell ref="I10:S10"/>
    <mergeCell ref="B2:B4"/>
    <mergeCell ref="I6:S7"/>
    <mergeCell ref="C2:S2"/>
    <mergeCell ref="B6:C7"/>
    <mergeCell ref="D6:G6"/>
    <mergeCell ref="D7:G7"/>
    <mergeCell ref="C3:S3"/>
    <mergeCell ref="C4:S4"/>
  </mergeCells>
  <pageMargins left="0.70866141732283472" right="0.70866141732283472" top="0.74803149606299213" bottom="0.74803149606299213" header="0.31496062992125984" footer="0.31496062992125984"/>
  <pageSetup scale="60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2050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50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B1:S24"/>
  <sheetViews>
    <sheetView showGridLines="0" workbookViewId="0">
      <pane xSplit="8" ySplit="11" topLeftCell="I12" activePane="bottomRight" state="frozen"/>
      <selection activeCell="D6" sqref="D6:G7"/>
      <selection pane="topRight" activeCell="D6" sqref="D6:G7"/>
      <selection pane="bottomLeft" activeCell="D6" sqref="D6:G7"/>
      <selection pane="bottomRight" activeCell="I12" sqref="I1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8" customHeight="1" x14ac:dyDescent="0.25">
      <c r="B6" s="306" t="s">
        <v>97</v>
      </c>
      <c r="C6" s="306"/>
      <c r="D6" s="307" t="s">
        <v>222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219</v>
      </c>
      <c r="C8" s="309"/>
      <c r="D8" s="309"/>
      <c r="E8" s="309"/>
      <c r="F8" s="309"/>
      <c r="G8" s="18" t="s">
        <v>506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716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IN52</v>
      </c>
      <c r="J12" s="25" t="str">
        <f>+$J$8</f>
        <v>NO ESTRUCTURAL</v>
      </c>
      <c r="K12" s="6">
        <f>SUM(L12:Q12)</f>
        <v>452.2</v>
      </c>
      <c r="L12" s="6"/>
      <c r="M12" s="6">
        <f>+G18*0.5</f>
        <v>226.1</v>
      </c>
      <c r="N12" s="6">
        <f>+M12</f>
        <v>226.1</v>
      </c>
      <c r="O12" s="6"/>
      <c r="P12" s="6"/>
      <c r="Q12" s="6"/>
      <c r="R12" s="6"/>
      <c r="S12" s="6"/>
    </row>
    <row r="13" spans="2:19" x14ac:dyDescent="0.25">
      <c r="B13" s="5" t="s">
        <v>87</v>
      </c>
      <c r="C13" s="5"/>
      <c r="D13" s="5" t="s">
        <v>611</v>
      </c>
      <c r="E13" s="6">
        <v>7000</v>
      </c>
      <c r="F13" s="129">
        <f>26600/1000000</f>
        <v>2.6599999999999999E-2</v>
      </c>
      <c r="G13" s="6">
        <f>+F13*E13</f>
        <v>186.2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612</v>
      </c>
      <c r="C14" s="5"/>
      <c r="D14" s="5" t="s">
        <v>611</v>
      </c>
      <c r="E14" s="6">
        <v>5000</v>
      </c>
      <c r="F14" s="129">
        <f>26600/1000000</f>
        <v>2.6599999999999999E-2</v>
      </c>
      <c r="G14" s="6">
        <f>+F14*E14</f>
        <v>133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613</v>
      </c>
      <c r="C15" s="5"/>
      <c r="D15" s="5" t="s">
        <v>611</v>
      </c>
      <c r="E15" s="6">
        <v>5000</v>
      </c>
      <c r="F15" s="129">
        <f>26600/1000000</f>
        <v>2.6599999999999999E-2</v>
      </c>
      <c r="G15" s="6">
        <f>+F15*E15</f>
        <v>133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452.2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452.2</v>
      </c>
      <c r="L20" s="16">
        <f t="shared" ref="L20:S20" si="0">SUM(L12:L19)</f>
        <v>0</v>
      </c>
      <c r="M20" s="16">
        <f t="shared" si="0"/>
        <v>226.1</v>
      </c>
      <c r="N20" s="16">
        <f t="shared" si="0"/>
        <v>226.1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IN52</v>
      </c>
      <c r="J24" s="15"/>
      <c r="K24" s="109"/>
      <c r="L24" s="6"/>
      <c r="M24" s="6">
        <f>NPV($L$8,P24:R24)+O24</f>
        <v>414.53008187967248</v>
      </c>
      <c r="N24" s="6">
        <f>-PMT($L$8,1,M24)</f>
        <v>439.4018867924529</v>
      </c>
      <c r="O24" s="2"/>
      <c r="P24" s="16">
        <f>+M12</f>
        <v>226.1</v>
      </c>
      <c r="Q24" s="16">
        <f>+N12</f>
        <v>226.1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739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7393" r:id="rId3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B1:S24"/>
  <sheetViews>
    <sheetView showGridLines="0" workbookViewId="0">
      <pane xSplit="8" ySplit="11" topLeftCell="I12" activePane="bottomRight" state="frozen"/>
      <selection activeCell="D6" sqref="D6:G7"/>
      <selection pane="topRight" activeCell="D6" sqref="D6:G7"/>
      <selection pane="bottomLeft" activeCell="D6" sqref="D6:G7"/>
      <selection pane="bottomRight" activeCell="P25" sqref="P25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4.25" customHeight="1" x14ac:dyDescent="0.25">
      <c r="B6" s="306" t="s">
        <v>97</v>
      </c>
      <c r="C6" s="306"/>
      <c r="D6" s="307" t="s">
        <v>222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223</v>
      </c>
      <c r="C8" s="309"/>
      <c r="D8" s="309"/>
      <c r="E8" s="309"/>
      <c r="F8" s="309"/>
      <c r="G8" s="18" t="s">
        <v>508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717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IN53</v>
      </c>
      <c r="J12" s="25" t="str">
        <f>+$J$8</f>
        <v>NO ESTRUCTURAL</v>
      </c>
      <c r="K12" s="6">
        <f>SUM(L12:Q12)</f>
        <v>266</v>
      </c>
      <c r="L12" s="6"/>
      <c r="M12" s="6"/>
      <c r="N12" s="6"/>
      <c r="O12" s="6"/>
      <c r="P12" s="6"/>
      <c r="Q12" s="6">
        <f>+G18</f>
        <v>266</v>
      </c>
      <c r="R12" s="6"/>
      <c r="S12" s="6"/>
    </row>
    <row r="13" spans="2:19" x14ac:dyDescent="0.25">
      <c r="B13" s="5" t="s">
        <v>87</v>
      </c>
      <c r="C13" s="5"/>
      <c r="D13" s="5" t="s">
        <v>611</v>
      </c>
      <c r="E13" s="6">
        <v>4000</v>
      </c>
      <c r="F13" s="129">
        <f>26600/1000000</f>
        <v>2.6599999999999999E-2</v>
      </c>
      <c r="G13" s="6">
        <f>+F13*E13</f>
        <v>106.39999999999999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612</v>
      </c>
      <c r="C14" s="5"/>
      <c r="D14" s="5" t="s">
        <v>611</v>
      </c>
      <c r="E14" s="6">
        <v>3000</v>
      </c>
      <c r="F14" s="129">
        <f>26600/1000000</f>
        <v>2.6599999999999999E-2</v>
      </c>
      <c r="G14" s="6">
        <f>+F14*E14</f>
        <v>79.8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613</v>
      </c>
      <c r="C15" s="5"/>
      <c r="D15" s="5" t="s">
        <v>611</v>
      </c>
      <c r="E15" s="6">
        <v>3000</v>
      </c>
      <c r="F15" s="129">
        <f>26600/1000000</f>
        <v>2.6599999999999999E-2</v>
      </c>
      <c r="G15" s="6">
        <f>+F15*E15</f>
        <v>79.8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266</v>
      </c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266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>SUM(Q12:Q19)</f>
        <v>266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IN53</v>
      </c>
      <c r="J24" s="15"/>
      <c r="K24" s="109"/>
      <c r="L24" s="6"/>
      <c r="M24" s="6">
        <f>NPV($L$8,P24:R24)+O24</f>
        <v>250.94339622641508</v>
      </c>
      <c r="N24" s="6">
        <f>-PMT($L$8,1,M24)</f>
        <v>266</v>
      </c>
      <c r="O24" s="2"/>
      <c r="P24" s="16">
        <f>+Q12</f>
        <v>266</v>
      </c>
      <c r="Q24" s="16">
        <f>+N12</f>
        <v>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841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8417" r:id="rId3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B1:S24"/>
  <sheetViews>
    <sheetView showGridLines="0" workbookViewId="0">
      <pane xSplit="8" ySplit="11" topLeftCell="I12" activePane="bottomRight" state="frozen"/>
      <selection activeCell="D6" sqref="D6:G7"/>
      <selection pane="topRight" activeCell="D6" sqref="D6:G7"/>
      <selection pane="bottomLeft" activeCell="D6" sqref="D6:G7"/>
      <selection pane="bottomRight" activeCell="Q25" sqref="Q25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4.25" customHeight="1" x14ac:dyDescent="0.25">
      <c r="B6" s="306" t="s">
        <v>97</v>
      </c>
      <c r="C6" s="306"/>
      <c r="D6" s="307" t="s">
        <v>222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224</v>
      </c>
      <c r="C8" s="309"/>
      <c r="D8" s="309"/>
      <c r="E8" s="309"/>
      <c r="F8" s="309"/>
      <c r="G8" s="18" t="s">
        <v>512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493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IN54</v>
      </c>
      <c r="J12" s="25" t="str">
        <f>+$J$8</f>
        <v>NO ESTRUCTURAL</v>
      </c>
      <c r="K12" s="6">
        <f>SUM(L12:Q12)</f>
        <v>452.2</v>
      </c>
      <c r="L12" s="6"/>
      <c r="M12" s="6"/>
      <c r="N12" s="6"/>
      <c r="O12" s="6"/>
      <c r="P12" s="6"/>
      <c r="Q12" s="6">
        <f>+G18</f>
        <v>452.2</v>
      </c>
      <c r="R12" s="6"/>
      <c r="S12" s="6"/>
    </row>
    <row r="13" spans="2:19" x14ac:dyDescent="0.25">
      <c r="B13" s="5" t="s">
        <v>87</v>
      </c>
      <c r="C13" s="5"/>
      <c r="D13" s="5" t="s">
        <v>611</v>
      </c>
      <c r="E13" s="6">
        <v>7000</v>
      </c>
      <c r="F13" s="129">
        <f>26600/1000000</f>
        <v>2.6599999999999999E-2</v>
      </c>
      <c r="G13" s="6">
        <f>+F13*E13</f>
        <v>186.2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612</v>
      </c>
      <c r="C14" s="5"/>
      <c r="D14" s="5" t="s">
        <v>611</v>
      </c>
      <c r="E14" s="6">
        <v>5000</v>
      </c>
      <c r="F14" s="129">
        <f>26600/1000000</f>
        <v>2.6599999999999999E-2</v>
      </c>
      <c r="G14" s="6">
        <f>+F14*E14</f>
        <v>133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613</v>
      </c>
      <c r="C15" s="5"/>
      <c r="D15" s="5" t="s">
        <v>611</v>
      </c>
      <c r="E15" s="6">
        <v>5000</v>
      </c>
      <c r="F15" s="129">
        <f>26600/1000000</f>
        <v>2.6599999999999999E-2</v>
      </c>
      <c r="G15" s="6">
        <f>+F15*E15</f>
        <v>133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/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/>
      <c r="C18" s="11"/>
      <c r="D18" s="11"/>
      <c r="E18" s="12"/>
      <c r="F18" s="7"/>
      <c r="G18" s="24">
        <f>SUM(G13:G17)</f>
        <v>452.2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452.2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452.2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IN54</v>
      </c>
      <c r="J24" s="15"/>
      <c r="K24" s="109"/>
      <c r="L24" s="6"/>
      <c r="M24" s="6">
        <f>NPV($L$8,P24:R24)+O24</f>
        <v>414.53008187967248</v>
      </c>
      <c r="N24" s="6">
        <f>-PMT($L$8,1,M24)</f>
        <v>439.4018867924529</v>
      </c>
      <c r="O24" s="2"/>
      <c r="P24" s="16">
        <f>+Q12*0.5</f>
        <v>226.1</v>
      </c>
      <c r="Q24" s="16">
        <f>+P24</f>
        <v>226.1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5702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57025" r:id="rId3"/>
      </mc:Fallback>
    </mc:AlternateContent>
  </oleObjec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B1:S24"/>
  <sheetViews>
    <sheetView showGridLines="0" workbookViewId="0">
      <pane xSplit="8" ySplit="11" topLeftCell="K12" activePane="bottomRight" state="frozen"/>
      <selection activeCell="D6" sqref="D6:G7"/>
      <selection pane="topRight" activeCell="D6" sqref="D6:G7"/>
      <selection pane="bottomLeft" activeCell="D6" sqref="D6:G7"/>
      <selection pane="bottomRight" activeCell="I22" sqref="I22:R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4.25" customHeight="1" x14ac:dyDescent="0.25">
      <c r="B6" s="306" t="s">
        <v>97</v>
      </c>
      <c r="C6" s="306"/>
      <c r="D6" s="307" t="s">
        <v>222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226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225</v>
      </c>
      <c r="C8" s="309"/>
      <c r="D8" s="309"/>
      <c r="E8" s="309"/>
      <c r="F8" s="309"/>
      <c r="G8" s="18" t="s">
        <v>515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268</v>
      </c>
      <c r="G11" s="22" t="s">
        <v>497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IN55</v>
      </c>
      <c r="J12" s="25" t="str">
        <f>+$J$8</f>
        <v>NO ESTRUCTURAL</v>
      </c>
      <c r="K12" s="6"/>
      <c r="L12" s="6"/>
      <c r="M12" s="6"/>
      <c r="N12" s="6"/>
      <c r="O12" s="6"/>
      <c r="P12" s="6"/>
      <c r="Q12" s="6"/>
      <c r="R12" s="6"/>
      <c r="S12" s="6"/>
    </row>
    <row r="13" spans="2:19" x14ac:dyDescent="0.25">
      <c r="B13" s="5" t="s">
        <v>797</v>
      </c>
      <c r="C13" s="5"/>
      <c r="D13" s="5"/>
      <c r="E13" s="6"/>
      <c r="F13" s="6"/>
      <c r="G13" s="6"/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/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/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/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/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/>
      <c r="C18" s="11"/>
      <c r="D18" s="11"/>
      <c r="E18" s="12"/>
      <c r="F18" s="7"/>
      <c r="G18" s="24">
        <v>0</v>
      </c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0</v>
      </c>
      <c r="L20" s="16">
        <f t="shared" ref="L20:S20" si="0">SUM(L12:L19)</f>
        <v>0</v>
      </c>
      <c r="M20" s="16">
        <f t="shared" si="0"/>
        <v>0</v>
      </c>
      <c r="N20" s="16">
        <f t="shared" si="0"/>
        <v>0</v>
      </c>
      <c r="O20" s="16">
        <f t="shared" si="0"/>
        <v>0</v>
      </c>
      <c r="P20" s="16">
        <f t="shared" si="0"/>
        <v>0</v>
      </c>
      <c r="Q20" s="16">
        <f t="shared" si="0"/>
        <v>0</v>
      </c>
      <c r="R20" s="16">
        <f t="shared" si="0"/>
        <v>0</v>
      </c>
      <c r="S20" s="16">
        <f t="shared" si="0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I24" s="15" t="str">
        <f>+I12</f>
        <v>IN55</v>
      </c>
      <c r="J24" s="15"/>
      <c r="K24" s="109"/>
      <c r="L24" s="6"/>
      <c r="M24" s="6">
        <f>NPV($L$8,P24:R24)+O24</f>
        <v>0</v>
      </c>
      <c r="N24" s="6">
        <f>-PMT($L$8,1,M24)</f>
        <v>0</v>
      </c>
      <c r="O24" s="2"/>
      <c r="P24" s="16">
        <f>+M12</f>
        <v>0</v>
      </c>
      <c r="Q24" s="16">
        <f>+N12</f>
        <v>0</v>
      </c>
      <c r="R24" s="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5804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58049" r:id="rId3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B1:S45"/>
  <sheetViews>
    <sheetView showGridLines="0" topLeftCell="B4" workbookViewId="0">
      <selection activeCell="P24" sqref="P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1.5" customHeight="1" x14ac:dyDescent="0.25">
      <c r="B6" s="306" t="s">
        <v>99</v>
      </c>
      <c r="C6" s="306"/>
      <c r="D6" s="307" t="s">
        <v>229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228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227</v>
      </c>
      <c r="C8" s="309"/>
      <c r="D8" s="309"/>
      <c r="E8" s="309"/>
      <c r="F8" s="309"/>
      <c r="G8" s="18" t="s">
        <v>731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82</v>
      </c>
      <c r="D11" s="21"/>
      <c r="E11" s="21"/>
      <c r="F11" s="22" t="s">
        <v>1</v>
      </c>
      <c r="G11" s="22" t="s">
        <v>499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IN56</v>
      </c>
      <c r="J12" s="25" t="str">
        <f>+$J$8</f>
        <v>NO ESTRUCTURAL</v>
      </c>
      <c r="K12" s="6">
        <f>SUM(L12:Q12)</f>
        <v>245.07600000000002</v>
      </c>
      <c r="L12" s="6"/>
      <c r="M12" s="6"/>
      <c r="N12" s="6"/>
      <c r="O12" s="6"/>
      <c r="P12" s="6"/>
      <c r="Q12" s="6">
        <f>+G18</f>
        <v>245.07600000000002</v>
      </c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60*12</f>
        <v>720</v>
      </c>
      <c r="F13" s="147">
        <f>26700/1000000*2</f>
        <v>5.3400000000000003E-2</v>
      </c>
      <c r="G13" s="6">
        <f>+F13*E13</f>
        <v>38.448</v>
      </c>
      <c r="I13" s="5" t="str">
        <f>+G20</f>
        <v>IN57</v>
      </c>
      <c r="J13" s="25" t="str">
        <f>+$J$8</f>
        <v>NO ESTRUCTURAL</v>
      </c>
      <c r="K13" s="6">
        <f>SUM(L13:Q13)</f>
        <v>321.97200000000004</v>
      </c>
      <c r="L13" s="6"/>
      <c r="M13" s="6"/>
      <c r="N13" s="6"/>
      <c r="O13" s="6"/>
      <c r="P13" s="6"/>
      <c r="Q13" s="6">
        <f>+G27</f>
        <v>321.97200000000004</v>
      </c>
      <c r="R13" s="6"/>
      <c r="S13" s="6"/>
    </row>
    <row r="14" spans="2:19" x14ac:dyDescent="0.25">
      <c r="B14" s="5" t="s">
        <v>804</v>
      </c>
      <c r="C14" s="5"/>
      <c r="D14" s="5" t="s">
        <v>611</v>
      </c>
      <c r="E14" s="6">
        <f>180*12</f>
        <v>2160</v>
      </c>
      <c r="F14" s="147">
        <f>26700/1000000*1</f>
        <v>2.6700000000000002E-2</v>
      </c>
      <c r="G14" s="6">
        <f>+F14*E14</f>
        <v>57.672000000000004</v>
      </c>
      <c r="I14" s="5" t="str">
        <f>+G29</f>
        <v>IN58</v>
      </c>
      <c r="J14" s="25" t="str">
        <f>+$J$8</f>
        <v>NO ESTRUCTURAL</v>
      </c>
      <c r="K14" s="6">
        <f>SUM(L14:Q14)</f>
        <v>245.07600000000002</v>
      </c>
      <c r="L14" s="6">
        <f>+G36*0.5</f>
        <v>122.53800000000001</v>
      </c>
      <c r="M14" s="6">
        <f>+L14</f>
        <v>122.53800000000001</v>
      </c>
      <c r="N14" s="6"/>
      <c r="O14" s="6"/>
      <c r="P14" s="6"/>
      <c r="Q14" s="6"/>
      <c r="R14" s="6"/>
      <c r="S14" s="6"/>
    </row>
    <row r="15" spans="2:19" x14ac:dyDescent="0.25">
      <c r="B15" s="5" t="s">
        <v>665</v>
      </c>
      <c r="C15" s="5"/>
      <c r="D15" s="5" t="s">
        <v>611</v>
      </c>
      <c r="E15" s="6">
        <f>60*12</f>
        <v>720</v>
      </c>
      <c r="F15" s="147">
        <f t="shared" ref="F15" si="0">26700/1000000*2</f>
        <v>5.3400000000000003E-2</v>
      </c>
      <c r="G15" s="6">
        <f>+F15*E15</f>
        <v>38.448</v>
      </c>
      <c r="I15" s="5" t="str">
        <f>+G38</f>
        <v>IN59</v>
      </c>
      <c r="J15" s="25" t="str">
        <f>+$J$8</f>
        <v>NO ESTRUCTURAL</v>
      </c>
      <c r="K15" s="6">
        <f>SUM(L15:Q15)</f>
        <v>245.07600000000002</v>
      </c>
      <c r="L15" s="6"/>
      <c r="M15" s="6"/>
      <c r="N15" s="6"/>
      <c r="O15" s="6"/>
      <c r="P15" s="6"/>
      <c r="Q15" s="6">
        <f>+G45</f>
        <v>245.07600000000002</v>
      </c>
      <c r="R15" s="6"/>
      <c r="S15" s="6"/>
    </row>
    <row r="16" spans="2:19" x14ac:dyDescent="0.25">
      <c r="B16" s="5" t="s">
        <v>805</v>
      </c>
      <c r="C16" s="5"/>
      <c r="D16" s="5" t="s">
        <v>611</v>
      </c>
      <c r="E16" s="6">
        <f>180*12</f>
        <v>2160</v>
      </c>
      <c r="F16" s="147">
        <f>26700/1000000*1.5</f>
        <v>4.0050000000000002E-2</v>
      </c>
      <c r="G16" s="6">
        <f>+F16*E16</f>
        <v>86.50800000000001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701</v>
      </c>
      <c r="C17" s="8"/>
      <c r="D17" s="8" t="s">
        <v>128</v>
      </c>
      <c r="E17" s="9">
        <v>12</v>
      </c>
      <c r="F17" s="9">
        <v>2</v>
      </c>
      <c r="G17" s="6">
        <f>+F17*E17</f>
        <v>24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245.07600000000002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B20" s="19" t="s">
        <v>3</v>
      </c>
      <c r="C20" s="20" t="s">
        <v>83</v>
      </c>
      <c r="D20" s="21"/>
      <c r="E20" s="21"/>
      <c r="F20" s="22" t="s">
        <v>1</v>
      </c>
      <c r="G20" s="22" t="s">
        <v>502</v>
      </c>
      <c r="I20" s="17" t="s">
        <v>2</v>
      </c>
      <c r="J20" s="14"/>
      <c r="K20" s="16">
        <f>SUM(K12:K19)</f>
        <v>1057.2</v>
      </c>
      <c r="L20" s="16">
        <f t="shared" ref="L20:S20" si="1">SUM(L12:L19)</f>
        <v>122.53800000000001</v>
      </c>
      <c r="M20" s="16">
        <f t="shared" si="1"/>
        <v>122.53800000000001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812.12400000000002</v>
      </c>
      <c r="R20" s="16">
        <f t="shared" si="1"/>
        <v>0</v>
      </c>
      <c r="S20" s="16">
        <f t="shared" si="1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5" t="s">
        <v>662</v>
      </c>
      <c r="C22" s="5"/>
      <c r="D22" s="5" t="s">
        <v>611</v>
      </c>
      <c r="E22" s="6">
        <f>180*12</f>
        <v>2160</v>
      </c>
      <c r="F22" s="147">
        <f>26700/1000000*2</f>
        <v>5.3400000000000003E-2</v>
      </c>
      <c r="G22" s="6">
        <f>+F22*E22</f>
        <v>115.34400000000001</v>
      </c>
      <c r="I22" s="197" t="s">
        <v>265</v>
      </c>
      <c r="J22" s="198"/>
      <c r="K22" s="198"/>
      <c r="L22" s="198"/>
      <c r="M22" s="198"/>
      <c r="N22" s="199"/>
    </row>
    <row r="23" spans="2:19" x14ac:dyDescent="0.25">
      <c r="B23" s="5" t="s">
        <v>804</v>
      </c>
      <c r="C23" s="5"/>
      <c r="D23" s="5" t="s">
        <v>611</v>
      </c>
      <c r="E23" s="6">
        <f>180*12</f>
        <v>2160</v>
      </c>
      <c r="F23" s="147">
        <f>26700/1000000*1</f>
        <v>2.6700000000000002E-2</v>
      </c>
      <c r="G23" s="6">
        <f>+F23*E23</f>
        <v>57.672000000000004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2">
        <v>0</v>
      </c>
      <c r="P23" s="2">
        <v>1</v>
      </c>
      <c r="Q23" s="2">
        <v>2</v>
      </c>
      <c r="R23" s="2">
        <v>3</v>
      </c>
    </row>
    <row r="24" spans="2:19" x14ac:dyDescent="0.25">
      <c r="B24" s="5" t="s">
        <v>665</v>
      </c>
      <c r="C24" s="5"/>
      <c r="D24" s="5" t="s">
        <v>611</v>
      </c>
      <c r="E24" s="6">
        <f>60*12</f>
        <v>720</v>
      </c>
      <c r="F24" s="147">
        <f t="shared" ref="F24" si="2">26700/1000000*2</f>
        <v>5.3400000000000003E-2</v>
      </c>
      <c r="G24" s="6">
        <f>+F24*E24</f>
        <v>38.448</v>
      </c>
      <c r="I24" s="15" t="str">
        <f>+I12</f>
        <v>IN56</v>
      </c>
      <c r="J24" s="15"/>
      <c r="K24" s="109"/>
      <c r="L24" s="6"/>
      <c r="M24" s="6">
        <f>NPV($L$8,P24:R24)+O24</f>
        <v>224.66027055891777</v>
      </c>
      <c r="N24" s="6">
        <f>-PMT($L$8,1,M24)</f>
        <v>238.13988679245284</v>
      </c>
      <c r="O24" s="16"/>
      <c r="P24" s="16">
        <f>+Q12*0.5</f>
        <v>122.53800000000001</v>
      </c>
      <c r="Q24" s="16">
        <f>+P24</f>
        <v>122.53800000000001</v>
      </c>
      <c r="R24" s="16"/>
    </row>
    <row r="25" spans="2:19" x14ac:dyDescent="0.25">
      <c r="B25" s="5" t="s">
        <v>805</v>
      </c>
      <c r="C25" s="5"/>
      <c r="D25" s="5" t="s">
        <v>611</v>
      </c>
      <c r="E25" s="6">
        <f>180*12</f>
        <v>2160</v>
      </c>
      <c r="F25" s="147">
        <f>26700/1000000*1.5</f>
        <v>4.0050000000000002E-2</v>
      </c>
      <c r="G25" s="6">
        <f>+F25*E25</f>
        <v>86.50800000000001</v>
      </c>
      <c r="I25" s="15" t="str">
        <f t="shared" ref="I25:I27" si="3">+I13</f>
        <v>IN57</v>
      </c>
      <c r="J25" s="2"/>
      <c r="K25" s="2"/>
      <c r="L25" s="2"/>
      <c r="M25" s="6">
        <f t="shared" ref="M25:M27" si="4">NPV($L$8,P25:R25)+O25</f>
        <v>295.15055179779284</v>
      </c>
      <c r="N25" s="6">
        <f t="shared" ref="N25:N27" si="5">-PMT($L$8,1,M25)</f>
        <v>312.85958490566043</v>
      </c>
      <c r="O25" s="16"/>
      <c r="P25" s="16">
        <f>+Q13*0.5</f>
        <v>160.98600000000002</v>
      </c>
      <c r="Q25" s="16">
        <f t="shared" ref="Q25:Q27" si="6">+P25</f>
        <v>160.98600000000002</v>
      </c>
      <c r="R25" s="16"/>
    </row>
    <row r="26" spans="2:19" x14ac:dyDescent="0.25">
      <c r="B26" s="8" t="s">
        <v>701</v>
      </c>
      <c r="C26" s="8"/>
      <c r="D26" s="8" t="s">
        <v>128</v>
      </c>
      <c r="E26" s="9">
        <v>12</v>
      </c>
      <c r="F26" s="9">
        <v>2</v>
      </c>
      <c r="G26" s="6">
        <f>+F26*E26</f>
        <v>24</v>
      </c>
      <c r="I26" s="15" t="str">
        <f t="shared" si="3"/>
        <v>IN58</v>
      </c>
      <c r="J26" s="2"/>
      <c r="K26" s="2"/>
      <c r="L26" s="2"/>
      <c r="M26" s="6">
        <f t="shared" si="4"/>
        <v>224.66027055891777</v>
      </c>
      <c r="N26" s="6">
        <f t="shared" si="5"/>
        <v>238.13988679245284</v>
      </c>
      <c r="O26" s="16"/>
      <c r="P26" s="16">
        <f>+L14</f>
        <v>122.53800000000001</v>
      </c>
      <c r="Q26" s="16">
        <f t="shared" si="6"/>
        <v>122.53800000000001</v>
      </c>
      <c r="R26" s="16"/>
    </row>
    <row r="27" spans="2:19" x14ac:dyDescent="0.25">
      <c r="B27" s="10" t="s">
        <v>2</v>
      </c>
      <c r="C27" s="11"/>
      <c r="D27" s="11"/>
      <c r="E27" s="12"/>
      <c r="F27" s="7"/>
      <c r="G27" s="24">
        <f>SUM(G22:G26)</f>
        <v>321.97200000000004</v>
      </c>
      <c r="I27" s="15" t="str">
        <f t="shared" si="3"/>
        <v>IN59</v>
      </c>
      <c r="J27" s="2"/>
      <c r="K27" s="2"/>
      <c r="L27" s="2"/>
      <c r="M27" s="6">
        <f t="shared" si="4"/>
        <v>224.66027055891777</v>
      </c>
      <c r="N27" s="6">
        <f t="shared" si="5"/>
        <v>238.13988679245284</v>
      </c>
      <c r="O27" s="16"/>
      <c r="P27" s="16">
        <f>+Q15*0.5</f>
        <v>122.53800000000001</v>
      </c>
      <c r="Q27" s="16">
        <f t="shared" si="6"/>
        <v>122.53800000000001</v>
      </c>
      <c r="R27" s="16"/>
    </row>
    <row r="29" spans="2:19" x14ac:dyDescent="0.25">
      <c r="B29" s="19" t="s">
        <v>3</v>
      </c>
      <c r="C29" s="20" t="s">
        <v>84</v>
      </c>
      <c r="D29" s="21"/>
      <c r="E29" s="21"/>
      <c r="F29" s="22" t="s">
        <v>1</v>
      </c>
      <c r="G29" s="22" t="s">
        <v>505</v>
      </c>
    </row>
    <row r="30" spans="2:19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</row>
    <row r="31" spans="2:19" x14ac:dyDescent="0.25">
      <c r="B31" s="5" t="s">
        <v>662</v>
      </c>
      <c r="C31" s="5"/>
      <c r="D31" s="5" t="s">
        <v>611</v>
      </c>
      <c r="E31" s="6">
        <f>60*12</f>
        <v>720</v>
      </c>
      <c r="F31" s="147">
        <f>26700/1000000*2</f>
        <v>5.3400000000000003E-2</v>
      </c>
      <c r="G31" s="6">
        <f>+F31*E31</f>
        <v>38.448</v>
      </c>
    </row>
    <row r="32" spans="2:19" x14ac:dyDescent="0.25">
      <c r="B32" s="5" t="s">
        <v>804</v>
      </c>
      <c r="C32" s="5"/>
      <c r="D32" s="5" t="s">
        <v>611</v>
      </c>
      <c r="E32" s="6">
        <f>180*12</f>
        <v>2160</v>
      </c>
      <c r="F32" s="147">
        <f>26700/1000000*1</f>
        <v>2.6700000000000002E-2</v>
      </c>
      <c r="G32" s="6">
        <f>+F32*E32</f>
        <v>57.672000000000004</v>
      </c>
    </row>
    <row r="33" spans="2:7" x14ac:dyDescent="0.25">
      <c r="B33" s="5" t="s">
        <v>665</v>
      </c>
      <c r="C33" s="5"/>
      <c r="D33" s="5" t="s">
        <v>611</v>
      </c>
      <c r="E33" s="6">
        <f>60*12</f>
        <v>720</v>
      </c>
      <c r="F33" s="147">
        <f t="shared" ref="F33" si="7">26700/1000000*2</f>
        <v>5.3400000000000003E-2</v>
      </c>
      <c r="G33" s="6">
        <f>+F33*E33</f>
        <v>38.448</v>
      </c>
    </row>
    <row r="34" spans="2:7" x14ac:dyDescent="0.25">
      <c r="B34" s="5" t="s">
        <v>805</v>
      </c>
      <c r="C34" s="5"/>
      <c r="D34" s="5" t="s">
        <v>611</v>
      </c>
      <c r="E34" s="6">
        <f>180*12</f>
        <v>2160</v>
      </c>
      <c r="F34" s="147">
        <f>26700/1000000*1.5</f>
        <v>4.0050000000000002E-2</v>
      </c>
      <c r="G34" s="6">
        <f>+F34*E34</f>
        <v>86.50800000000001</v>
      </c>
    </row>
    <row r="35" spans="2:7" x14ac:dyDescent="0.25">
      <c r="B35" s="8" t="s">
        <v>701</v>
      </c>
      <c r="C35" s="8"/>
      <c r="D35" s="8" t="s">
        <v>128</v>
      </c>
      <c r="E35" s="9">
        <v>12</v>
      </c>
      <c r="F35" s="9">
        <v>2</v>
      </c>
      <c r="G35" s="6">
        <f>+F35*E35</f>
        <v>24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245.07600000000002</v>
      </c>
    </row>
    <row r="38" spans="2:7" x14ac:dyDescent="0.25">
      <c r="B38" s="19" t="s">
        <v>3</v>
      </c>
      <c r="C38" s="20" t="s">
        <v>85</v>
      </c>
      <c r="D38" s="21"/>
      <c r="E38" s="21"/>
      <c r="F38" s="22" t="s">
        <v>1</v>
      </c>
      <c r="G38" s="22" t="s">
        <v>507</v>
      </c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5" t="s">
        <v>662</v>
      </c>
      <c r="C40" s="5"/>
      <c r="D40" s="5" t="s">
        <v>611</v>
      </c>
      <c r="E40" s="6">
        <f>60*12</f>
        <v>720</v>
      </c>
      <c r="F40" s="147">
        <f>26700/1000000*2</f>
        <v>5.3400000000000003E-2</v>
      </c>
      <c r="G40" s="6">
        <f>+F40*E40</f>
        <v>38.448</v>
      </c>
    </row>
    <row r="41" spans="2:7" x14ac:dyDescent="0.25">
      <c r="B41" s="5" t="s">
        <v>804</v>
      </c>
      <c r="C41" s="5"/>
      <c r="D41" s="5" t="s">
        <v>611</v>
      </c>
      <c r="E41" s="6">
        <f>180*12</f>
        <v>2160</v>
      </c>
      <c r="F41" s="147">
        <f>26700/1000000*1</f>
        <v>2.6700000000000002E-2</v>
      </c>
      <c r="G41" s="6">
        <f>+F41*E41</f>
        <v>57.672000000000004</v>
      </c>
    </row>
    <row r="42" spans="2:7" x14ac:dyDescent="0.25">
      <c r="B42" s="5" t="s">
        <v>665</v>
      </c>
      <c r="C42" s="5"/>
      <c r="D42" s="5" t="s">
        <v>611</v>
      </c>
      <c r="E42" s="6">
        <f>60*12</f>
        <v>720</v>
      </c>
      <c r="F42" s="147">
        <f t="shared" ref="F42" si="8">26700/1000000*2</f>
        <v>5.3400000000000003E-2</v>
      </c>
      <c r="G42" s="6">
        <f>+F42*E42</f>
        <v>38.448</v>
      </c>
    </row>
    <row r="43" spans="2:7" x14ac:dyDescent="0.25">
      <c r="B43" s="5" t="s">
        <v>805</v>
      </c>
      <c r="C43" s="5"/>
      <c r="D43" s="5" t="s">
        <v>611</v>
      </c>
      <c r="E43" s="6">
        <f>180*12</f>
        <v>2160</v>
      </c>
      <c r="F43" s="147">
        <f>26700/1000000*1.5</f>
        <v>4.0050000000000002E-2</v>
      </c>
      <c r="G43" s="6">
        <f>+F43*E43</f>
        <v>86.50800000000001</v>
      </c>
    </row>
    <row r="44" spans="2:7" x14ac:dyDescent="0.25">
      <c r="B44" s="8" t="s">
        <v>701</v>
      </c>
      <c r="C44" s="8"/>
      <c r="D44" s="8" t="s">
        <v>128</v>
      </c>
      <c r="E44" s="9">
        <v>12</v>
      </c>
      <c r="F44" s="9">
        <v>2</v>
      </c>
      <c r="G44" s="6">
        <f>+F44*E44</f>
        <v>24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245.07600000000002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1673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16737" r:id="rId3"/>
      </mc:Fallback>
    </mc:AlternateContent>
  </oleObject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B1:S34"/>
  <sheetViews>
    <sheetView showGridLines="0" workbookViewId="0">
      <selection activeCell="B13" sqref="B13:G17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1.5" customHeight="1" x14ac:dyDescent="0.25">
      <c r="B6" s="306" t="s">
        <v>99</v>
      </c>
      <c r="C6" s="306"/>
      <c r="D6" s="307" t="s">
        <v>229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228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230</v>
      </c>
      <c r="C8" s="309"/>
      <c r="D8" s="309"/>
      <c r="E8" s="309"/>
      <c r="F8" s="309"/>
      <c r="G8" s="18" t="s">
        <v>732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82</v>
      </c>
      <c r="D11" s="21"/>
      <c r="E11" s="21"/>
      <c r="F11" s="22" t="s">
        <v>1</v>
      </c>
      <c r="G11" s="22" t="s">
        <v>510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IN60</v>
      </c>
      <c r="J12" s="25" t="str">
        <f>+$J$8</f>
        <v>NO ESTRUCTURAL</v>
      </c>
      <c r="K12" s="6">
        <f>SUM(L12:Q12)</f>
        <v>245.07600000000002</v>
      </c>
      <c r="L12" s="6"/>
      <c r="M12" s="6"/>
      <c r="N12" s="6">
        <f>+G18</f>
        <v>245.07600000000002</v>
      </c>
      <c r="O12" s="6"/>
      <c r="P12" s="6"/>
      <c r="Q12" s="6"/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60*12</f>
        <v>720</v>
      </c>
      <c r="F13" s="147">
        <f>26700/1000000*2</f>
        <v>5.3400000000000003E-2</v>
      </c>
      <c r="G13" s="6">
        <f>+F13*E13</f>
        <v>38.448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804</v>
      </c>
      <c r="C14" s="5"/>
      <c r="D14" s="5" t="s">
        <v>611</v>
      </c>
      <c r="E14" s="6">
        <f>180*12</f>
        <v>2160</v>
      </c>
      <c r="F14" s="147">
        <f>26700/1000000*1</f>
        <v>2.6700000000000002E-2</v>
      </c>
      <c r="G14" s="6">
        <f>+F14*E14</f>
        <v>57.672000000000004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665</v>
      </c>
      <c r="C15" s="5"/>
      <c r="D15" s="5" t="s">
        <v>611</v>
      </c>
      <c r="E15" s="6">
        <f>60*12</f>
        <v>720</v>
      </c>
      <c r="F15" s="147">
        <f t="shared" ref="F15" si="0">26700/1000000*2</f>
        <v>5.3400000000000003E-2</v>
      </c>
      <c r="G15" s="6">
        <f>+F15*E15</f>
        <v>38.448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805</v>
      </c>
      <c r="C16" s="5"/>
      <c r="D16" s="5" t="s">
        <v>611</v>
      </c>
      <c r="E16" s="6">
        <f>180*12</f>
        <v>2160</v>
      </c>
      <c r="F16" s="147">
        <f>26700/1000000*1.5</f>
        <v>4.0050000000000002E-2</v>
      </c>
      <c r="G16" s="6">
        <f>+F16*E16</f>
        <v>86.50800000000001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701</v>
      </c>
      <c r="C17" s="8"/>
      <c r="D17" s="8" t="s">
        <v>128</v>
      </c>
      <c r="E17" s="9">
        <v>12</v>
      </c>
      <c r="F17" s="9">
        <v>2</v>
      </c>
      <c r="G17" s="6">
        <f>+F17*E17</f>
        <v>24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245.07600000000002</v>
      </c>
      <c r="I18" s="17" t="s">
        <v>2</v>
      </c>
      <c r="J18" s="14"/>
      <c r="K18" s="16">
        <f t="shared" ref="K18:S18" si="1">SUM(K12:K17)</f>
        <v>245.07600000000002</v>
      </c>
      <c r="L18" s="16">
        <f t="shared" si="1"/>
        <v>0</v>
      </c>
      <c r="M18" s="16">
        <f t="shared" si="1"/>
        <v>0</v>
      </c>
      <c r="N18" s="16">
        <f t="shared" si="1"/>
        <v>245.07600000000002</v>
      </c>
      <c r="O18" s="16">
        <f t="shared" si="1"/>
        <v>0</v>
      </c>
      <c r="P18" s="16">
        <f t="shared" si="1"/>
        <v>0</v>
      </c>
      <c r="Q18" s="16">
        <f t="shared" si="1"/>
        <v>0</v>
      </c>
      <c r="R18" s="16">
        <f t="shared" si="1"/>
        <v>0</v>
      </c>
      <c r="S18" s="16">
        <f t="shared" si="1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B20" s="65"/>
      <c r="C20" s="142"/>
      <c r="D20" s="142"/>
      <c r="E20" s="142"/>
      <c r="F20" s="142"/>
      <c r="G20" s="142"/>
      <c r="I20" s="197" t="s">
        <v>265</v>
      </c>
      <c r="J20" s="198"/>
      <c r="K20" s="198"/>
      <c r="L20" s="198"/>
      <c r="M20" s="198"/>
      <c r="N20" s="199"/>
    </row>
    <row r="21" spans="2:19" x14ac:dyDescent="0.25">
      <c r="B21" s="143"/>
      <c r="C21" s="144"/>
      <c r="D21" s="144"/>
      <c r="E21" s="144"/>
      <c r="F21" s="144"/>
      <c r="G21" s="144"/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9" t="s">
        <v>264</v>
      </c>
      <c r="O21" s="2">
        <v>0</v>
      </c>
      <c r="P21" s="2">
        <v>1</v>
      </c>
      <c r="Q21" s="2">
        <v>2</v>
      </c>
      <c r="R21" s="2">
        <v>3</v>
      </c>
    </row>
    <row r="22" spans="2:19" x14ac:dyDescent="0.25">
      <c r="B22" s="143"/>
      <c r="C22" s="144"/>
      <c r="D22" s="144"/>
      <c r="E22" s="144"/>
      <c r="F22" s="144"/>
      <c r="G22" s="144"/>
      <c r="I22" s="15" t="str">
        <f>+I12</f>
        <v>IN60</v>
      </c>
      <c r="J22" s="15"/>
      <c r="K22" s="109"/>
      <c r="L22" s="6"/>
      <c r="M22" s="6">
        <f>NPV($L$8,P22:R22)+O22</f>
        <v>231.20377358490566</v>
      </c>
      <c r="N22" s="6">
        <f>-PMT($L$8,1,M22)</f>
        <v>245.07600000000002</v>
      </c>
      <c r="O22" s="16"/>
      <c r="P22" s="16">
        <f>+N12</f>
        <v>245.07600000000002</v>
      </c>
      <c r="Q22" s="16"/>
      <c r="R22" s="16"/>
    </row>
    <row r="23" spans="2:19" x14ac:dyDescent="0.25">
      <c r="B23" s="67"/>
      <c r="C23" s="67"/>
      <c r="D23" s="67"/>
      <c r="E23" s="66"/>
      <c r="F23" s="66"/>
      <c r="G23" s="66"/>
    </row>
    <row r="24" spans="2:19" x14ac:dyDescent="0.25">
      <c r="B24" s="67"/>
      <c r="C24" s="67"/>
      <c r="D24" s="67"/>
      <c r="E24" s="66"/>
      <c r="F24" s="66"/>
      <c r="G24" s="66"/>
    </row>
    <row r="25" spans="2:19" x14ac:dyDescent="0.25">
      <c r="B25" s="67"/>
      <c r="C25" s="67"/>
      <c r="D25" s="67"/>
      <c r="E25" s="66"/>
      <c r="F25" s="66"/>
      <c r="G25" s="66"/>
    </row>
    <row r="26" spans="2:19" x14ac:dyDescent="0.25">
      <c r="B26" s="67"/>
      <c r="C26" s="67"/>
      <c r="D26" s="67"/>
      <c r="E26" s="66"/>
      <c r="F26" s="66"/>
      <c r="G26" s="66"/>
    </row>
    <row r="27" spans="2:19" x14ac:dyDescent="0.25">
      <c r="B27" s="67"/>
      <c r="C27" s="67"/>
      <c r="D27" s="67"/>
      <c r="E27" s="66"/>
      <c r="F27" s="66"/>
      <c r="G27" s="66"/>
    </row>
    <row r="28" spans="2:19" x14ac:dyDescent="0.25">
      <c r="B28" s="67"/>
      <c r="C28" s="67"/>
      <c r="D28" s="67"/>
      <c r="E28" s="66"/>
      <c r="F28" s="66"/>
      <c r="G28" s="66"/>
    </row>
    <row r="29" spans="2:19" x14ac:dyDescent="0.25">
      <c r="B29" s="72"/>
      <c r="C29" s="72"/>
      <c r="D29" s="72"/>
      <c r="E29" s="72"/>
      <c r="F29" s="72"/>
      <c r="G29" s="72"/>
    </row>
    <row r="30" spans="2:19" x14ac:dyDescent="0.25">
      <c r="B30" s="72"/>
      <c r="C30" s="72"/>
      <c r="D30" s="72"/>
      <c r="E30" s="72"/>
      <c r="F30" s="72"/>
      <c r="G30" s="72"/>
    </row>
    <row r="31" spans="2:19" x14ac:dyDescent="0.25">
      <c r="B31" s="72"/>
      <c r="C31" s="72"/>
      <c r="D31" s="72"/>
      <c r="E31" s="72"/>
      <c r="F31" s="72"/>
      <c r="G31" s="72"/>
    </row>
    <row r="32" spans="2:19" x14ac:dyDescent="0.25">
      <c r="B32" s="72"/>
      <c r="C32" s="72"/>
      <c r="D32" s="72"/>
      <c r="E32" s="72"/>
      <c r="F32" s="72"/>
      <c r="G32" s="72"/>
    </row>
    <row r="33" spans="2:7" x14ac:dyDescent="0.25">
      <c r="B33" s="72"/>
      <c r="C33" s="72"/>
      <c r="D33" s="72"/>
      <c r="E33" s="72"/>
      <c r="F33" s="72"/>
      <c r="G33" s="72"/>
    </row>
    <row r="34" spans="2:7" x14ac:dyDescent="0.25">
      <c r="B34" s="72"/>
      <c r="C34" s="72"/>
      <c r="D34" s="72"/>
      <c r="E34" s="72"/>
      <c r="F34" s="72"/>
      <c r="G34" s="7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5907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59073" r:id="rId3"/>
      </mc:Fallback>
    </mc:AlternateContent>
  </oleObject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B1:S22"/>
  <sheetViews>
    <sheetView showGridLines="0" workbookViewId="0">
      <pane xSplit="8" ySplit="11" topLeftCell="K12" activePane="bottomRight" state="frozen"/>
      <selection activeCell="B6" sqref="B6:G8"/>
      <selection pane="topRight" activeCell="B6" sqref="B6:G8"/>
      <selection pane="bottomLeft" activeCell="B6" sqref="B6:G8"/>
      <selection pane="bottomRight" activeCell="N22" sqref="N2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1.5" customHeight="1" x14ac:dyDescent="0.25">
      <c r="B6" s="306" t="s">
        <v>99</v>
      </c>
      <c r="C6" s="306"/>
      <c r="D6" s="307" t="s">
        <v>229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228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231</v>
      </c>
      <c r="C8" s="309"/>
      <c r="D8" s="309"/>
      <c r="E8" s="309"/>
      <c r="F8" s="309"/>
      <c r="G8" s="18" t="s">
        <v>72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82</v>
      </c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+C11</f>
        <v>Mataquito</v>
      </c>
      <c r="J12" s="25" t="str">
        <f>+$J$8</f>
        <v>NO ESTRUCTURAL</v>
      </c>
      <c r="K12" s="6">
        <f>SUM(L12:Q12)</f>
        <v>245.07600000000002</v>
      </c>
      <c r="L12" s="6"/>
      <c r="M12" s="6"/>
      <c r="N12" s="6"/>
      <c r="O12" s="6">
        <f>+G18*0.5</f>
        <v>122.53800000000001</v>
      </c>
      <c r="P12" s="6">
        <f>+O12</f>
        <v>122.53800000000001</v>
      </c>
      <c r="Q12" s="6"/>
      <c r="R12" s="6"/>
      <c r="S12" s="6"/>
    </row>
    <row r="13" spans="2:19" x14ac:dyDescent="0.25">
      <c r="B13" s="5" t="s">
        <v>662</v>
      </c>
      <c r="C13" s="5"/>
      <c r="D13" s="5" t="s">
        <v>611</v>
      </c>
      <c r="E13" s="6">
        <f>60*12</f>
        <v>720</v>
      </c>
      <c r="F13" s="147">
        <f>26700/1000000*2</f>
        <v>5.3400000000000003E-2</v>
      </c>
      <c r="G13" s="6">
        <f>+F13*E13</f>
        <v>38.448</v>
      </c>
      <c r="I13" s="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804</v>
      </c>
      <c r="C14" s="5"/>
      <c r="D14" s="5" t="s">
        <v>611</v>
      </c>
      <c r="E14" s="6">
        <f>180*12</f>
        <v>2160</v>
      </c>
      <c r="F14" s="147">
        <f>26700/1000000*1</f>
        <v>2.6700000000000002E-2</v>
      </c>
      <c r="G14" s="6">
        <f>+F14*E14</f>
        <v>57.672000000000004</v>
      </c>
      <c r="I14" s="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665</v>
      </c>
      <c r="C15" s="5"/>
      <c r="D15" s="5" t="s">
        <v>611</v>
      </c>
      <c r="E15" s="6">
        <f>60*12</f>
        <v>720</v>
      </c>
      <c r="F15" s="147">
        <f t="shared" ref="F15" si="0">26700/1000000*2</f>
        <v>5.3400000000000003E-2</v>
      </c>
      <c r="G15" s="6">
        <f>+F15*E15</f>
        <v>38.448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805</v>
      </c>
      <c r="C16" s="5"/>
      <c r="D16" s="5" t="s">
        <v>611</v>
      </c>
      <c r="E16" s="6">
        <f>180*12</f>
        <v>2160</v>
      </c>
      <c r="F16" s="147">
        <f>26700/1000000*1.5</f>
        <v>4.0050000000000002E-2</v>
      </c>
      <c r="G16" s="6">
        <f>+F16*E16</f>
        <v>86.50800000000001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 t="s">
        <v>701</v>
      </c>
      <c r="C17" s="8"/>
      <c r="D17" s="8" t="s">
        <v>128</v>
      </c>
      <c r="E17" s="9">
        <v>12</v>
      </c>
      <c r="F17" s="9">
        <v>2</v>
      </c>
      <c r="G17" s="6">
        <f>+F17*E17</f>
        <v>24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245.07600000000002</v>
      </c>
      <c r="I18" s="17" t="s">
        <v>2</v>
      </c>
      <c r="J18" s="14"/>
      <c r="K18" s="16">
        <f t="shared" ref="K18:S18" si="1">SUM(K12:K17)</f>
        <v>245.07600000000002</v>
      </c>
      <c r="L18" s="16">
        <f t="shared" si="1"/>
        <v>0</v>
      </c>
      <c r="M18" s="16">
        <f t="shared" si="1"/>
        <v>0</v>
      </c>
      <c r="N18" s="16">
        <f t="shared" si="1"/>
        <v>0</v>
      </c>
      <c r="O18" s="16">
        <f t="shared" si="1"/>
        <v>122.53800000000001</v>
      </c>
      <c r="P18" s="16">
        <f t="shared" si="1"/>
        <v>122.53800000000001</v>
      </c>
      <c r="Q18" s="16">
        <f t="shared" si="1"/>
        <v>0</v>
      </c>
      <c r="R18" s="16">
        <f t="shared" si="1"/>
        <v>0</v>
      </c>
      <c r="S18" s="16">
        <f t="shared" si="1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9" t="s">
        <v>264</v>
      </c>
      <c r="O21" s="2">
        <v>0</v>
      </c>
      <c r="P21" s="2">
        <v>1</v>
      </c>
      <c r="Q21" s="2">
        <v>2</v>
      </c>
      <c r="R21" s="2">
        <v>3</v>
      </c>
    </row>
    <row r="22" spans="2:19" x14ac:dyDescent="0.25">
      <c r="I22" s="15" t="str">
        <f>+I12</f>
        <v>Mataquito</v>
      </c>
      <c r="J22" s="15"/>
      <c r="K22" s="109"/>
      <c r="L22" s="6"/>
      <c r="M22" s="6">
        <f>NPV($L$8,P22:R22)+O22</f>
        <v>224.66027055891777</v>
      </c>
      <c r="N22" s="6">
        <f>-PMT($L$8,2,M22)</f>
        <v>122.53800000000003</v>
      </c>
      <c r="O22" s="16"/>
      <c r="P22" s="16">
        <f>+O12</f>
        <v>122.53800000000001</v>
      </c>
      <c r="Q22" s="16">
        <f t="shared" ref="Q22:R22" si="2">+P12</f>
        <v>122.53800000000001</v>
      </c>
      <c r="R22" s="16">
        <f t="shared" si="2"/>
        <v>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60097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60097" r:id="rId3"/>
      </mc:Fallback>
    </mc:AlternateContent>
  </oleObject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W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7.75" customHeight="1" x14ac:dyDescent="0.25">
      <c r="B6" s="306" t="s">
        <v>134</v>
      </c>
      <c r="C6" s="306"/>
      <c r="D6" s="307" t="s">
        <v>234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233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232</v>
      </c>
      <c r="C8" s="309"/>
      <c r="D8" s="309"/>
      <c r="E8" s="309"/>
      <c r="F8" s="309"/>
      <c r="G8" s="18" t="s">
        <v>539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4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+B13</f>
        <v>Capacitación General</v>
      </c>
      <c r="J12" s="25" t="s">
        <v>115</v>
      </c>
      <c r="K12" s="6">
        <f>SUM(L12:S12)</f>
        <v>30</v>
      </c>
      <c r="L12" s="6">
        <f>+G18</f>
        <v>6</v>
      </c>
      <c r="M12" s="6">
        <f>+L12</f>
        <v>6</v>
      </c>
      <c r="N12" s="6">
        <f>+M12</f>
        <v>6</v>
      </c>
      <c r="O12" s="6">
        <f>+N12</f>
        <v>6</v>
      </c>
      <c r="P12" s="6">
        <f>+O12</f>
        <v>6</v>
      </c>
      <c r="Q12" s="6"/>
      <c r="R12" s="6"/>
      <c r="S12" s="6"/>
    </row>
    <row r="13" spans="2:19" x14ac:dyDescent="0.25">
      <c r="B13" s="5" t="s">
        <v>806</v>
      </c>
      <c r="C13" s="5" t="s">
        <v>807</v>
      </c>
      <c r="D13" s="5" t="s">
        <v>809</v>
      </c>
      <c r="E13" s="6">
        <v>1</v>
      </c>
      <c r="F13" s="6">
        <v>2</v>
      </c>
      <c r="G13" s="6">
        <f>+F13*E13</f>
        <v>2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808</v>
      </c>
      <c r="C14" s="5" t="s">
        <v>807</v>
      </c>
      <c r="D14" s="5" t="s">
        <v>809</v>
      </c>
      <c r="E14" s="6">
        <v>2</v>
      </c>
      <c r="F14" s="6">
        <v>2</v>
      </c>
      <c r="G14" s="6">
        <f>+F14*E14</f>
        <v>4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23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23" x14ac:dyDescent="0.25">
      <c r="B18" s="10" t="s">
        <v>2</v>
      </c>
      <c r="C18" s="11"/>
      <c r="D18" s="11"/>
      <c r="E18" s="12"/>
      <c r="F18" s="7"/>
      <c r="G18" s="24">
        <f>SUM(G13:G17)</f>
        <v>6</v>
      </c>
      <c r="I18" s="17" t="s">
        <v>2</v>
      </c>
      <c r="J18" s="14"/>
      <c r="K18" s="16">
        <f t="shared" ref="K18:P18" si="0">SUM(K12:K17)</f>
        <v>30</v>
      </c>
      <c r="L18" s="16">
        <f t="shared" si="0"/>
        <v>6</v>
      </c>
      <c r="M18" s="16">
        <f t="shared" si="0"/>
        <v>6</v>
      </c>
      <c r="N18" s="16">
        <f t="shared" si="0"/>
        <v>6</v>
      </c>
      <c r="O18" s="16">
        <f t="shared" si="0"/>
        <v>6</v>
      </c>
      <c r="P18" s="16">
        <f t="shared" si="0"/>
        <v>6</v>
      </c>
      <c r="Q18" s="16"/>
      <c r="R18" s="16"/>
      <c r="S18" s="16">
        <f>SUM(S12:S17)</f>
        <v>0</v>
      </c>
    </row>
    <row r="19" spans="2:23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23" x14ac:dyDescent="0.25">
      <c r="I20" s="197" t="s">
        <v>265</v>
      </c>
      <c r="J20" s="198"/>
      <c r="K20" s="198"/>
      <c r="L20" s="198"/>
      <c r="M20" s="198"/>
      <c r="N20" s="199"/>
    </row>
    <row r="21" spans="2:23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7"/>
      <c r="P21" s="27"/>
      <c r="Q21" s="27"/>
      <c r="R21" s="27"/>
      <c r="S21" s="27"/>
      <c r="T21" s="27"/>
      <c r="U21" s="27"/>
      <c r="V21" s="27"/>
      <c r="W21" s="27"/>
    </row>
    <row r="22" spans="2:23" x14ac:dyDescent="0.25">
      <c r="I22" s="15">
        <f>+I14</f>
        <v>0</v>
      </c>
      <c r="J22" s="15"/>
      <c r="K22" s="109"/>
      <c r="L22" s="6"/>
      <c r="M22" s="6">
        <f>NPV($L$8,L18:P18)+O22</f>
        <v>25.274182713394278</v>
      </c>
      <c r="N22" s="201">
        <f>-PMT($L$8,5,M22)</f>
        <v>5.9999999999999991</v>
      </c>
      <c r="O22" s="202"/>
      <c r="P22" s="202"/>
      <c r="Q22" s="202"/>
      <c r="R22" s="202"/>
      <c r="S22" s="27"/>
      <c r="T22" s="27"/>
      <c r="U22" s="27"/>
      <c r="V22" s="27"/>
      <c r="W22" s="27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9251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92513" r:id="rId3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K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1.75" customHeight="1" x14ac:dyDescent="0.25">
      <c r="B6" s="306" t="s">
        <v>134</v>
      </c>
      <c r="C6" s="306"/>
      <c r="D6" s="307" t="s">
        <v>234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233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0.25" customHeight="1" x14ac:dyDescent="0.4">
      <c r="B8" s="317" t="s">
        <v>235</v>
      </c>
      <c r="C8" s="317"/>
      <c r="D8" s="317"/>
      <c r="E8" s="317"/>
      <c r="F8" s="317"/>
      <c r="G8" s="18" t="s">
        <v>541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518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IN63</v>
      </c>
      <c r="J12" s="25" t="str">
        <f>+$J$8</f>
        <v>NO ESTRUCTURAL</v>
      </c>
      <c r="K12" s="6">
        <f>SUM(L12:S12)</f>
        <v>0</v>
      </c>
      <c r="L12" s="6">
        <f>+G13</f>
        <v>0</v>
      </c>
      <c r="M12" s="6"/>
      <c r="N12" s="6"/>
      <c r="O12" s="6"/>
      <c r="P12" s="6"/>
      <c r="Q12" s="6"/>
      <c r="R12" s="6"/>
      <c r="S12" s="6"/>
    </row>
    <row r="13" spans="2:19" x14ac:dyDescent="0.25">
      <c r="B13" s="5" t="s">
        <v>733</v>
      </c>
      <c r="C13" s="5"/>
      <c r="D13" s="5" t="s">
        <v>90</v>
      </c>
      <c r="E13" s="6">
        <v>0</v>
      </c>
      <c r="F13" s="6">
        <v>0</v>
      </c>
      <c r="G13" s="6">
        <f>+F13*E13</f>
        <v>0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>
        <f>+R13</f>
        <v>0</v>
      </c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>
        <f>+R14</f>
        <v>0</v>
      </c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17" t="s">
        <v>2</v>
      </c>
      <c r="J18" s="14"/>
      <c r="K18" s="16">
        <f t="shared" ref="K18:S18" si="0">SUM(K12:K17)</f>
        <v>0</v>
      </c>
      <c r="L18" s="16">
        <f t="shared" si="0"/>
        <v>0</v>
      </c>
      <c r="M18" s="16">
        <f t="shared" si="0"/>
        <v>0</v>
      </c>
      <c r="N18" s="16">
        <f t="shared" si="0"/>
        <v>0</v>
      </c>
      <c r="O18" s="16">
        <f t="shared" si="0"/>
        <v>0</v>
      </c>
      <c r="P18" s="16">
        <f t="shared" si="0"/>
        <v>0</v>
      </c>
      <c r="Q18" s="16">
        <f t="shared" si="0"/>
        <v>0</v>
      </c>
      <c r="R18" s="16">
        <f t="shared" si="0"/>
        <v>0</v>
      </c>
      <c r="S18" s="16">
        <f t="shared" si="0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9" t="s">
        <v>264</v>
      </c>
      <c r="O21" s="2">
        <v>0</v>
      </c>
      <c r="P21" s="2">
        <v>1</v>
      </c>
      <c r="Q21" s="2">
        <v>2</v>
      </c>
      <c r="R21" s="2">
        <v>3</v>
      </c>
    </row>
    <row r="22" spans="2:19" x14ac:dyDescent="0.25">
      <c r="I22" s="15" t="str">
        <f>+I12</f>
        <v>IN63</v>
      </c>
      <c r="J22" s="15"/>
      <c r="K22" s="109"/>
      <c r="L22" s="6"/>
      <c r="M22" s="6">
        <f>NPV($L$8,P22:R22)+O22</f>
        <v>0</v>
      </c>
      <c r="N22" s="6">
        <f>-PMT($L$8,1,M22)</f>
        <v>0</v>
      </c>
      <c r="O22" s="16"/>
      <c r="P22" s="16">
        <f>+Q12</f>
        <v>0</v>
      </c>
      <c r="Q22" s="16"/>
      <c r="R22" s="16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9046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90465" r:id="rId3"/>
      </mc:Fallback>
    </mc:AlternateContent>
  </oleObject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1.75" customHeight="1" x14ac:dyDescent="0.25">
      <c r="B6" s="306" t="s">
        <v>134</v>
      </c>
      <c r="C6" s="306"/>
      <c r="D6" s="307" t="s">
        <v>234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233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0.25" customHeight="1" x14ac:dyDescent="0.4">
      <c r="B8" s="317" t="s">
        <v>236</v>
      </c>
      <c r="C8" s="317"/>
      <c r="D8" s="317"/>
      <c r="E8" s="317"/>
      <c r="F8" s="317"/>
      <c r="G8" s="18" t="s">
        <v>543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520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IN64</v>
      </c>
      <c r="J12" s="25" t="str">
        <f>+$J$8</f>
        <v>NO ESTRUCTURAL</v>
      </c>
      <c r="K12" s="6">
        <f>SUM(L12:S12)</f>
        <v>50</v>
      </c>
      <c r="L12" s="6">
        <f>+G13</f>
        <v>10</v>
      </c>
      <c r="M12" s="6">
        <f>+L12</f>
        <v>10</v>
      </c>
      <c r="N12" s="6">
        <f>+M12</f>
        <v>10</v>
      </c>
      <c r="O12" s="6">
        <f>+N12</f>
        <v>10</v>
      </c>
      <c r="P12" s="6">
        <f>+O12</f>
        <v>10</v>
      </c>
      <c r="Q12" s="6"/>
      <c r="R12" s="6"/>
      <c r="S12" s="6"/>
    </row>
    <row r="13" spans="2:19" x14ac:dyDescent="0.25">
      <c r="B13" s="5" t="s">
        <v>734</v>
      </c>
      <c r="C13" s="5"/>
      <c r="D13" s="5" t="s">
        <v>90</v>
      </c>
      <c r="E13" s="6">
        <v>1</v>
      </c>
      <c r="F13" s="6">
        <v>10</v>
      </c>
      <c r="G13" s="6">
        <f>+F13*E13</f>
        <v>10</v>
      </c>
      <c r="I13" s="15"/>
      <c r="J13" s="25"/>
      <c r="K13" s="6"/>
      <c r="L13" s="6">
        <f>+G14</f>
        <v>0</v>
      </c>
      <c r="M13" s="6">
        <f t="shared" ref="M13:P14" si="0">+L13</f>
        <v>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>+P13*5</f>
        <v>0</v>
      </c>
      <c r="R13" s="6">
        <f t="shared" ref="R13:S14" si="1">+Q13</f>
        <v>0</v>
      </c>
      <c r="S13" s="6">
        <f t="shared" si="1"/>
        <v>0</v>
      </c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/>
      <c r="L14" s="6">
        <f>+G15</f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  <c r="Q14" s="6">
        <f>+P14*5</f>
        <v>0</v>
      </c>
      <c r="R14" s="6">
        <f t="shared" si="1"/>
        <v>0</v>
      </c>
      <c r="S14" s="6">
        <f t="shared" si="1"/>
        <v>0</v>
      </c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10</v>
      </c>
      <c r="I18" s="17" t="s">
        <v>2</v>
      </c>
      <c r="J18" s="14"/>
      <c r="K18" s="16">
        <f t="shared" ref="K18:S18" si="2">SUM(K12:K17)</f>
        <v>50</v>
      </c>
      <c r="L18" s="16">
        <f t="shared" si="2"/>
        <v>10</v>
      </c>
      <c r="M18" s="16">
        <f t="shared" si="2"/>
        <v>10</v>
      </c>
      <c r="N18" s="16">
        <f t="shared" si="2"/>
        <v>10</v>
      </c>
      <c r="O18" s="16">
        <f t="shared" si="2"/>
        <v>10</v>
      </c>
      <c r="P18" s="16">
        <f t="shared" si="2"/>
        <v>10</v>
      </c>
      <c r="Q18" s="16">
        <f t="shared" si="2"/>
        <v>0</v>
      </c>
      <c r="R18" s="16">
        <f t="shared" si="2"/>
        <v>0</v>
      </c>
      <c r="S18" s="16">
        <f t="shared" si="2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</row>
    <row r="22" spans="2:19" x14ac:dyDescent="0.25">
      <c r="I22" s="15">
        <f>+I14</f>
        <v>0</v>
      </c>
      <c r="J22" s="15"/>
      <c r="K22" s="109"/>
      <c r="L22" s="6"/>
      <c r="M22" s="6">
        <f>NPV($L$8,L18:P18)+O22</f>
        <v>42.123637855657137</v>
      </c>
      <c r="N22" s="201">
        <f>-PMT($L$8,5,M22)</f>
        <v>9.9999999999999982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6112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61121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2:T54"/>
  <sheetViews>
    <sheetView showGridLines="0" workbookViewId="0">
      <pane xSplit="8" ySplit="11" topLeftCell="I12" activePane="bottomRight" state="frozen"/>
      <selection activeCell="F25" sqref="F25"/>
      <selection pane="topRight" activeCell="F25" sqref="F25"/>
      <selection pane="bottomLeft" activeCell="F25" sqref="F25"/>
      <selection pane="bottomRight" activeCell="M30" sqref="M30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26.140625" bestFit="1" customWidth="1"/>
    <col min="10" max="10" width="12.28515625" bestFit="1" customWidth="1"/>
    <col min="11" max="19" width="9.5703125" customWidth="1"/>
    <col min="20" max="20" width="11.42578125" style="69"/>
  </cols>
  <sheetData>
    <row r="2" spans="2:20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  <c r="T2" s="70"/>
    </row>
    <row r="3" spans="2:20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  <c r="T3" s="70"/>
    </row>
    <row r="4" spans="2:20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  <c r="T4" s="70"/>
    </row>
    <row r="5" spans="2:20" ht="6" customHeight="1" x14ac:dyDescent="0.25"/>
    <row r="6" spans="2:20" ht="27" customHeight="1" x14ac:dyDescent="0.25">
      <c r="B6" s="306" t="s">
        <v>81</v>
      </c>
      <c r="C6" s="306"/>
      <c r="D6" s="307" t="s">
        <v>156</v>
      </c>
      <c r="E6" s="307"/>
      <c r="F6" s="307"/>
      <c r="G6" s="307"/>
      <c r="I6" s="308" t="s">
        <v>818</v>
      </c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71"/>
    </row>
    <row r="7" spans="2:20" ht="28.5" customHeight="1" x14ac:dyDescent="0.25">
      <c r="B7" s="306"/>
      <c r="C7" s="306"/>
      <c r="D7" s="307" t="s">
        <v>155</v>
      </c>
      <c r="E7" s="307"/>
      <c r="F7" s="307"/>
      <c r="G7" s="307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71"/>
    </row>
    <row r="8" spans="2:20" ht="24" customHeight="1" x14ac:dyDescent="0.4">
      <c r="B8" s="305" t="s">
        <v>157</v>
      </c>
      <c r="C8" s="305"/>
      <c r="D8" s="305"/>
      <c r="E8" s="305"/>
      <c r="F8" s="305"/>
      <c r="G8" s="18" t="s">
        <v>279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581</v>
      </c>
      <c r="N8" s="25">
        <v>10</v>
      </c>
      <c r="O8" s="25"/>
      <c r="P8" s="25"/>
      <c r="Q8" s="25"/>
      <c r="R8" s="2"/>
      <c r="S8" s="2"/>
      <c r="T8" s="72"/>
    </row>
    <row r="10" spans="2:20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  <c r="T10" s="73"/>
    </row>
    <row r="11" spans="2:20" x14ac:dyDescent="0.25">
      <c r="B11" s="19" t="s">
        <v>3</v>
      </c>
      <c r="C11" s="20" t="s">
        <v>583</v>
      </c>
      <c r="D11" s="21"/>
      <c r="E11" s="21"/>
      <c r="F11" s="22" t="s">
        <v>268</v>
      </c>
      <c r="G11" s="22" t="s">
        <v>32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  <c r="T11" s="65"/>
    </row>
    <row r="12" spans="2:20" ht="23.25" customHeight="1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+C11</f>
        <v>Elaboración Plan de Desarrollo Mataquito</v>
      </c>
      <c r="J12" s="25" t="str">
        <f>+$J$8</f>
        <v>NO ESTRUCTURAL</v>
      </c>
      <c r="K12" s="6">
        <f>SUM(L12:Q12)</f>
        <v>0</v>
      </c>
      <c r="L12" s="6"/>
      <c r="M12" s="6"/>
      <c r="N12" s="6"/>
      <c r="O12" s="6"/>
      <c r="P12" s="6"/>
      <c r="Q12" s="6"/>
      <c r="R12" s="6"/>
      <c r="S12" s="6"/>
      <c r="T12" s="66"/>
    </row>
    <row r="13" spans="2:20" x14ac:dyDescent="0.25">
      <c r="B13" s="5" t="s">
        <v>4</v>
      </c>
      <c r="C13" s="5"/>
      <c r="D13" s="5"/>
      <c r="E13" s="6"/>
      <c r="F13" s="6"/>
      <c r="G13" s="6">
        <f>+F13*E13</f>
        <v>0</v>
      </c>
      <c r="I13" s="5" t="str">
        <f>+C20</f>
        <v>Elaboración Plan de Desarrollo Maule</v>
      </c>
      <c r="J13" s="25" t="str">
        <f>+$J$8</f>
        <v>NO ESTRUCTURAL</v>
      </c>
      <c r="K13" s="6">
        <f t="shared" ref="K13:K19" si="0">SUM(L13:Q13)</f>
        <v>0</v>
      </c>
      <c r="L13" s="6"/>
      <c r="M13" s="6"/>
      <c r="N13" s="6"/>
      <c r="O13" s="6"/>
      <c r="P13" s="6"/>
      <c r="Q13" s="6"/>
      <c r="R13" s="6"/>
      <c r="S13" s="6"/>
      <c r="T13" s="66"/>
    </row>
    <row r="14" spans="2:20" x14ac:dyDescent="0.25">
      <c r="B14" s="5" t="s">
        <v>5</v>
      </c>
      <c r="C14" s="5"/>
      <c r="D14" s="5"/>
      <c r="E14" s="6"/>
      <c r="F14" s="6"/>
      <c r="G14" s="6">
        <f>+F14*E14</f>
        <v>0</v>
      </c>
      <c r="I14" s="5" t="str">
        <f>+C29</f>
        <v>Elaboración Plan de Desarrollo Loncomilla</v>
      </c>
      <c r="J14" s="25" t="str">
        <f>+$J$8</f>
        <v>NO ESTRUCTURAL</v>
      </c>
      <c r="K14" s="6">
        <f t="shared" si="0"/>
        <v>0</v>
      </c>
      <c r="L14" s="6"/>
      <c r="M14" s="6"/>
      <c r="N14" s="6"/>
      <c r="O14" s="6"/>
      <c r="P14" s="6"/>
      <c r="Q14" s="6"/>
      <c r="R14" s="6"/>
      <c r="S14" s="6"/>
      <c r="T14" s="66"/>
    </row>
    <row r="15" spans="2:20" x14ac:dyDescent="0.25">
      <c r="B15" s="5" t="s">
        <v>6</v>
      </c>
      <c r="C15" s="5"/>
      <c r="D15" s="5"/>
      <c r="E15" s="6"/>
      <c r="F15" s="6"/>
      <c r="G15" s="6">
        <f>+F15*E15</f>
        <v>0</v>
      </c>
      <c r="I15" s="5" t="str">
        <f>+C38</f>
        <v>Elaboración Plan de Desarrollo Perquilauquén</v>
      </c>
      <c r="J15" s="25" t="str">
        <f>+$J$8</f>
        <v>NO ESTRUCTURAL</v>
      </c>
      <c r="K15" s="6">
        <f t="shared" si="0"/>
        <v>0</v>
      </c>
      <c r="L15" s="6"/>
      <c r="M15" s="6"/>
      <c r="N15" s="6"/>
      <c r="O15" s="6"/>
      <c r="P15" s="6"/>
      <c r="Q15" s="6"/>
      <c r="R15" s="6"/>
      <c r="S15" s="6"/>
      <c r="T15" s="66"/>
    </row>
    <row r="16" spans="2:20" x14ac:dyDescent="0.25">
      <c r="B16" s="5" t="s">
        <v>7</v>
      </c>
      <c r="C16" s="5"/>
      <c r="D16" s="5"/>
      <c r="E16" s="6"/>
      <c r="F16" s="6"/>
      <c r="G16" s="6">
        <f>+F16*E16</f>
        <v>0</v>
      </c>
      <c r="I16" s="5" t="str">
        <f>+C47</f>
        <v>Elaboración Plan de Desarrollo Cuencas Costeras</v>
      </c>
      <c r="J16" s="25" t="str">
        <f>+$J$8</f>
        <v>NO ESTRUCTURAL</v>
      </c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  <c r="T16" s="66"/>
    </row>
    <row r="17" spans="2:20" x14ac:dyDescent="0.25">
      <c r="B17" s="8" t="s">
        <v>8</v>
      </c>
      <c r="C17" s="8"/>
      <c r="D17" s="8"/>
      <c r="E17" s="9"/>
      <c r="F17" s="9"/>
      <c r="G17" s="6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  <c r="T17" s="67"/>
    </row>
    <row r="18" spans="2:20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  <c r="T18" s="67"/>
    </row>
    <row r="19" spans="2:20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  <c r="T19" s="67"/>
    </row>
    <row r="20" spans="2:20" x14ac:dyDescent="0.25">
      <c r="B20" s="19" t="s">
        <v>3</v>
      </c>
      <c r="C20" s="20" t="s">
        <v>584</v>
      </c>
      <c r="D20" s="21"/>
      <c r="E20" s="21"/>
      <c r="F20" s="22" t="s">
        <v>268</v>
      </c>
      <c r="G20" s="22" t="s">
        <v>33</v>
      </c>
      <c r="I20" s="17" t="s">
        <v>2</v>
      </c>
      <c r="J20" s="14"/>
      <c r="K20" s="16">
        <f>SUM(K12:K19)</f>
        <v>0</v>
      </c>
      <c r="L20" s="16">
        <f t="shared" ref="L20:Q20" si="1">SUM(L12:L19)</f>
        <v>0</v>
      </c>
      <c r="M20" s="16">
        <f t="shared" si="1"/>
        <v>0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0</v>
      </c>
      <c r="R20" s="16">
        <f>SUM(R12:R19)</f>
        <v>0</v>
      </c>
      <c r="S20" s="16">
        <f>SUM(S12:S19)</f>
        <v>0</v>
      </c>
      <c r="T20" s="68"/>
    </row>
    <row r="21" spans="2:20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20" x14ac:dyDescent="0.25">
      <c r="B22" s="5" t="s">
        <v>4</v>
      </c>
      <c r="C22" s="5"/>
      <c r="D22" s="5"/>
      <c r="E22" s="6"/>
      <c r="F22" s="6"/>
      <c r="G22" s="6">
        <f>+F22*E22</f>
        <v>0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  <c r="S22" s="110"/>
      <c r="T22" s="110"/>
    </row>
    <row r="23" spans="2:20" x14ac:dyDescent="0.25">
      <c r="B23" s="5" t="s">
        <v>5</v>
      </c>
      <c r="C23" s="5"/>
      <c r="D23" s="5"/>
      <c r="E23" s="6"/>
      <c r="F23" s="6"/>
      <c r="G23" s="6">
        <f>+F23*E23</f>
        <v>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/>
      <c r="S23" s="111"/>
      <c r="T23" s="111"/>
    </row>
    <row r="24" spans="2:20" ht="24.75" x14ac:dyDescent="0.25">
      <c r="B24" s="5" t="s">
        <v>6</v>
      </c>
      <c r="C24" s="5"/>
      <c r="D24" s="5"/>
      <c r="E24" s="6"/>
      <c r="F24" s="6"/>
      <c r="G24" s="6">
        <f>+F24*E24</f>
        <v>0</v>
      </c>
      <c r="I24" s="15" t="str">
        <f>+I12</f>
        <v>Elaboración Plan de Desarrollo Mataquito</v>
      </c>
      <c r="J24" s="15"/>
      <c r="K24" s="109"/>
      <c r="L24" s="6"/>
      <c r="M24" s="6">
        <f>NPV($L$8,P24:Q24)+O24</f>
        <v>0</v>
      </c>
      <c r="N24" s="6">
        <f>-PMT($L$8,$N$8,M24)</f>
        <v>0</v>
      </c>
      <c r="O24" s="112">
        <v>0</v>
      </c>
      <c r="P24" s="112"/>
      <c r="Q24" s="112"/>
      <c r="R24" s="112"/>
      <c r="S24" s="112"/>
      <c r="T24" s="112"/>
    </row>
    <row r="25" spans="2:20" ht="24.75" x14ac:dyDescent="0.25">
      <c r="B25" s="5" t="s">
        <v>7</v>
      </c>
      <c r="C25" s="5"/>
      <c r="D25" s="5"/>
      <c r="E25" s="6"/>
      <c r="F25" s="6"/>
      <c r="G25" s="6">
        <f>+F25*E25</f>
        <v>0</v>
      </c>
      <c r="I25" s="15" t="str">
        <f>+I13</f>
        <v>Elaboración Plan de Desarrollo Maule</v>
      </c>
      <c r="J25" s="15"/>
      <c r="K25" s="5"/>
      <c r="L25" s="6"/>
      <c r="M25" s="6">
        <f>NPV($L$8,P25:Q25)+O25</f>
        <v>0</v>
      </c>
      <c r="N25" s="6">
        <f>-PMT($L$8,$N$8,M25)</f>
        <v>0</v>
      </c>
      <c r="O25" s="112">
        <v>0</v>
      </c>
      <c r="P25" s="112"/>
      <c r="Q25" s="112"/>
      <c r="R25" s="112"/>
      <c r="S25" s="112"/>
      <c r="T25" s="112"/>
    </row>
    <row r="26" spans="2:20" ht="24.75" x14ac:dyDescent="0.25">
      <c r="B26" s="8" t="s">
        <v>8</v>
      </c>
      <c r="C26" s="8"/>
      <c r="D26" s="8"/>
      <c r="E26" s="9"/>
      <c r="F26" s="9"/>
      <c r="G26" s="6">
        <f>+F26*E26</f>
        <v>0</v>
      </c>
      <c r="I26" s="15" t="str">
        <f>+I14</f>
        <v>Elaboración Plan de Desarrollo Loncomilla</v>
      </c>
      <c r="J26" s="15"/>
      <c r="K26" s="5"/>
      <c r="L26" s="6"/>
      <c r="M26" s="6">
        <f>NPV($L$8,P26:Q26)+O26</f>
        <v>0</v>
      </c>
      <c r="N26" s="6">
        <f>-PMT($L$8,$N$8,M26)</f>
        <v>0</v>
      </c>
      <c r="O26" s="112">
        <v>0</v>
      </c>
      <c r="P26" s="112"/>
      <c r="Q26" s="112"/>
      <c r="R26" s="112"/>
      <c r="S26" s="112"/>
      <c r="T26" s="112"/>
    </row>
    <row r="27" spans="2:20" ht="24.75" x14ac:dyDescent="0.25">
      <c r="B27" s="10" t="s">
        <v>2</v>
      </c>
      <c r="C27" s="11"/>
      <c r="D27" s="11"/>
      <c r="E27" s="12"/>
      <c r="F27" s="7"/>
      <c r="G27" s="24">
        <f>SUM(G22:G26)</f>
        <v>0</v>
      </c>
      <c r="I27" s="15" t="str">
        <f>+I15</f>
        <v>Elaboración Plan de Desarrollo Perquilauquén</v>
      </c>
      <c r="J27" s="15"/>
      <c r="K27" s="5"/>
      <c r="L27" s="6"/>
      <c r="M27" s="6">
        <f>NPV($L$8,P27:Q27)+O27</f>
        <v>0</v>
      </c>
      <c r="N27" s="6">
        <f>-PMT($L$8,$N$8,M27)</f>
        <v>0</v>
      </c>
      <c r="O27" s="112">
        <v>0</v>
      </c>
      <c r="P27" s="112"/>
      <c r="Q27" s="112"/>
      <c r="R27" s="112"/>
      <c r="S27" s="112"/>
      <c r="T27" s="112"/>
    </row>
    <row r="28" spans="2:20" ht="24.75" x14ac:dyDescent="0.25">
      <c r="I28" s="15" t="str">
        <f>+I16</f>
        <v>Elaboración Plan de Desarrollo Cuencas Costeras</v>
      </c>
      <c r="J28" s="15"/>
      <c r="K28" s="5"/>
      <c r="L28" s="6"/>
      <c r="M28" s="6">
        <f>NPV($L$8,P28:Q28)+O28</f>
        <v>0</v>
      </c>
      <c r="N28" s="6">
        <f>-PMT($L$8,$N$8,M28)</f>
        <v>0</v>
      </c>
      <c r="O28" s="112">
        <v>0</v>
      </c>
      <c r="P28" s="112"/>
      <c r="Q28" s="112"/>
      <c r="R28" s="112"/>
      <c r="S28" s="112"/>
      <c r="T28" s="112"/>
    </row>
    <row r="29" spans="2:20" x14ac:dyDescent="0.25">
      <c r="B29" s="19" t="s">
        <v>3</v>
      </c>
      <c r="C29" s="20" t="s">
        <v>585</v>
      </c>
      <c r="D29" s="21"/>
      <c r="E29" s="21"/>
      <c r="F29" s="22" t="s">
        <v>268</v>
      </c>
      <c r="G29" s="22" t="s">
        <v>34</v>
      </c>
      <c r="M29" s="69"/>
      <c r="N29" s="67"/>
      <c r="O29" s="67"/>
      <c r="P29" s="67"/>
      <c r="Q29" s="67"/>
      <c r="R29" s="67"/>
      <c r="S29" s="67"/>
      <c r="T29" s="67"/>
    </row>
    <row r="30" spans="2:20" ht="23.25" x14ac:dyDescent="0.25">
      <c r="B30" s="3" t="s">
        <v>13</v>
      </c>
      <c r="C30" s="4" t="s">
        <v>11</v>
      </c>
      <c r="D30" s="4" t="s">
        <v>9</v>
      </c>
      <c r="E30" s="4" t="s">
        <v>10</v>
      </c>
      <c r="F30" s="4" t="s">
        <v>14</v>
      </c>
      <c r="G30" s="4" t="s">
        <v>12</v>
      </c>
      <c r="N30" s="67"/>
      <c r="O30" s="67"/>
      <c r="P30" s="67"/>
      <c r="Q30" s="67"/>
      <c r="R30" s="67"/>
      <c r="S30" s="67"/>
      <c r="T30" s="67"/>
    </row>
    <row r="31" spans="2:20" x14ac:dyDescent="0.25">
      <c r="B31" s="5" t="s">
        <v>4</v>
      </c>
      <c r="C31" s="5"/>
      <c r="D31" s="5"/>
      <c r="E31" s="6"/>
      <c r="F31" s="6"/>
      <c r="G31" s="6">
        <f>+F31*E31</f>
        <v>0</v>
      </c>
      <c r="N31" s="67"/>
      <c r="O31" s="67"/>
      <c r="P31" s="67"/>
      <c r="Q31" s="67"/>
      <c r="R31" s="67"/>
      <c r="S31" s="67"/>
      <c r="T31" s="67"/>
    </row>
    <row r="32" spans="2:20" x14ac:dyDescent="0.25">
      <c r="B32" s="5" t="s">
        <v>5</v>
      </c>
      <c r="C32" s="5"/>
      <c r="D32" s="5"/>
      <c r="E32" s="6"/>
      <c r="F32" s="6"/>
      <c r="G32" s="6">
        <f>+F32*E32</f>
        <v>0</v>
      </c>
      <c r="N32" s="68"/>
      <c r="O32" s="68"/>
      <c r="P32" s="68"/>
      <c r="Q32" s="68"/>
      <c r="R32" s="68"/>
      <c r="S32" s="68"/>
      <c r="T32" s="68"/>
    </row>
    <row r="33" spans="2:7" x14ac:dyDescent="0.25">
      <c r="B33" s="5" t="s">
        <v>6</v>
      </c>
      <c r="C33" s="5"/>
      <c r="D33" s="5"/>
      <c r="E33" s="6"/>
      <c r="F33" s="6"/>
      <c r="G33" s="6">
        <f>+F33*E33</f>
        <v>0</v>
      </c>
    </row>
    <row r="34" spans="2:7" x14ac:dyDescent="0.25">
      <c r="B34" s="5" t="s">
        <v>7</v>
      </c>
      <c r="C34" s="5"/>
      <c r="D34" s="5"/>
      <c r="E34" s="6"/>
      <c r="F34" s="6"/>
      <c r="G34" s="6">
        <f>+F34*E34</f>
        <v>0</v>
      </c>
    </row>
    <row r="35" spans="2:7" x14ac:dyDescent="0.25">
      <c r="B35" s="8" t="s">
        <v>8</v>
      </c>
      <c r="C35" s="8"/>
      <c r="D35" s="8"/>
      <c r="E35" s="9"/>
      <c r="F35" s="9"/>
      <c r="G35" s="6">
        <f>+F35*E35</f>
        <v>0</v>
      </c>
    </row>
    <row r="36" spans="2:7" x14ac:dyDescent="0.25">
      <c r="B36" s="10" t="s">
        <v>2</v>
      </c>
      <c r="C36" s="11"/>
      <c r="D36" s="11"/>
      <c r="E36" s="12"/>
      <c r="F36" s="7"/>
      <c r="G36" s="23">
        <f>SUM(G31:G35)</f>
        <v>0</v>
      </c>
    </row>
    <row r="38" spans="2:7" x14ac:dyDescent="0.25">
      <c r="B38" s="19" t="s">
        <v>3</v>
      </c>
      <c r="C38" s="20" t="s">
        <v>586</v>
      </c>
      <c r="D38" s="21"/>
      <c r="E38" s="21"/>
      <c r="F38" s="22" t="s">
        <v>268</v>
      </c>
      <c r="G38" s="22" t="s">
        <v>35</v>
      </c>
    </row>
    <row r="39" spans="2:7" ht="23.25" x14ac:dyDescent="0.25">
      <c r="B39" s="3" t="s">
        <v>13</v>
      </c>
      <c r="C39" s="4" t="s">
        <v>11</v>
      </c>
      <c r="D39" s="4" t="s">
        <v>9</v>
      </c>
      <c r="E39" s="4" t="s">
        <v>10</v>
      </c>
      <c r="F39" s="4" t="s">
        <v>14</v>
      </c>
      <c r="G39" s="4" t="s">
        <v>12</v>
      </c>
    </row>
    <row r="40" spans="2:7" x14ac:dyDescent="0.25">
      <c r="B40" s="5" t="s">
        <v>4</v>
      </c>
      <c r="C40" s="5"/>
      <c r="D40" s="5"/>
      <c r="E40" s="6"/>
      <c r="F40" s="6"/>
      <c r="G40" s="6">
        <f>+F40*E40</f>
        <v>0</v>
      </c>
    </row>
    <row r="41" spans="2:7" x14ac:dyDescent="0.25">
      <c r="B41" s="5" t="s">
        <v>5</v>
      </c>
      <c r="C41" s="5"/>
      <c r="D41" s="5"/>
      <c r="E41" s="6"/>
      <c r="F41" s="6"/>
      <c r="G41" s="6">
        <f>+F41*E41</f>
        <v>0</v>
      </c>
    </row>
    <row r="42" spans="2:7" x14ac:dyDescent="0.25">
      <c r="B42" s="5" t="s">
        <v>6</v>
      </c>
      <c r="C42" s="5"/>
      <c r="D42" s="5"/>
      <c r="E42" s="6"/>
      <c r="F42" s="6"/>
      <c r="G42" s="6">
        <f>+F42*E42</f>
        <v>0</v>
      </c>
    </row>
    <row r="43" spans="2:7" x14ac:dyDescent="0.25">
      <c r="B43" s="5" t="s">
        <v>7</v>
      </c>
      <c r="C43" s="5"/>
      <c r="D43" s="5"/>
      <c r="E43" s="6"/>
      <c r="F43" s="6"/>
      <c r="G43" s="6">
        <f>+F43*E43</f>
        <v>0</v>
      </c>
    </row>
    <row r="44" spans="2:7" x14ac:dyDescent="0.25">
      <c r="B44" s="8" t="s">
        <v>8</v>
      </c>
      <c r="C44" s="8"/>
      <c r="D44" s="8"/>
      <c r="E44" s="9"/>
      <c r="F44" s="9"/>
      <c r="G44" s="6">
        <f>+F44*E44</f>
        <v>0</v>
      </c>
    </row>
    <row r="45" spans="2:7" x14ac:dyDescent="0.25">
      <c r="B45" s="10" t="s">
        <v>2</v>
      </c>
      <c r="C45" s="11"/>
      <c r="D45" s="11"/>
      <c r="E45" s="12"/>
      <c r="F45" s="7"/>
      <c r="G45" s="23">
        <f>SUM(G40:G44)</f>
        <v>0</v>
      </c>
    </row>
    <row r="47" spans="2:7" x14ac:dyDescent="0.25">
      <c r="B47" s="19" t="s">
        <v>3</v>
      </c>
      <c r="C47" s="20" t="s">
        <v>587</v>
      </c>
      <c r="D47" s="21"/>
      <c r="E47" s="21"/>
      <c r="F47" s="22" t="s">
        <v>268</v>
      </c>
      <c r="G47" s="22" t="s">
        <v>36</v>
      </c>
    </row>
    <row r="48" spans="2:7" ht="23.25" x14ac:dyDescent="0.25">
      <c r="B48" s="3" t="s">
        <v>13</v>
      </c>
      <c r="C48" s="4" t="s">
        <v>11</v>
      </c>
      <c r="D48" s="4" t="s">
        <v>9</v>
      </c>
      <c r="E48" s="4" t="s">
        <v>10</v>
      </c>
      <c r="F48" s="4" t="s">
        <v>14</v>
      </c>
      <c r="G48" s="4" t="s">
        <v>12</v>
      </c>
    </row>
    <row r="49" spans="2:7" x14ac:dyDescent="0.25">
      <c r="B49" s="5" t="s">
        <v>4</v>
      </c>
      <c r="C49" s="5"/>
      <c r="D49" s="5"/>
      <c r="E49" s="6"/>
      <c r="F49" s="6"/>
      <c r="G49" s="6">
        <f>+F49*E49</f>
        <v>0</v>
      </c>
    </row>
    <row r="50" spans="2:7" x14ac:dyDescent="0.25">
      <c r="B50" s="5" t="s">
        <v>5</v>
      </c>
      <c r="C50" s="5"/>
      <c r="D50" s="5"/>
      <c r="E50" s="6"/>
      <c r="F50" s="6"/>
      <c r="G50" s="6">
        <f>+F50*E50</f>
        <v>0</v>
      </c>
    </row>
    <row r="51" spans="2:7" x14ac:dyDescent="0.25">
      <c r="B51" s="5" t="s">
        <v>6</v>
      </c>
      <c r="C51" s="5"/>
      <c r="D51" s="5"/>
      <c r="E51" s="6"/>
      <c r="F51" s="6"/>
      <c r="G51" s="6">
        <f>+F51*E51</f>
        <v>0</v>
      </c>
    </row>
    <row r="52" spans="2:7" x14ac:dyDescent="0.25">
      <c r="B52" s="5" t="s">
        <v>7</v>
      </c>
      <c r="C52" s="5"/>
      <c r="D52" s="5"/>
      <c r="E52" s="6"/>
      <c r="F52" s="6"/>
      <c r="G52" s="6">
        <f>+F52*E52</f>
        <v>0</v>
      </c>
    </row>
    <row r="53" spans="2:7" x14ac:dyDescent="0.25">
      <c r="B53" s="8" t="s">
        <v>8</v>
      </c>
      <c r="C53" s="8"/>
      <c r="D53" s="8"/>
      <c r="E53" s="9"/>
      <c r="F53" s="9"/>
      <c r="G53" s="6">
        <f>+F53*E53</f>
        <v>0</v>
      </c>
    </row>
    <row r="54" spans="2:7" x14ac:dyDescent="0.25">
      <c r="B54" s="10" t="s">
        <v>2</v>
      </c>
      <c r="C54" s="11"/>
      <c r="D54" s="11"/>
      <c r="E54" s="12"/>
      <c r="F54" s="7"/>
      <c r="G54" s="23">
        <f>SUM(G49:G53)</f>
        <v>0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307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3073" r:id="rId3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4.75" customHeight="1" x14ac:dyDescent="0.25">
      <c r="B6" s="306" t="s">
        <v>134</v>
      </c>
      <c r="C6" s="306"/>
      <c r="D6" s="307" t="s">
        <v>238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237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239</v>
      </c>
      <c r="C8" s="309"/>
      <c r="D8" s="309"/>
      <c r="E8" s="309"/>
      <c r="F8" s="309"/>
      <c r="G8" s="18" t="s">
        <v>545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/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4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+B13</f>
        <v>Profesional EyP</v>
      </c>
      <c r="J12" s="25" t="str">
        <f>+$J$8</f>
        <v>NO ESTRUCTURAL</v>
      </c>
      <c r="K12" s="6">
        <f>SUM(L12:S12)</f>
        <v>135</v>
      </c>
      <c r="L12" s="6">
        <f>+G18</f>
        <v>27</v>
      </c>
      <c r="M12" s="6">
        <f>+L12</f>
        <v>27</v>
      </c>
      <c r="N12" s="6">
        <f>+M12</f>
        <v>27</v>
      </c>
      <c r="O12" s="6">
        <f>+N12</f>
        <v>27</v>
      </c>
      <c r="P12" s="6">
        <f>+O12</f>
        <v>27</v>
      </c>
      <c r="Q12" s="6"/>
      <c r="R12" s="6"/>
      <c r="S12" s="6"/>
    </row>
    <row r="13" spans="2:19" x14ac:dyDescent="0.25">
      <c r="B13" s="5" t="s">
        <v>125</v>
      </c>
      <c r="C13" s="5"/>
      <c r="D13" s="5" t="s">
        <v>105</v>
      </c>
      <c r="E13" s="6">
        <v>1</v>
      </c>
      <c r="F13" s="6">
        <v>24</v>
      </c>
      <c r="G13" s="6">
        <f>+F13*E13</f>
        <v>24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 t="s">
        <v>126</v>
      </c>
      <c r="C14" s="5"/>
      <c r="D14" s="5" t="s">
        <v>105</v>
      </c>
      <c r="E14" s="6">
        <v>0</v>
      </c>
      <c r="F14" s="6">
        <f>2*12</f>
        <v>24</v>
      </c>
      <c r="G14" s="6">
        <f>+F14*E14</f>
        <v>0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 t="s">
        <v>127</v>
      </c>
      <c r="C15" s="5"/>
      <c r="D15" s="5" t="s">
        <v>105</v>
      </c>
      <c r="E15" s="6">
        <v>1</v>
      </c>
      <c r="F15" s="6">
        <v>3</v>
      </c>
      <c r="G15" s="6">
        <f>+F15*E15</f>
        <v>3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27</v>
      </c>
      <c r="I18" s="17" t="s">
        <v>2</v>
      </c>
      <c r="J18" s="14"/>
      <c r="K18" s="16">
        <f t="shared" ref="K18:S18" si="0">SUM(K12:K17)</f>
        <v>135</v>
      </c>
      <c r="L18" s="16">
        <f t="shared" si="0"/>
        <v>27</v>
      </c>
      <c r="M18" s="16">
        <f t="shared" si="0"/>
        <v>27</v>
      </c>
      <c r="N18" s="16">
        <f t="shared" si="0"/>
        <v>27</v>
      </c>
      <c r="O18" s="16">
        <f t="shared" si="0"/>
        <v>27</v>
      </c>
      <c r="P18" s="16">
        <f t="shared" si="0"/>
        <v>27</v>
      </c>
      <c r="Q18" s="16">
        <f t="shared" si="0"/>
        <v>0</v>
      </c>
      <c r="R18" s="16">
        <f t="shared" si="0"/>
        <v>0</v>
      </c>
      <c r="S18" s="16">
        <f t="shared" si="0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>
        <f>+I14</f>
        <v>0</v>
      </c>
      <c r="J22" s="15"/>
      <c r="K22" s="109"/>
      <c r="L22" s="6"/>
      <c r="M22" s="6">
        <f>NPV($L$8,L18:P18)+O22</f>
        <v>113.73382221027425</v>
      </c>
      <c r="N22" s="201">
        <f>-PMT($L$8,5,M22)</f>
        <v>26.999999999999996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8944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89441" r:id="rId3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58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7" customHeight="1" x14ac:dyDescent="0.25">
      <c r="B6" s="316" t="str">
        <f>[1]índice!B12</f>
        <v>MANEJO DE RECURSOS HÍDRICOS</v>
      </c>
      <c r="C6" s="316"/>
      <c r="D6" s="307" t="s">
        <v>242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4.5" customHeight="1" x14ac:dyDescent="0.25">
      <c r="B7" s="316"/>
      <c r="C7" s="316"/>
      <c r="D7" s="307" t="s">
        <v>240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19.5" customHeight="1" x14ac:dyDescent="0.4">
      <c r="B8" s="305" t="str">
        <f>[1]índice!F12</f>
        <v xml:space="preserve"> Instalación de nuevas estaciones hidrometricas DGA</v>
      </c>
      <c r="C8" s="305"/>
      <c r="D8" s="305"/>
      <c r="E8" s="305"/>
      <c r="F8" s="305"/>
      <c r="G8" s="18" t="s">
        <v>547</v>
      </c>
      <c r="I8" s="25" t="s">
        <v>21</v>
      </c>
      <c r="J8" s="25" t="s">
        <v>22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 t="s">
        <v>100</v>
      </c>
      <c r="D11" s="21"/>
      <c r="E11" s="21"/>
      <c r="F11" s="22" t="s">
        <v>268</v>
      </c>
      <c r="G11" s="22" t="str">
        <f>[1]índice!$G$12</f>
        <v>Estructural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4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+C11</f>
        <v>Cuencas Costeras</v>
      </c>
      <c r="J12" s="5" t="str">
        <f>+G11</f>
        <v>Estructural</v>
      </c>
      <c r="K12" s="51">
        <f>SUM(L12:Q12)</f>
        <v>280.72000000000003</v>
      </c>
      <c r="L12" s="51">
        <f>$G$18/5</f>
        <v>56.144000000000005</v>
      </c>
      <c r="M12" s="51">
        <f>+L12</f>
        <v>56.144000000000005</v>
      </c>
      <c r="N12" s="51">
        <f t="shared" ref="N12:P12" si="0">+M12</f>
        <v>56.144000000000005</v>
      </c>
      <c r="O12" s="51">
        <f t="shared" si="0"/>
        <v>56.144000000000005</v>
      </c>
      <c r="P12" s="51">
        <f t="shared" si="0"/>
        <v>56.144000000000005</v>
      </c>
      <c r="Q12" s="51"/>
      <c r="R12" s="6"/>
      <c r="S12" s="6"/>
    </row>
    <row r="13" spans="2:19" x14ac:dyDescent="0.25">
      <c r="B13" s="5" t="s">
        <v>138</v>
      </c>
      <c r="C13" s="5" t="s">
        <v>139</v>
      </c>
      <c r="D13" s="5" t="s">
        <v>140</v>
      </c>
      <c r="E13" s="6">
        <v>2</v>
      </c>
      <c r="F13" s="52">
        <v>6.2149999999999999</v>
      </c>
      <c r="G13" s="52">
        <f>+F13*E13</f>
        <v>12.43</v>
      </c>
      <c r="I13" s="5" t="str">
        <f>+C20</f>
        <v>Cuenca Mataquito(UPH 7 y 8)</v>
      </c>
      <c r="J13" s="5" t="str">
        <f>+G20</f>
        <v>Estructural</v>
      </c>
      <c r="K13" s="51">
        <f t="shared" ref="K13:K19" si="1">SUM(L13:Q13)</f>
        <v>367.505</v>
      </c>
      <c r="L13" s="51">
        <f>$G$28/5</f>
        <v>73.501000000000005</v>
      </c>
      <c r="M13" s="51">
        <f t="shared" ref="M13:P16" si="2">+L13</f>
        <v>73.501000000000005</v>
      </c>
      <c r="N13" s="51">
        <f t="shared" si="2"/>
        <v>73.501000000000005</v>
      </c>
      <c r="O13" s="51">
        <f t="shared" si="2"/>
        <v>73.501000000000005</v>
      </c>
      <c r="P13" s="51">
        <f t="shared" si="2"/>
        <v>73.501000000000005</v>
      </c>
      <c r="Q13" s="51"/>
      <c r="R13" s="6"/>
      <c r="S13" s="6"/>
    </row>
    <row r="14" spans="2:19" x14ac:dyDescent="0.25">
      <c r="B14" s="5" t="s">
        <v>141</v>
      </c>
      <c r="C14" s="5" t="s">
        <v>139</v>
      </c>
      <c r="D14" s="5" t="s">
        <v>140</v>
      </c>
      <c r="E14" s="6">
        <v>3</v>
      </c>
      <c r="F14" s="52">
        <v>84.62</v>
      </c>
      <c r="G14" s="52">
        <f>+F14*E14</f>
        <v>253.86</v>
      </c>
      <c r="I14" s="5" t="str">
        <f>+C30</f>
        <v>Maule Alto y Bajo (UPH 5 y 6)</v>
      </c>
      <c r="J14" s="5" t="str">
        <f>+G30</f>
        <v>Estructural</v>
      </c>
      <c r="K14" s="51">
        <f t="shared" si="1"/>
        <v>337.46500000000003</v>
      </c>
      <c r="L14" s="51">
        <f>$G$38/5</f>
        <v>67.493000000000009</v>
      </c>
      <c r="M14" s="51">
        <f t="shared" si="2"/>
        <v>67.493000000000009</v>
      </c>
      <c r="N14" s="51">
        <f t="shared" si="2"/>
        <v>67.493000000000009</v>
      </c>
      <c r="O14" s="51">
        <f t="shared" si="2"/>
        <v>67.493000000000009</v>
      </c>
      <c r="P14" s="51">
        <f t="shared" si="2"/>
        <v>67.493000000000009</v>
      </c>
      <c r="Q14" s="51"/>
      <c r="R14" s="6"/>
      <c r="S14" s="6"/>
    </row>
    <row r="15" spans="2:19" x14ac:dyDescent="0.25">
      <c r="B15" s="5" t="s">
        <v>142</v>
      </c>
      <c r="C15" s="5" t="s">
        <v>139</v>
      </c>
      <c r="D15" s="5" t="s">
        <v>140</v>
      </c>
      <c r="E15" s="6">
        <v>2</v>
      </c>
      <c r="F15" s="52">
        <v>7.2149999999999999</v>
      </c>
      <c r="G15" s="52">
        <f>+F15*E15</f>
        <v>14.43</v>
      </c>
      <c r="I15" s="5" t="s">
        <v>85</v>
      </c>
      <c r="J15" s="5" t="str">
        <f>+G40</f>
        <v>Estructural</v>
      </c>
      <c r="K15" s="51">
        <f t="shared" si="1"/>
        <v>340.07499999999999</v>
      </c>
      <c r="L15" s="51">
        <f>$G$48/5</f>
        <v>68.015000000000001</v>
      </c>
      <c r="M15" s="51">
        <f t="shared" si="2"/>
        <v>68.015000000000001</v>
      </c>
      <c r="N15" s="51">
        <f t="shared" si="2"/>
        <v>68.015000000000001</v>
      </c>
      <c r="O15" s="51">
        <f t="shared" si="2"/>
        <v>68.015000000000001</v>
      </c>
      <c r="P15" s="51">
        <f t="shared" si="2"/>
        <v>68.015000000000001</v>
      </c>
      <c r="Q15" s="51"/>
      <c r="R15" s="6"/>
      <c r="S15" s="6"/>
    </row>
    <row r="16" spans="2:19" x14ac:dyDescent="0.25">
      <c r="B16" s="5"/>
      <c r="C16" s="5"/>
      <c r="D16" s="5"/>
      <c r="E16" s="6"/>
      <c r="F16" s="52"/>
      <c r="G16" s="52">
        <f>+F16*E16</f>
        <v>0</v>
      </c>
      <c r="I16" s="5" t="s">
        <v>84</v>
      </c>
      <c r="J16" s="5">
        <f>+G50</f>
        <v>0</v>
      </c>
      <c r="K16" s="51">
        <f t="shared" si="1"/>
        <v>92.215000000000003</v>
      </c>
      <c r="L16" s="51">
        <f>$G$58/5</f>
        <v>18.443000000000001</v>
      </c>
      <c r="M16" s="51">
        <f t="shared" si="2"/>
        <v>18.443000000000001</v>
      </c>
      <c r="N16" s="51">
        <f t="shared" si="2"/>
        <v>18.443000000000001</v>
      </c>
      <c r="O16" s="51">
        <f t="shared" si="2"/>
        <v>18.443000000000001</v>
      </c>
      <c r="P16" s="51">
        <f t="shared" si="2"/>
        <v>18.443000000000001</v>
      </c>
      <c r="Q16" s="51"/>
      <c r="R16" s="6"/>
      <c r="S16" s="6"/>
    </row>
    <row r="17" spans="2:19" x14ac:dyDescent="0.25">
      <c r="B17" s="8"/>
      <c r="C17" s="8"/>
      <c r="D17" s="8"/>
      <c r="E17" s="9"/>
      <c r="F17" s="52"/>
      <c r="G17" s="52">
        <f>+F17*E17</f>
        <v>0</v>
      </c>
      <c r="I17" s="5"/>
      <c r="J17" s="5"/>
      <c r="K17" s="51"/>
      <c r="L17" s="53"/>
      <c r="M17" s="53"/>
      <c r="N17" s="53"/>
      <c r="O17" s="53"/>
      <c r="P17" s="53"/>
      <c r="Q17" s="53"/>
      <c r="R17" s="53"/>
      <c r="S17" s="53"/>
    </row>
    <row r="18" spans="2:19" x14ac:dyDescent="0.25">
      <c r="B18" s="10" t="s">
        <v>2</v>
      </c>
      <c r="C18" s="11"/>
      <c r="D18" s="11"/>
      <c r="E18" s="12"/>
      <c r="F18" s="52"/>
      <c r="G18" s="52">
        <f>SUM(G13:G17)</f>
        <v>280.72000000000003</v>
      </c>
      <c r="I18" s="5"/>
      <c r="J18" s="5"/>
      <c r="K18" s="51">
        <f t="shared" si="1"/>
        <v>0</v>
      </c>
      <c r="L18" s="53"/>
      <c r="M18" s="53"/>
      <c r="N18" s="53"/>
      <c r="O18" s="53"/>
      <c r="P18" s="53"/>
      <c r="Q18" s="53"/>
      <c r="R18" s="5"/>
      <c r="S18" s="5"/>
    </row>
    <row r="19" spans="2:19" x14ac:dyDescent="0.25">
      <c r="I19" s="5"/>
      <c r="J19" s="5"/>
      <c r="K19" s="51">
        <f t="shared" si="1"/>
        <v>0</v>
      </c>
      <c r="L19" s="53"/>
      <c r="M19" s="53"/>
      <c r="N19" s="53"/>
      <c r="O19" s="53"/>
      <c r="P19" s="53"/>
      <c r="Q19" s="53"/>
      <c r="R19" s="5"/>
      <c r="S19" s="5"/>
    </row>
    <row r="20" spans="2:19" x14ac:dyDescent="0.25">
      <c r="B20" s="19" t="s">
        <v>3</v>
      </c>
      <c r="C20" s="20" t="s">
        <v>143</v>
      </c>
      <c r="D20" s="21"/>
      <c r="E20" s="21"/>
      <c r="F20" s="22" t="s">
        <v>1</v>
      </c>
      <c r="G20" s="22" t="str">
        <f>[1]índice!$G$12</f>
        <v>Estructural</v>
      </c>
      <c r="I20" s="17" t="s">
        <v>2</v>
      </c>
      <c r="J20" s="14"/>
      <c r="K20" s="53">
        <f>SUM(K12:K19)</f>
        <v>1417.98</v>
      </c>
      <c r="L20" s="53">
        <f>SUM(L12:L16)</f>
        <v>283.596</v>
      </c>
      <c r="M20" s="53">
        <f t="shared" ref="M20:S20" si="3">SUM(M12:M16)</f>
        <v>283.596</v>
      </c>
      <c r="N20" s="53">
        <f t="shared" si="3"/>
        <v>283.596</v>
      </c>
      <c r="O20" s="53">
        <f t="shared" si="3"/>
        <v>283.596</v>
      </c>
      <c r="P20" s="53">
        <f t="shared" si="3"/>
        <v>283.596</v>
      </c>
      <c r="Q20" s="53">
        <f t="shared" si="3"/>
        <v>0</v>
      </c>
      <c r="R20" s="53">
        <f t="shared" si="3"/>
        <v>0</v>
      </c>
      <c r="S20" s="53">
        <f t="shared" si="3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5" t="s">
        <v>138</v>
      </c>
      <c r="C22" s="5" t="s">
        <v>139</v>
      </c>
      <c r="D22" s="5" t="s">
        <v>140</v>
      </c>
      <c r="E22" s="6">
        <v>3</v>
      </c>
      <c r="F22" s="52">
        <f>F13</f>
        <v>6.2149999999999999</v>
      </c>
      <c r="G22" s="52">
        <f t="shared" ref="G22:G27" si="4">+F22*E22</f>
        <v>18.645</v>
      </c>
      <c r="I22" s="197" t="s">
        <v>265</v>
      </c>
      <c r="J22" s="198"/>
      <c r="K22" s="198"/>
      <c r="L22" s="198"/>
      <c r="M22" s="198"/>
      <c r="N22" s="199"/>
      <c r="O22" s="198"/>
      <c r="P22" s="199"/>
    </row>
    <row r="23" spans="2:19" x14ac:dyDescent="0.25">
      <c r="B23" s="5" t="s">
        <v>141</v>
      </c>
      <c r="C23" s="5" t="s">
        <v>139</v>
      </c>
      <c r="D23" s="5" t="s">
        <v>140</v>
      </c>
      <c r="E23" s="6">
        <v>3</v>
      </c>
      <c r="F23" s="52">
        <f>F14</f>
        <v>84.62</v>
      </c>
      <c r="G23" s="52">
        <f t="shared" si="4"/>
        <v>253.86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00" t="s">
        <v>264</v>
      </c>
      <c r="O23" s="29"/>
      <c r="P23" s="200"/>
    </row>
    <row r="24" spans="2:19" x14ac:dyDescent="0.25">
      <c r="B24" s="5" t="s">
        <v>142</v>
      </c>
      <c r="C24" s="5" t="s">
        <v>139</v>
      </c>
      <c r="D24" s="5" t="s">
        <v>140</v>
      </c>
      <c r="E24" s="6">
        <v>0</v>
      </c>
      <c r="F24" s="52">
        <f>F15</f>
        <v>7.2149999999999999</v>
      </c>
      <c r="G24" s="52">
        <f t="shared" si="4"/>
        <v>0</v>
      </c>
      <c r="I24" s="15" t="str">
        <f>+I20</f>
        <v>Total</v>
      </c>
      <c r="J24" s="15"/>
      <c r="K24" s="109"/>
      <c r="L24" s="6">
        <v>0.06</v>
      </c>
      <c r="M24" s="6">
        <f>NPV($L$8,L20:P20)+O24</f>
        <v>1194.6095201312939</v>
      </c>
      <c r="N24" s="201">
        <f>-PMT($L$8,5,M24)</f>
        <v>283.59599999999995</v>
      </c>
      <c r="O24" s="6"/>
      <c r="P24" s="201"/>
    </row>
    <row r="25" spans="2:19" x14ac:dyDescent="0.25">
      <c r="B25" s="5" t="s">
        <v>144</v>
      </c>
      <c r="C25" s="5" t="s">
        <v>139</v>
      </c>
      <c r="D25" s="5" t="s">
        <v>140</v>
      </c>
      <c r="E25" s="6">
        <v>4</v>
      </c>
      <c r="F25" s="52">
        <v>5</v>
      </c>
      <c r="G25" s="52">
        <f t="shared" si="4"/>
        <v>20</v>
      </c>
    </row>
    <row r="26" spans="2:19" x14ac:dyDescent="0.25">
      <c r="B26" s="8" t="s">
        <v>145</v>
      </c>
      <c r="C26" s="5" t="s">
        <v>139</v>
      </c>
      <c r="D26" s="5" t="s">
        <v>140</v>
      </c>
      <c r="E26" s="9">
        <v>6</v>
      </c>
      <c r="F26" s="52">
        <v>12.5</v>
      </c>
      <c r="G26" s="52">
        <f t="shared" si="4"/>
        <v>75</v>
      </c>
    </row>
    <row r="27" spans="2:19" x14ac:dyDescent="0.25">
      <c r="B27" s="8" t="s">
        <v>146</v>
      </c>
      <c r="C27" s="5" t="s">
        <v>139</v>
      </c>
      <c r="D27" s="5" t="s">
        <v>140</v>
      </c>
      <c r="E27" s="9">
        <v>0</v>
      </c>
      <c r="F27" s="52">
        <v>5</v>
      </c>
      <c r="G27" s="52">
        <f t="shared" si="4"/>
        <v>0</v>
      </c>
    </row>
    <row r="28" spans="2:19" x14ac:dyDescent="0.25">
      <c r="B28" s="10" t="s">
        <v>2</v>
      </c>
      <c r="C28" s="11"/>
      <c r="D28" s="11"/>
      <c r="E28" s="12"/>
      <c r="F28" s="52"/>
      <c r="G28" s="52">
        <f>SUM(G22:G27)</f>
        <v>367.505</v>
      </c>
    </row>
    <row r="30" spans="2:19" x14ac:dyDescent="0.25">
      <c r="B30" s="19" t="s">
        <v>3</v>
      </c>
      <c r="C30" s="20" t="s">
        <v>147</v>
      </c>
      <c r="D30" s="21"/>
      <c r="E30" s="21"/>
      <c r="F30" s="22" t="s">
        <v>1</v>
      </c>
      <c r="G30" s="22" t="str">
        <f>[1]índice!$G$12</f>
        <v>Estructural</v>
      </c>
    </row>
    <row r="31" spans="2:19" ht="23.25" x14ac:dyDescent="0.25">
      <c r="B31" s="3" t="s">
        <v>13</v>
      </c>
      <c r="C31" s="4" t="s">
        <v>11</v>
      </c>
      <c r="D31" s="4" t="s">
        <v>9</v>
      </c>
      <c r="E31" s="4" t="s">
        <v>10</v>
      </c>
      <c r="F31" s="4" t="s">
        <v>14</v>
      </c>
      <c r="G31" s="4" t="s">
        <v>12</v>
      </c>
    </row>
    <row r="32" spans="2:19" x14ac:dyDescent="0.25">
      <c r="B32" s="5" t="s">
        <v>138</v>
      </c>
      <c r="C32" s="5" t="s">
        <v>139</v>
      </c>
      <c r="D32" s="5" t="s">
        <v>140</v>
      </c>
      <c r="E32" s="6">
        <v>15</v>
      </c>
      <c r="F32" s="52">
        <v>6.2149999999999999</v>
      </c>
      <c r="G32" s="52">
        <f t="shared" ref="G32:G37" si="5">+F32*E32</f>
        <v>93.224999999999994</v>
      </c>
    </row>
    <row r="33" spans="2:7" x14ac:dyDescent="0.25">
      <c r="B33" s="5" t="s">
        <v>141</v>
      </c>
      <c r="C33" s="5" t="s">
        <v>139</v>
      </c>
      <c r="D33" s="5" t="s">
        <v>140</v>
      </c>
      <c r="E33" s="6">
        <v>2</v>
      </c>
      <c r="F33" s="52">
        <v>84.62</v>
      </c>
      <c r="G33" s="52">
        <f t="shared" si="5"/>
        <v>169.24</v>
      </c>
    </row>
    <row r="34" spans="2:7" x14ac:dyDescent="0.25">
      <c r="B34" s="5" t="s">
        <v>142</v>
      </c>
      <c r="C34" s="5" t="s">
        <v>139</v>
      </c>
      <c r="D34" s="5" t="s">
        <v>140</v>
      </c>
      <c r="E34" s="6">
        <v>0</v>
      </c>
      <c r="F34" s="52">
        <v>7.2149999999999999</v>
      </c>
      <c r="G34" s="52">
        <f t="shared" si="5"/>
        <v>0</v>
      </c>
    </row>
    <row r="35" spans="2:7" x14ac:dyDescent="0.25">
      <c r="B35" s="5" t="s">
        <v>144</v>
      </c>
      <c r="C35" s="5" t="s">
        <v>139</v>
      </c>
      <c r="D35" s="5" t="s">
        <v>140</v>
      </c>
      <c r="E35" s="6">
        <v>0</v>
      </c>
      <c r="F35" s="52">
        <v>5</v>
      </c>
      <c r="G35" s="52">
        <f t="shared" si="5"/>
        <v>0</v>
      </c>
    </row>
    <row r="36" spans="2:7" x14ac:dyDescent="0.25">
      <c r="B36" s="8" t="s">
        <v>145</v>
      </c>
      <c r="C36" s="5" t="s">
        <v>139</v>
      </c>
      <c r="D36" s="5" t="s">
        <v>140</v>
      </c>
      <c r="E36" s="9">
        <v>6</v>
      </c>
      <c r="F36" s="52">
        <v>12.5</v>
      </c>
      <c r="G36" s="52">
        <f t="shared" si="5"/>
        <v>75</v>
      </c>
    </row>
    <row r="37" spans="2:7" x14ac:dyDescent="0.25">
      <c r="B37" s="8" t="s">
        <v>146</v>
      </c>
      <c r="C37" s="5" t="s">
        <v>139</v>
      </c>
      <c r="D37" s="5" t="s">
        <v>140</v>
      </c>
      <c r="E37" s="9">
        <v>0</v>
      </c>
      <c r="F37" s="52">
        <v>5</v>
      </c>
      <c r="G37" s="52">
        <f t="shared" si="5"/>
        <v>0</v>
      </c>
    </row>
    <row r="38" spans="2:7" x14ac:dyDescent="0.25">
      <c r="B38" s="10" t="s">
        <v>2</v>
      </c>
      <c r="C38" s="11"/>
      <c r="D38" s="11"/>
      <c r="E38" s="12"/>
      <c r="F38" s="7"/>
      <c r="G38" s="52">
        <f>SUM(G32:G37)</f>
        <v>337.46500000000003</v>
      </c>
    </row>
    <row r="40" spans="2:7" x14ac:dyDescent="0.25">
      <c r="B40" s="19" t="s">
        <v>3</v>
      </c>
      <c r="C40" s="20" t="s">
        <v>148</v>
      </c>
      <c r="D40" s="21"/>
      <c r="E40" s="21"/>
      <c r="F40" s="22" t="s">
        <v>1</v>
      </c>
      <c r="G40" s="22" t="str">
        <f>[1]índice!$G$12</f>
        <v>Estructural</v>
      </c>
    </row>
    <row r="41" spans="2:7" ht="23.25" x14ac:dyDescent="0.25">
      <c r="B41" s="3" t="s">
        <v>13</v>
      </c>
      <c r="C41" s="4" t="s">
        <v>11</v>
      </c>
      <c r="D41" s="4" t="s">
        <v>9</v>
      </c>
      <c r="E41" s="4" t="s">
        <v>10</v>
      </c>
      <c r="F41" s="4" t="s">
        <v>14</v>
      </c>
      <c r="G41" s="4" t="s">
        <v>12</v>
      </c>
    </row>
    <row r="42" spans="2:7" x14ac:dyDescent="0.25">
      <c r="B42" s="5" t="s">
        <v>138</v>
      </c>
      <c r="C42" s="5" t="s">
        <v>139</v>
      </c>
      <c r="D42" s="5" t="s">
        <v>140</v>
      </c>
      <c r="E42" s="6">
        <v>1</v>
      </c>
      <c r="F42" s="52">
        <v>6.2149999999999999</v>
      </c>
      <c r="G42" s="52">
        <f t="shared" ref="G42:G47" si="6">+F42*E42</f>
        <v>6.2149999999999999</v>
      </c>
    </row>
    <row r="43" spans="2:7" x14ac:dyDescent="0.25">
      <c r="B43" s="5" t="s">
        <v>141</v>
      </c>
      <c r="C43" s="5" t="s">
        <v>139</v>
      </c>
      <c r="D43" s="5" t="s">
        <v>140</v>
      </c>
      <c r="E43" s="6">
        <v>3</v>
      </c>
      <c r="F43" s="52">
        <v>84.62</v>
      </c>
      <c r="G43" s="52">
        <f t="shared" si="6"/>
        <v>253.86</v>
      </c>
    </row>
    <row r="44" spans="2:7" x14ac:dyDescent="0.25">
      <c r="B44" s="5" t="s">
        <v>142</v>
      </c>
      <c r="C44" s="5" t="s">
        <v>139</v>
      </c>
      <c r="D44" s="5" t="s">
        <v>140</v>
      </c>
      <c r="E44" s="6">
        <v>0</v>
      </c>
      <c r="F44" s="52">
        <v>7.2149999999999999</v>
      </c>
      <c r="G44" s="52">
        <f t="shared" si="6"/>
        <v>0</v>
      </c>
    </row>
    <row r="45" spans="2:7" x14ac:dyDescent="0.25">
      <c r="B45" s="5" t="s">
        <v>144</v>
      </c>
      <c r="C45" s="5" t="s">
        <v>139</v>
      </c>
      <c r="D45" s="5" t="s">
        <v>140</v>
      </c>
      <c r="E45" s="6">
        <v>1</v>
      </c>
      <c r="F45" s="52">
        <v>5</v>
      </c>
      <c r="G45" s="52">
        <f t="shared" si="6"/>
        <v>5</v>
      </c>
    </row>
    <row r="46" spans="2:7" x14ac:dyDescent="0.25">
      <c r="B46" s="8" t="s">
        <v>145</v>
      </c>
      <c r="C46" s="8" t="s">
        <v>139</v>
      </c>
      <c r="D46" s="8" t="s">
        <v>140</v>
      </c>
      <c r="E46" s="9">
        <v>6</v>
      </c>
      <c r="F46" s="52">
        <v>12.5</v>
      </c>
      <c r="G46" s="52">
        <f t="shared" si="6"/>
        <v>75</v>
      </c>
    </row>
    <row r="47" spans="2:7" x14ac:dyDescent="0.25">
      <c r="B47" s="8" t="s">
        <v>146</v>
      </c>
      <c r="C47" s="8" t="s">
        <v>139</v>
      </c>
      <c r="D47" s="8" t="s">
        <v>140</v>
      </c>
      <c r="E47" s="9">
        <v>0</v>
      </c>
      <c r="F47" s="52">
        <v>5</v>
      </c>
      <c r="G47" s="52">
        <f t="shared" si="6"/>
        <v>0</v>
      </c>
    </row>
    <row r="48" spans="2:7" x14ac:dyDescent="0.25">
      <c r="B48" s="10" t="s">
        <v>2</v>
      </c>
      <c r="C48" s="11"/>
      <c r="D48" s="11"/>
      <c r="E48" s="12"/>
      <c r="F48" s="7"/>
      <c r="G48" s="52">
        <f>SUM(G42:G47)</f>
        <v>340.07499999999999</v>
      </c>
    </row>
    <row r="50" spans="2:7" x14ac:dyDescent="0.25">
      <c r="B50" s="19" t="s">
        <v>3</v>
      </c>
      <c r="C50" s="20" t="s">
        <v>149</v>
      </c>
      <c r="D50" s="21"/>
      <c r="E50" s="21"/>
      <c r="F50" s="22" t="s">
        <v>1</v>
      </c>
      <c r="G50" s="22"/>
    </row>
    <row r="51" spans="2:7" ht="23.25" x14ac:dyDescent="0.25">
      <c r="B51" s="3" t="s">
        <v>13</v>
      </c>
      <c r="C51" s="4" t="s">
        <v>11</v>
      </c>
      <c r="D51" s="4" t="s">
        <v>9</v>
      </c>
      <c r="E51" s="4" t="s">
        <v>10</v>
      </c>
      <c r="F51" s="4" t="s">
        <v>14</v>
      </c>
      <c r="G51" s="4" t="s">
        <v>12</v>
      </c>
    </row>
    <row r="52" spans="2:7" x14ac:dyDescent="0.25">
      <c r="B52" s="5" t="s">
        <v>138</v>
      </c>
      <c r="C52" s="5" t="s">
        <v>139</v>
      </c>
      <c r="D52" s="5" t="s">
        <v>140</v>
      </c>
      <c r="E52" s="6">
        <v>0</v>
      </c>
      <c r="F52" s="52">
        <v>6.2149999999999999</v>
      </c>
      <c r="G52" s="52">
        <f t="shared" ref="G52:G57" si="7">+F52*E52</f>
        <v>0</v>
      </c>
    </row>
    <row r="53" spans="2:7" x14ac:dyDescent="0.25">
      <c r="B53" s="5" t="s">
        <v>141</v>
      </c>
      <c r="C53" s="5" t="s">
        <v>139</v>
      </c>
      <c r="D53" s="5" t="s">
        <v>140</v>
      </c>
      <c r="E53" s="6"/>
      <c r="F53" s="52">
        <v>84.62</v>
      </c>
      <c r="G53" s="52">
        <f t="shared" si="7"/>
        <v>0</v>
      </c>
    </row>
    <row r="54" spans="2:7" x14ac:dyDescent="0.25">
      <c r="B54" s="5" t="s">
        <v>142</v>
      </c>
      <c r="C54" s="5" t="s">
        <v>139</v>
      </c>
      <c r="D54" s="5" t="s">
        <v>140</v>
      </c>
      <c r="E54" s="6">
        <v>1</v>
      </c>
      <c r="F54" s="52">
        <v>7.2149999999999999</v>
      </c>
      <c r="G54" s="52">
        <f t="shared" si="7"/>
        <v>7.2149999999999999</v>
      </c>
    </row>
    <row r="55" spans="2:7" x14ac:dyDescent="0.25">
      <c r="B55" s="5" t="s">
        <v>144</v>
      </c>
      <c r="C55" s="5" t="s">
        <v>139</v>
      </c>
      <c r="D55" s="5" t="s">
        <v>140</v>
      </c>
      <c r="E55" s="6">
        <v>2</v>
      </c>
      <c r="F55" s="52">
        <v>5</v>
      </c>
      <c r="G55" s="52">
        <f t="shared" si="7"/>
        <v>10</v>
      </c>
    </row>
    <row r="56" spans="2:7" x14ac:dyDescent="0.25">
      <c r="B56" s="8" t="s">
        <v>145</v>
      </c>
      <c r="C56" s="8" t="s">
        <v>139</v>
      </c>
      <c r="D56" s="8" t="s">
        <v>140</v>
      </c>
      <c r="E56" s="6">
        <v>6</v>
      </c>
      <c r="F56" s="52">
        <v>12.5</v>
      </c>
      <c r="G56" s="52">
        <f t="shared" si="7"/>
        <v>75</v>
      </c>
    </row>
    <row r="57" spans="2:7" x14ac:dyDescent="0.25">
      <c r="B57" s="8" t="s">
        <v>146</v>
      </c>
      <c r="C57" s="8" t="s">
        <v>139</v>
      </c>
      <c r="D57" s="8" t="s">
        <v>140</v>
      </c>
      <c r="E57" s="6"/>
      <c r="F57" s="52">
        <v>5</v>
      </c>
      <c r="G57" s="52">
        <f t="shared" si="7"/>
        <v>0</v>
      </c>
    </row>
    <row r="58" spans="2:7" x14ac:dyDescent="0.25">
      <c r="B58" s="10" t="s">
        <v>2</v>
      </c>
      <c r="C58" s="11"/>
      <c r="D58" s="11"/>
      <c r="E58" s="12"/>
      <c r="F58" s="7"/>
      <c r="G58" s="52">
        <f>SUM(G52:G57)</f>
        <v>92.215000000000003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6674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6674" r:id="rId3"/>
      </mc:Fallback>
    </mc:AlternateContent>
  </oleObject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2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4" customWidth="1"/>
    <col min="2" max="2" width="12.5703125" bestFit="1" customWidth="1"/>
    <col min="4" max="4" width="15.710937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2.75" customHeight="1" x14ac:dyDescent="0.25">
      <c r="B6" s="316" t="s">
        <v>134</v>
      </c>
      <c r="C6" s="316"/>
      <c r="D6" s="307" t="s">
        <v>242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2.25" customHeight="1" x14ac:dyDescent="0.25">
      <c r="B7" s="316"/>
      <c r="C7" s="316"/>
      <c r="D7" s="307" t="s">
        <v>240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9.25" customHeight="1" x14ac:dyDescent="0.4">
      <c r="B8" s="309" t="s">
        <v>243</v>
      </c>
      <c r="C8" s="309"/>
      <c r="D8" s="309"/>
      <c r="E8" s="309"/>
      <c r="F8" s="309"/>
      <c r="G8" s="18" t="s">
        <v>550</v>
      </c>
      <c r="I8" s="25" t="s">
        <v>21</v>
      </c>
      <c r="J8" s="25" t="s">
        <v>115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100</v>
      </c>
      <c r="D11" s="21"/>
      <c r="E11" s="21"/>
      <c r="F11" s="22" t="s">
        <v>1</v>
      </c>
      <c r="G11" s="22" t="s">
        <v>527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36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">
        <v>114</v>
      </c>
      <c r="J12" s="5" t="s">
        <v>112</v>
      </c>
      <c r="K12" s="32">
        <f>SUM(L12:S12)</f>
        <v>146.39999999999998</v>
      </c>
      <c r="L12" s="32">
        <f>+G18</f>
        <v>29.279999999999998</v>
      </c>
      <c r="M12" s="32">
        <f>+L12</f>
        <v>29.279999999999998</v>
      </c>
      <c r="N12" s="32">
        <f>+M12</f>
        <v>29.279999999999998</v>
      </c>
      <c r="O12" s="32">
        <f>+N12</f>
        <v>29.279999999999998</v>
      </c>
      <c r="P12" s="32">
        <f>+O12</f>
        <v>29.279999999999998</v>
      </c>
      <c r="Q12" s="32"/>
      <c r="R12" s="32"/>
      <c r="S12" s="32"/>
    </row>
    <row r="13" spans="2:19" x14ac:dyDescent="0.25">
      <c r="B13" s="5" t="s">
        <v>107</v>
      </c>
      <c r="C13" s="5" t="s">
        <v>108</v>
      </c>
      <c r="D13" s="5" t="s">
        <v>109</v>
      </c>
      <c r="E13" s="6">
        <f>31*4</f>
        <v>124</v>
      </c>
      <c r="F13" s="32">
        <v>0.1</v>
      </c>
      <c r="G13" s="32">
        <f>+F13*E13</f>
        <v>12.4</v>
      </c>
      <c r="I13" s="5"/>
      <c r="J13" s="5"/>
      <c r="K13" s="32">
        <f t="shared" ref="K13:K17" si="0">SUM(L13:S13)</f>
        <v>0</v>
      </c>
      <c r="L13" s="32"/>
      <c r="M13" s="32"/>
      <c r="N13" s="32"/>
      <c r="O13" s="32"/>
      <c r="P13" s="32"/>
      <c r="Q13" s="32"/>
      <c r="R13" s="32"/>
      <c r="S13" s="32"/>
    </row>
    <row r="14" spans="2:19" x14ac:dyDescent="0.25">
      <c r="B14" s="5" t="s">
        <v>110</v>
      </c>
      <c r="C14" s="5" t="s">
        <v>111</v>
      </c>
      <c r="D14" s="5" t="s">
        <v>111</v>
      </c>
      <c r="E14" s="6">
        <v>4</v>
      </c>
      <c r="F14" s="32">
        <v>3</v>
      </c>
      <c r="G14" s="32">
        <f>+F14*E14</f>
        <v>12</v>
      </c>
      <c r="I14" s="5"/>
      <c r="J14" s="5"/>
      <c r="K14" s="32">
        <f t="shared" si="0"/>
        <v>0</v>
      </c>
      <c r="L14" s="32"/>
      <c r="M14" s="32"/>
      <c r="N14" s="32"/>
      <c r="O14" s="32"/>
      <c r="P14" s="32"/>
      <c r="Q14" s="32"/>
      <c r="R14" s="32"/>
      <c r="S14" s="32"/>
    </row>
    <row r="15" spans="2:19" x14ac:dyDescent="0.25">
      <c r="B15" s="5" t="s">
        <v>113</v>
      </c>
      <c r="C15" s="5"/>
      <c r="D15" s="5"/>
      <c r="E15" s="6"/>
      <c r="F15" s="34">
        <v>0.2</v>
      </c>
      <c r="G15" s="32">
        <f>+(G13+G14)*F15</f>
        <v>4.88</v>
      </c>
      <c r="I15" s="5"/>
      <c r="J15" s="5"/>
      <c r="K15" s="32">
        <f t="shared" si="0"/>
        <v>0</v>
      </c>
      <c r="L15" s="32"/>
      <c r="M15" s="32"/>
      <c r="N15" s="32"/>
      <c r="O15" s="32"/>
      <c r="P15" s="32"/>
      <c r="Q15" s="32"/>
      <c r="R15" s="32"/>
      <c r="S15" s="32"/>
    </row>
    <row r="16" spans="2:19" x14ac:dyDescent="0.25">
      <c r="B16" s="5"/>
      <c r="C16" s="5"/>
      <c r="D16" s="5"/>
      <c r="E16" s="30"/>
      <c r="F16" s="6"/>
      <c r="G16" s="32">
        <f>+F16*E16</f>
        <v>0</v>
      </c>
      <c r="I16" s="5"/>
      <c r="J16" s="5"/>
      <c r="K16" s="32">
        <f t="shared" si="0"/>
        <v>0</v>
      </c>
      <c r="L16" s="32"/>
      <c r="M16" s="32"/>
      <c r="N16" s="32"/>
      <c r="O16" s="32"/>
      <c r="P16" s="32"/>
      <c r="Q16" s="32"/>
      <c r="R16" s="32"/>
      <c r="S16" s="32"/>
    </row>
    <row r="17" spans="2:19" x14ac:dyDescent="0.25">
      <c r="B17" s="8"/>
      <c r="C17" s="8"/>
      <c r="D17" s="8"/>
      <c r="E17" s="9"/>
      <c r="F17" s="9"/>
      <c r="G17" s="32">
        <f>+F17*E17</f>
        <v>0</v>
      </c>
      <c r="I17" s="5"/>
      <c r="J17" s="5"/>
      <c r="K17" s="32">
        <f t="shared" si="0"/>
        <v>0</v>
      </c>
      <c r="L17" s="35"/>
      <c r="M17" s="35"/>
      <c r="N17" s="35"/>
      <c r="O17" s="35"/>
      <c r="P17" s="35"/>
      <c r="Q17" s="35"/>
      <c r="R17" s="35"/>
      <c r="S17" s="35"/>
    </row>
    <row r="18" spans="2:19" x14ac:dyDescent="0.25">
      <c r="B18" s="10" t="s">
        <v>2</v>
      </c>
      <c r="C18" s="11"/>
      <c r="D18" s="11"/>
      <c r="E18" s="12"/>
      <c r="F18" s="7"/>
      <c r="G18" s="33">
        <f>SUM(G13:G17)</f>
        <v>29.279999999999998</v>
      </c>
      <c r="I18" s="17" t="s">
        <v>2</v>
      </c>
      <c r="J18" s="14"/>
      <c r="K18" s="35">
        <f t="shared" ref="K18:S18" si="1">SUM(K12:K17)</f>
        <v>146.39999999999998</v>
      </c>
      <c r="L18" s="35">
        <f t="shared" si="1"/>
        <v>29.279999999999998</v>
      </c>
      <c r="M18" s="35">
        <f t="shared" si="1"/>
        <v>29.279999999999998</v>
      </c>
      <c r="N18" s="35">
        <f t="shared" si="1"/>
        <v>29.279999999999998</v>
      </c>
      <c r="O18" s="35">
        <f t="shared" si="1"/>
        <v>29.279999999999998</v>
      </c>
      <c r="P18" s="35">
        <f t="shared" si="1"/>
        <v>29.279999999999998</v>
      </c>
      <c r="Q18" s="35">
        <f t="shared" si="1"/>
        <v>0</v>
      </c>
      <c r="R18" s="35">
        <f t="shared" si="1"/>
        <v>0</v>
      </c>
      <c r="S18" s="35">
        <f t="shared" si="1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  <c r="Q20" s="13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123.33801164136409</v>
      </c>
      <c r="N22" s="201">
        <f>-PMT($L$8,5,M22)</f>
        <v>29.279999999999994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2902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29025" r:id="rId3"/>
      </mc:Fallback>
    </mc:AlternateContent>
  </oleObjects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G9" sqref="G9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5.5" customHeight="1" x14ac:dyDescent="0.25">
      <c r="B6" s="306" t="s">
        <v>134</v>
      </c>
      <c r="C6" s="306"/>
      <c r="D6" s="307" t="s">
        <v>242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7" t="s">
        <v>244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245</v>
      </c>
      <c r="C8" s="309"/>
      <c r="D8" s="309"/>
      <c r="E8" s="309"/>
      <c r="F8" s="309"/>
      <c r="G8" s="18" t="s">
        <v>552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529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IN68</v>
      </c>
      <c r="J12" s="25" t="str">
        <f>+$J$8</f>
        <v>NO ESTRUCTURAL</v>
      </c>
      <c r="K12" s="6">
        <f>SUM(L12:S12)</f>
        <v>0</v>
      </c>
      <c r="L12" s="6">
        <f>+G13</f>
        <v>0</v>
      </c>
      <c r="M12" s="6">
        <f>+L12</f>
        <v>0</v>
      </c>
      <c r="N12" s="6">
        <f>+M12</f>
        <v>0</v>
      </c>
      <c r="O12" s="6">
        <f>+N12</f>
        <v>0</v>
      </c>
      <c r="P12" s="6">
        <f>+O12</f>
        <v>0</v>
      </c>
      <c r="Q12" s="6">
        <f>+P12*5</f>
        <v>0</v>
      </c>
      <c r="R12" s="6">
        <f t="shared" ref="R12:S12" si="0">+Q12</f>
        <v>0</v>
      </c>
      <c r="S12" s="6">
        <f t="shared" si="0"/>
        <v>0</v>
      </c>
    </row>
    <row r="13" spans="2:19" x14ac:dyDescent="0.25">
      <c r="B13" s="5" t="s">
        <v>797</v>
      </c>
      <c r="C13" s="5"/>
      <c r="D13" s="5"/>
      <c r="E13" s="6"/>
      <c r="F13" s="6"/>
      <c r="G13" s="6">
        <f>+F13*E13</f>
        <v>0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17" t="s">
        <v>2</v>
      </c>
      <c r="J18" s="14"/>
      <c r="K18" s="16">
        <f t="shared" ref="K18:S18" si="1">SUM(K12:K17)</f>
        <v>0</v>
      </c>
      <c r="L18" s="16">
        <f t="shared" si="1"/>
        <v>0</v>
      </c>
      <c r="M18" s="16">
        <f t="shared" si="1"/>
        <v>0</v>
      </c>
      <c r="N18" s="16">
        <f t="shared" si="1"/>
        <v>0</v>
      </c>
      <c r="O18" s="16">
        <f t="shared" si="1"/>
        <v>0</v>
      </c>
      <c r="P18" s="16">
        <f t="shared" si="1"/>
        <v>0</v>
      </c>
      <c r="Q18" s="16">
        <f t="shared" si="1"/>
        <v>0</v>
      </c>
      <c r="R18" s="16">
        <f t="shared" si="1"/>
        <v>0</v>
      </c>
      <c r="S18" s="16">
        <f t="shared" si="1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0</v>
      </c>
      <c r="N22" s="201">
        <f>-PMT($L$8,5,M22)</f>
        <v>0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9148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91489" r:id="rId3"/>
      </mc:Fallback>
    </mc:AlternateContent>
  </oleObject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2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0" sqref="I20:P22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1.5" customHeight="1" x14ac:dyDescent="0.25">
      <c r="B6" s="316" t="s">
        <v>134</v>
      </c>
      <c r="C6" s="316"/>
      <c r="D6" s="307" t="s">
        <v>242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246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247</v>
      </c>
      <c r="C8" s="309"/>
      <c r="D8" s="309"/>
      <c r="E8" s="309"/>
      <c r="F8" s="309"/>
      <c r="G8" s="18" t="s">
        <v>553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531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">
        <v>119</v>
      </c>
      <c r="J12" s="5" t="s">
        <v>118</v>
      </c>
      <c r="K12" s="6">
        <f>SUM(L12:S12)</f>
        <v>300</v>
      </c>
      <c r="L12" s="6"/>
      <c r="M12" s="6">
        <f>+G13</f>
        <v>300</v>
      </c>
      <c r="N12" s="6"/>
      <c r="O12" s="6"/>
      <c r="P12" s="6"/>
      <c r="Q12" s="6"/>
      <c r="R12" s="6"/>
      <c r="S12" s="6"/>
    </row>
    <row r="13" spans="2:19" x14ac:dyDescent="0.25">
      <c r="B13" s="5" t="s">
        <v>116</v>
      </c>
      <c r="C13" s="5"/>
      <c r="D13" s="5" t="s">
        <v>90</v>
      </c>
      <c r="E13" s="6">
        <v>1</v>
      </c>
      <c r="F13" s="6">
        <v>300</v>
      </c>
      <c r="G13" s="6">
        <f>+F13*E13</f>
        <v>300</v>
      </c>
      <c r="I13" s="5" t="s">
        <v>120</v>
      </c>
      <c r="J13" s="5"/>
      <c r="K13" s="6">
        <f t="shared" ref="K13:K17" si="0">SUM(L13:S13)</f>
        <v>0</v>
      </c>
      <c r="L13" s="6"/>
      <c r="M13" s="6"/>
      <c r="N13" s="6">
        <f>+G14</f>
        <v>0</v>
      </c>
      <c r="O13" s="6">
        <f>+N13</f>
        <v>0</v>
      </c>
      <c r="P13" s="6">
        <f>+O13</f>
        <v>0</v>
      </c>
      <c r="Q13" s="6">
        <f>+P13*5</f>
        <v>0</v>
      </c>
      <c r="R13" s="6">
        <f>+Q13</f>
        <v>0</v>
      </c>
      <c r="S13" s="6">
        <f>+R13</f>
        <v>0</v>
      </c>
    </row>
    <row r="14" spans="2:19" x14ac:dyDescent="0.25">
      <c r="B14" s="5" t="s">
        <v>117</v>
      </c>
      <c r="C14" s="5"/>
      <c r="D14" s="5" t="s">
        <v>90</v>
      </c>
      <c r="E14" s="30">
        <v>0</v>
      </c>
      <c r="F14" s="6">
        <v>50</v>
      </c>
      <c r="G14" s="6">
        <f>+F14*E14</f>
        <v>0</v>
      </c>
      <c r="I14" s="5"/>
      <c r="J14" s="5"/>
      <c r="K14" s="6">
        <f t="shared" si="0"/>
        <v>0</v>
      </c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30"/>
      <c r="F15" s="6"/>
      <c r="G15" s="6">
        <f>+F15*E15</f>
        <v>0</v>
      </c>
      <c r="I15" s="5"/>
      <c r="J15" s="5"/>
      <c r="K15" s="6">
        <f t="shared" si="0"/>
        <v>0</v>
      </c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>
        <f t="shared" si="0"/>
        <v>0</v>
      </c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9">
        <f>+F17*E17</f>
        <v>0</v>
      </c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2" t="s">
        <v>2</v>
      </c>
      <c r="C18" s="2"/>
      <c r="D18" s="2"/>
      <c r="E18" s="2"/>
      <c r="F18" s="2"/>
      <c r="G18" s="192">
        <f>SUM(G13:G17)</f>
        <v>300</v>
      </c>
      <c r="I18" s="17" t="s">
        <v>2</v>
      </c>
      <c r="J18" s="14"/>
      <c r="K18" s="16">
        <f t="shared" ref="K18:S18" si="1">SUM(K12:K17)</f>
        <v>300</v>
      </c>
      <c r="L18" s="16">
        <f t="shared" si="1"/>
        <v>0</v>
      </c>
      <c r="M18" s="16">
        <f t="shared" si="1"/>
        <v>300</v>
      </c>
      <c r="N18" s="16">
        <f t="shared" si="1"/>
        <v>0</v>
      </c>
      <c r="O18" s="16">
        <f t="shared" si="1"/>
        <v>0</v>
      </c>
      <c r="P18" s="16">
        <f t="shared" si="1"/>
        <v>0</v>
      </c>
      <c r="Q18" s="16">
        <f t="shared" si="1"/>
        <v>0</v>
      </c>
      <c r="R18" s="16">
        <f t="shared" si="1"/>
        <v>0</v>
      </c>
      <c r="S18" s="16">
        <f t="shared" si="1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  <c r="Q20" s="13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266.99893200427198</v>
      </c>
      <c r="N22" s="201">
        <f>-PMT($L$8,5,M22)</f>
        <v>63.384585376786127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3312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33121" r:id="rId3"/>
      </mc:Fallback>
    </mc:AlternateContent>
  </oleObject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0" sqref="I20:P2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1.5" customHeight="1" x14ac:dyDescent="0.25">
      <c r="B6" s="306" t="s">
        <v>129</v>
      </c>
      <c r="C6" s="306"/>
      <c r="D6" s="306" t="s">
        <v>250</v>
      </c>
      <c r="E6" s="306"/>
      <c r="F6" s="306"/>
      <c r="G6" s="306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2.5" customHeight="1" x14ac:dyDescent="0.25">
      <c r="B7" s="306"/>
      <c r="C7" s="306"/>
      <c r="D7" s="306" t="s">
        <v>249</v>
      </c>
      <c r="E7" s="306"/>
      <c r="F7" s="306"/>
      <c r="G7" s="306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248</v>
      </c>
      <c r="C8" s="309"/>
      <c r="D8" s="309"/>
      <c r="E8" s="309"/>
      <c r="F8" s="309"/>
      <c r="G8" s="18" t="s">
        <v>554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533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4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+B13</f>
        <v>SUB Agente de expedientes</v>
      </c>
      <c r="J12" s="25" t="s">
        <v>115</v>
      </c>
      <c r="K12" s="6">
        <f>SUM(L12:S12)</f>
        <v>120</v>
      </c>
      <c r="L12" s="6">
        <f>+G13</f>
        <v>24</v>
      </c>
      <c r="M12" s="6">
        <f>+L12</f>
        <v>24</v>
      </c>
      <c r="N12" s="6">
        <f>+M12</f>
        <v>24</v>
      </c>
      <c r="O12" s="6">
        <f>+N12</f>
        <v>24</v>
      </c>
      <c r="P12" s="6">
        <f>+O12</f>
        <v>24</v>
      </c>
      <c r="Q12" s="6"/>
      <c r="R12" s="6"/>
      <c r="S12" s="6"/>
    </row>
    <row r="13" spans="2:19" x14ac:dyDescent="0.25">
      <c r="B13" s="5" t="s">
        <v>251</v>
      </c>
      <c r="C13" s="5"/>
      <c r="D13" s="5" t="s">
        <v>128</v>
      </c>
      <c r="E13" s="6">
        <v>12</v>
      </c>
      <c r="F13" s="6">
        <v>2</v>
      </c>
      <c r="G13" s="6">
        <f>+F13*E13</f>
        <v>24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24</v>
      </c>
      <c r="I18" s="17" t="s">
        <v>2</v>
      </c>
      <c r="J18" s="14"/>
      <c r="K18" s="16">
        <f t="shared" ref="K18:S18" si="0">SUM(K12:K17)</f>
        <v>120</v>
      </c>
      <c r="L18" s="16">
        <f t="shared" si="0"/>
        <v>24</v>
      </c>
      <c r="M18" s="16">
        <f t="shared" si="0"/>
        <v>24</v>
      </c>
      <c r="N18" s="16">
        <f t="shared" si="0"/>
        <v>24</v>
      </c>
      <c r="O18" s="16">
        <f t="shared" si="0"/>
        <v>24</v>
      </c>
      <c r="P18" s="16">
        <f t="shared" si="0"/>
        <v>24</v>
      </c>
      <c r="Q18" s="16">
        <f t="shared" si="0"/>
        <v>0</v>
      </c>
      <c r="R18" s="16">
        <f t="shared" si="0"/>
        <v>0</v>
      </c>
      <c r="S18" s="16">
        <f t="shared" si="0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101.09673085357711</v>
      </c>
      <c r="N22" s="201">
        <f>-PMT($L$8,5,M22)</f>
        <v>23.999999999999996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94561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94561" r:id="rId4"/>
      </mc:Fallback>
    </mc:AlternateContent>
  </oleObjec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3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8" sqref="I8:O8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7.5" customHeight="1" x14ac:dyDescent="0.25">
      <c r="B6" s="306" t="s">
        <v>129</v>
      </c>
      <c r="C6" s="306"/>
      <c r="D6" s="306" t="s">
        <v>250</v>
      </c>
      <c r="E6" s="306"/>
      <c r="F6" s="306"/>
      <c r="G6" s="306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6.25" customHeight="1" x14ac:dyDescent="0.25">
      <c r="B7" s="306"/>
      <c r="C7" s="306"/>
      <c r="D7" s="306" t="s">
        <v>249</v>
      </c>
      <c r="E7" s="306"/>
      <c r="F7" s="306"/>
      <c r="G7" s="306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252</v>
      </c>
      <c r="C8" s="309"/>
      <c r="D8" s="309"/>
      <c r="E8" s="309"/>
      <c r="F8" s="309"/>
      <c r="G8" s="18" t="s">
        <v>555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535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4.7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+B13</f>
        <v>Jefe de Proyecto</v>
      </c>
      <c r="J12" s="25" t="s">
        <v>115</v>
      </c>
      <c r="K12" s="6">
        <f>SUM(L12:S12)</f>
        <v>214.71440000000001</v>
      </c>
      <c r="L12" s="6">
        <f>+G19</f>
        <v>214.71440000000001</v>
      </c>
      <c r="M12" s="6"/>
      <c r="N12" s="6"/>
      <c r="O12" s="6"/>
      <c r="P12" s="6"/>
      <c r="Q12" s="6"/>
      <c r="R12" s="6"/>
      <c r="S12" s="6">
        <f t="shared" ref="S12:S14" si="0">+R12</f>
        <v>0</v>
      </c>
    </row>
    <row r="13" spans="2:19" x14ac:dyDescent="0.25">
      <c r="B13" s="5" t="s">
        <v>662</v>
      </c>
      <c r="C13" s="5"/>
      <c r="D13" s="6" t="s">
        <v>611</v>
      </c>
      <c r="E13" s="6">
        <v>1080</v>
      </c>
      <c r="F13" s="147">
        <v>2.6700000000000002E-2</v>
      </c>
      <c r="G13" s="32">
        <f>+F13*E13</f>
        <v>28.836000000000002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>
        <f t="shared" si="0"/>
        <v>0</v>
      </c>
    </row>
    <row r="14" spans="2:19" x14ac:dyDescent="0.25">
      <c r="B14" s="5" t="s">
        <v>804</v>
      </c>
      <c r="C14" s="5"/>
      <c r="D14" s="6" t="s">
        <v>611</v>
      </c>
      <c r="E14" s="6">
        <v>2160</v>
      </c>
      <c r="F14" s="147">
        <v>1.8689999999999998E-2</v>
      </c>
      <c r="G14" s="32">
        <f t="shared" ref="G14:G18" si="1">+F14*E14</f>
        <v>40.370399999999997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>
        <f t="shared" si="0"/>
        <v>0</v>
      </c>
    </row>
    <row r="15" spans="2:19" x14ac:dyDescent="0.25">
      <c r="B15" s="5" t="s">
        <v>665</v>
      </c>
      <c r="C15" s="5"/>
      <c r="D15" s="6" t="s">
        <v>611</v>
      </c>
      <c r="E15" s="6">
        <v>1080</v>
      </c>
      <c r="F15" s="147">
        <v>2.6700000000000002E-2</v>
      </c>
      <c r="G15" s="32">
        <f t="shared" si="1"/>
        <v>28.836000000000002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 t="s">
        <v>810</v>
      </c>
      <c r="C16" s="5"/>
      <c r="D16" s="6" t="s">
        <v>611</v>
      </c>
      <c r="E16" s="6">
        <v>4320</v>
      </c>
      <c r="F16" s="147">
        <v>1.3350000000000001E-2</v>
      </c>
      <c r="G16" s="32">
        <f t="shared" si="1"/>
        <v>57.672000000000004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5" t="s">
        <v>667</v>
      </c>
      <c r="C17" s="5"/>
      <c r="D17" s="6" t="s">
        <v>128</v>
      </c>
      <c r="E17" s="6">
        <v>12</v>
      </c>
      <c r="F17" s="6">
        <v>2</v>
      </c>
      <c r="G17" s="32">
        <f t="shared" si="1"/>
        <v>24</v>
      </c>
      <c r="I17" s="5"/>
      <c r="J17" s="25"/>
      <c r="K17" s="6"/>
      <c r="L17" s="6"/>
      <c r="M17" s="6"/>
      <c r="N17" s="6"/>
      <c r="O17" s="6"/>
      <c r="P17" s="6"/>
      <c r="Q17" s="6"/>
      <c r="R17" s="6"/>
      <c r="S17" s="6"/>
    </row>
    <row r="18" spans="2:19" x14ac:dyDescent="0.25">
      <c r="B18" s="5" t="s">
        <v>113</v>
      </c>
      <c r="C18" s="5"/>
      <c r="D18" s="6" t="s">
        <v>90</v>
      </c>
      <c r="E18" s="6">
        <v>1</v>
      </c>
      <c r="F18" s="6">
        <v>35</v>
      </c>
      <c r="G18" s="32">
        <f t="shared" si="1"/>
        <v>35</v>
      </c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</row>
    <row r="19" spans="2:19" x14ac:dyDescent="0.25">
      <c r="B19" s="79" t="s">
        <v>811</v>
      </c>
      <c r="C19" s="2"/>
      <c r="D19" s="2"/>
      <c r="E19" s="2"/>
      <c r="F19" s="2"/>
      <c r="G19" s="203">
        <f>SUM(G13:G18)</f>
        <v>214.71440000000001</v>
      </c>
      <c r="I19" s="17" t="s">
        <v>2</v>
      </c>
      <c r="J19" s="14"/>
      <c r="K19" s="16">
        <f t="shared" ref="K19:S19" si="2">SUM(K12:K18)</f>
        <v>214.71440000000001</v>
      </c>
      <c r="L19" s="16">
        <f t="shared" si="2"/>
        <v>214.71440000000001</v>
      </c>
      <c r="M19" s="16">
        <f t="shared" si="2"/>
        <v>0</v>
      </c>
      <c r="N19" s="16">
        <f t="shared" si="2"/>
        <v>0</v>
      </c>
      <c r="O19" s="16">
        <f t="shared" si="2"/>
        <v>0</v>
      </c>
      <c r="P19" s="16">
        <f t="shared" si="2"/>
        <v>0</v>
      </c>
      <c r="Q19" s="16">
        <f t="shared" si="2"/>
        <v>0</v>
      </c>
      <c r="R19" s="16">
        <f t="shared" si="2"/>
        <v>0</v>
      </c>
      <c r="S19" s="16">
        <f t="shared" si="2"/>
        <v>0</v>
      </c>
    </row>
    <row r="20" spans="2:19" x14ac:dyDescent="0.25">
      <c r="I20" s="13"/>
      <c r="J20" s="13"/>
      <c r="K20" s="13"/>
      <c r="L20" s="13"/>
      <c r="M20" s="13"/>
      <c r="N20" s="13"/>
      <c r="O20" s="13"/>
      <c r="P20" s="13"/>
      <c r="Q20" s="13"/>
    </row>
    <row r="21" spans="2:19" x14ac:dyDescent="0.25">
      <c r="I21" s="197" t="s">
        <v>265</v>
      </c>
      <c r="J21" s="198"/>
      <c r="K21" s="198"/>
      <c r="L21" s="198"/>
      <c r="M21" s="198"/>
      <c r="N21" s="199"/>
      <c r="O21" s="198"/>
      <c r="P21" s="199"/>
    </row>
    <row r="22" spans="2:19" x14ac:dyDescent="0.25">
      <c r="I22" s="29" t="s">
        <v>3</v>
      </c>
      <c r="J22" s="29" t="s">
        <v>582</v>
      </c>
      <c r="K22" s="29" t="s">
        <v>78</v>
      </c>
      <c r="L22" s="29" t="s">
        <v>80</v>
      </c>
      <c r="M22" s="29" t="s">
        <v>263</v>
      </c>
      <c r="N22" s="200" t="s">
        <v>264</v>
      </c>
      <c r="O22" s="29"/>
      <c r="P22" s="200"/>
    </row>
    <row r="23" spans="2:19" x14ac:dyDescent="0.25">
      <c r="I23" s="15" t="str">
        <f>+I19</f>
        <v>Total</v>
      </c>
      <c r="J23" s="15"/>
      <c r="K23" s="109"/>
      <c r="L23" s="6">
        <v>0.06</v>
      </c>
      <c r="M23" s="6">
        <f>NPV($L$8,L19:P19)+O23</f>
        <v>202.56075471698114</v>
      </c>
      <c r="N23" s="201">
        <f>-PMT($L$8,5,M23)</f>
        <v>48.087194038436436</v>
      </c>
      <c r="O23" s="6"/>
      <c r="P23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9763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97633" r:id="rId3"/>
      </mc:Fallback>
    </mc:AlternateContent>
  </oleObjects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2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0" sqref="I20:P22"/>
    </sheetView>
  </sheetViews>
  <sheetFormatPr baseColWidth="10" defaultRowHeight="15" x14ac:dyDescent="0.25"/>
  <cols>
    <col min="1" max="1" width="4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</cols>
  <sheetData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25.5" customHeight="1" x14ac:dyDescent="0.25">
      <c r="B6" s="316" t="s">
        <v>134</v>
      </c>
      <c r="C6" s="316"/>
      <c r="D6" s="307" t="s">
        <v>250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30.75" customHeight="1" x14ac:dyDescent="0.25">
      <c r="B7" s="316"/>
      <c r="C7" s="316"/>
      <c r="D7" s="307" t="s">
        <v>249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26.25" x14ac:dyDescent="0.4">
      <c r="B8" s="309" t="s">
        <v>253</v>
      </c>
      <c r="C8" s="309"/>
      <c r="D8" s="309"/>
      <c r="E8" s="309"/>
      <c r="F8" s="309"/>
      <c r="G8" s="18" t="s">
        <v>557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 t="s">
        <v>86</v>
      </c>
      <c r="D11" s="21"/>
      <c r="E11" s="21"/>
      <c r="F11" s="22" t="s">
        <v>1</v>
      </c>
      <c r="G11" s="22" t="s">
        <v>540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IN72</v>
      </c>
      <c r="J12" s="5" t="s">
        <v>118</v>
      </c>
      <c r="K12" s="6">
        <f>SUM(L12:S12)</f>
        <v>0</v>
      </c>
      <c r="L12" s="6"/>
      <c r="M12" s="6">
        <f>+G18</f>
        <v>0</v>
      </c>
      <c r="N12" s="6"/>
      <c r="O12" s="6"/>
      <c r="P12" s="6"/>
      <c r="Q12" s="6"/>
      <c r="R12" s="6"/>
      <c r="S12" s="6"/>
    </row>
    <row r="13" spans="2:19" x14ac:dyDescent="0.25">
      <c r="B13" s="5" t="s">
        <v>812</v>
      </c>
      <c r="C13" s="5"/>
      <c r="D13" s="5"/>
      <c r="E13" s="6"/>
      <c r="F13" s="6"/>
      <c r="G13" s="6">
        <f>+F13*E13</f>
        <v>0</v>
      </c>
      <c r="I13" s="5"/>
      <c r="J13" s="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30"/>
      <c r="F14" s="6"/>
      <c r="G14" s="6">
        <f>+F14*E14</f>
        <v>0</v>
      </c>
      <c r="I14" s="5"/>
      <c r="J14" s="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30"/>
      <c r="F15" s="6"/>
      <c r="G15" s="6">
        <f>+F15*E15</f>
        <v>0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17" t="s">
        <v>2</v>
      </c>
      <c r="J18" s="14"/>
      <c r="K18" s="16">
        <f t="shared" ref="K18:S18" si="0">SUM(K12:K17)</f>
        <v>0</v>
      </c>
      <c r="L18" s="16">
        <f t="shared" si="0"/>
        <v>0</v>
      </c>
      <c r="M18" s="16">
        <f t="shared" si="0"/>
        <v>0</v>
      </c>
      <c r="N18" s="16">
        <f t="shared" si="0"/>
        <v>0</v>
      </c>
      <c r="O18" s="16">
        <f t="shared" si="0"/>
        <v>0</v>
      </c>
      <c r="P18" s="16">
        <f t="shared" si="0"/>
        <v>0</v>
      </c>
      <c r="Q18" s="16">
        <f t="shared" si="0"/>
        <v>0</v>
      </c>
      <c r="R18" s="16">
        <f t="shared" si="0"/>
        <v>0</v>
      </c>
      <c r="S18" s="16">
        <f t="shared" si="0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  <c r="Q20" s="13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0</v>
      </c>
      <c r="N22" s="201">
        <f>-PMT($L$8,5,M22)</f>
        <v>0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6076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0769" r:id="rId3"/>
      </mc:Fallback>
    </mc:AlternateContent>
    <mc:AlternateContent xmlns:mc="http://schemas.openxmlformats.org/markup-compatibility/2006">
      <mc:Choice Requires="x14">
        <oleObject progId="PBrush" shapeId="160770" r:id="rId5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60770" r:id="rId5"/>
      </mc:Fallback>
    </mc:AlternateContent>
  </oleObjects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6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A10" sqref="A10:XFD2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5.25" customHeight="1" x14ac:dyDescent="0.25">
      <c r="B6" s="306" t="s">
        <v>134</v>
      </c>
      <c r="C6" s="306"/>
      <c r="D6" s="307" t="s">
        <v>256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6.25" customHeight="1" x14ac:dyDescent="0.25">
      <c r="B7" s="306"/>
      <c r="C7" s="306"/>
      <c r="D7" s="307" t="s">
        <v>255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254</v>
      </c>
      <c r="C8" s="309"/>
      <c r="D8" s="309"/>
      <c r="E8" s="309"/>
      <c r="F8" s="309"/>
      <c r="G8" s="18" t="s">
        <v>559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542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IN73</v>
      </c>
      <c r="J12" s="25" t="s">
        <v>115</v>
      </c>
      <c r="K12" s="6">
        <f>SUM(L12:S12)</f>
        <v>0</v>
      </c>
      <c r="L12" s="6">
        <f>+G13</f>
        <v>0</v>
      </c>
      <c r="M12" s="6"/>
      <c r="N12" s="6"/>
      <c r="O12" s="6"/>
      <c r="P12" s="6"/>
      <c r="Q12" s="6">
        <f>+G13</f>
        <v>0</v>
      </c>
      <c r="R12" s="6">
        <f t="shared" ref="R12:S14" si="0">+Q12</f>
        <v>0</v>
      </c>
      <c r="S12" s="6">
        <f t="shared" si="0"/>
        <v>0</v>
      </c>
    </row>
    <row r="13" spans="2:19" x14ac:dyDescent="0.25">
      <c r="B13" s="5" t="s">
        <v>812</v>
      </c>
      <c r="C13" s="5"/>
      <c r="D13" s="5"/>
      <c r="E13" s="6"/>
      <c r="F13" s="6"/>
      <c r="G13" s="6">
        <f>+F13*E13</f>
        <v>0</v>
      </c>
      <c r="I13" s="15"/>
      <c r="J13" s="25"/>
      <c r="K13" s="6">
        <f>SUM(L13:S13)</f>
        <v>0</v>
      </c>
      <c r="L13" s="6">
        <f>+G14</f>
        <v>0</v>
      </c>
      <c r="M13" s="6">
        <f t="shared" ref="M13:P14" si="1">+L13</f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>+P13*5</f>
        <v>0</v>
      </c>
      <c r="R13" s="6">
        <f t="shared" si="0"/>
        <v>0</v>
      </c>
      <c r="S13" s="6">
        <f t="shared" si="0"/>
        <v>0</v>
      </c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>
        <f>SUM(L14:S14)</f>
        <v>0</v>
      </c>
      <c r="L14" s="6">
        <f>+G15</f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>+P14*5</f>
        <v>0</v>
      </c>
      <c r="R14" s="6">
        <f t="shared" si="0"/>
        <v>0</v>
      </c>
      <c r="S14" s="6">
        <f t="shared" si="0"/>
        <v>0</v>
      </c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17" t="s">
        <v>2</v>
      </c>
      <c r="J18" s="14"/>
      <c r="K18" s="16">
        <f t="shared" ref="K18:S18" si="2">SUM(K12:K17)</f>
        <v>0</v>
      </c>
      <c r="L18" s="16">
        <f t="shared" si="2"/>
        <v>0</v>
      </c>
      <c r="M18" s="16">
        <f t="shared" si="2"/>
        <v>0</v>
      </c>
      <c r="N18" s="16">
        <f t="shared" si="2"/>
        <v>0</v>
      </c>
      <c r="O18" s="16">
        <f t="shared" si="2"/>
        <v>0</v>
      </c>
      <c r="P18" s="16">
        <f t="shared" si="2"/>
        <v>0</v>
      </c>
      <c r="Q18" s="16">
        <f t="shared" si="2"/>
        <v>0</v>
      </c>
      <c r="R18" s="16">
        <f t="shared" si="2"/>
        <v>0</v>
      </c>
      <c r="S18" s="16">
        <f t="shared" si="2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0</v>
      </c>
      <c r="N22" s="201">
        <f>-PMT($L$8,5,M22)</f>
        <v>0</v>
      </c>
      <c r="O22" s="6"/>
      <c r="P22" s="201"/>
    </row>
    <row r="26" spans="2:19" x14ac:dyDescent="0.25">
      <c r="E26" t="e">
        <f>+#REF!</f>
        <v>#REF!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070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0705" r:id="rId3"/>
      </mc:Fallback>
    </mc:AlternateContent>
  </oleObjects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30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0" sqref="I20:P2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6" customHeight="1" x14ac:dyDescent="0.25">
      <c r="B6" s="306" t="s">
        <v>132</v>
      </c>
      <c r="C6" s="306"/>
      <c r="D6" s="307" t="s">
        <v>256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6.25" customHeight="1" x14ac:dyDescent="0.25">
      <c r="B7" s="306"/>
      <c r="C7" s="306"/>
      <c r="D7" s="307" t="s">
        <v>255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257</v>
      </c>
      <c r="C8" s="309"/>
      <c r="D8" s="309"/>
      <c r="E8" s="309"/>
      <c r="F8" s="309"/>
      <c r="G8" s="18" t="s">
        <v>560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542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IN73</v>
      </c>
      <c r="J12" s="25" t="s">
        <v>115</v>
      </c>
      <c r="K12" s="6">
        <f>SUM(L12:S12)</f>
        <v>0</v>
      </c>
      <c r="L12" s="6">
        <f>+G13</f>
        <v>0</v>
      </c>
      <c r="M12" s="6"/>
      <c r="N12" s="6"/>
      <c r="O12" s="6"/>
      <c r="P12" s="6"/>
      <c r="Q12" s="6">
        <f>+G13</f>
        <v>0</v>
      </c>
      <c r="R12" s="6">
        <f t="shared" ref="R12:S14" si="0">+Q12</f>
        <v>0</v>
      </c>
      <c r="S12" s="6">
        <f t="shared" si="0"/>
        <v>0</v>
      </c>
    </row>
    <row r="13" spans="2:19" x14ac:dyDescent="0.25">
      <c r="B13" s="5" t="s">
        <v>812</v>
      </c>
      <c r="C13" s="5"/>
      <c r="D13" s="5"/>
      <c r="E13" s="6"/>
      <c r="F13" s="6"/>
      <c r="G13" s="6">
        <f>+F13*E13</f>
        <v>0</v>
      </c>
      <c r="I13" s="15"/>
      <c r="J13" s="25"/>
      <c r="K13" s="6">
        <f>SUM(L13:S13)</f>
        <v>0</v>
      </c>
      <c r="L13" s="6">
        <f>+G14</f>
        <v>0</v>
      </c>
      <c r="M13" s="6">
        <f t="shared" ref="M13:P14" si="1">+L13</f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>+P13*5</f>
        <v>0</v>
      </c>
      <c r="R13" s="6">
        <f t="shared" si="0"/>
        <v>0</v>
      </c>
      <c r="S13" s="6">
        <f t="shared" si="0"/>
        <v>0</v>
      </c>
    </row>
    <row r="14" spans="2:19" x14ac:dyDescent="0.25">
      <c r="B14" s="5"/>
      <c r="C14" s="5"/>
      <c r="D14" s="5"/>
      <c r="E14" s="6"/>
      <c r="F14" s="6"/>
      <c r="G14" s="6">
        <f>+F14*E14</f>
        <v>0</v>
      </c>
      <c r="I14" s="15"/>
      <c r="J14" s="25"/>
      <c r="K14" s="6">
        <f>SUM(L14:S14)</f>
        <v>0</v>
      </c>
      <c r="L14" s="6">
        <f>+G15</f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>+P14*5</f>
        <v>0</v>
      </c>
      <c r="R14" s="6">
        <f t="shared" si="0"/>
        <v>0</v>
      </c>
      <c r="S14" s="6">
        <f t="shared" si="0"/>
        <v>0</v>
      </c>
    </row>
    <row r="15" spans="2:19" x14ac:dyDescent="0.25">
      <c r="B15" s="5"/>
      <c r="C15" s="5"/>
      <c r="D15" s="5"/>
      <c r="E15" s="6"/>
      <c r="F15" s="6"/>
      <c r="G15" s="6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6"/>
      <c r="G16" s="6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0</v>
      </c>
      <c r="I18" s="17" t="s">
        <v>2</v>
      </c>
      <c r="J18" s="14"/>
      <c r="K18" s="16">
        <f t="shared" ref="K18:S18" si="2">SUM(K12:K17)</f>
        <v>0</v>
      </c>
      <c r="L18" s="16">
        <f t="shared" si="2"/>
        <v>0</v>
      </c>
      <c r="M18" s="16">
        <f t="shared" si="2"/>
        <v>0</v>
      </c>
      <c r="N18" s="16">
        <f t="shared" si="2"/>
        <v>0</v>
      </c>
      <c r="O18" s="16">
        <f t="shared" si="2"/>
        <v>0</v>
      </c>
      <c r="P18" s="16">
        <f t="shared" si="2"/>
        <v>0</v>
      </c>
      <c r="Q18" s="16">
        <f t="shared" si="2"/>
        <v>0</v>
      </c>
      <c r="R18" s="16">
        <f t="shared" si="2"/>
        <v>0</v>
      </c>
      <c r="S18" s="16">
        <f t="shared" si="2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+I18</f>
        <v>Total</v>
      </c>
      <c r="J22" s="15"/>
      <c r="K22" s="109"/>
      <c r="L22" s="6">
        <v>0.06</v>
      </c>
      <c r="M22" s="6">
        <f>NPV($L$8,L18:P18)+O22</f>
        <v>0</v>
      </c>
      <c r="N22" s="201">
        <f>-PMT($L$8,5,M22)</f>
        <v>0</v>
      </c>
      <c r="O22" s="6"/>
      <c r="P22" s="201"/>
    </row>
    <row r="30" spans="2:19" x14ac:dyDescent="0.25">
      <c r="E30" t="e">
        <f>+#REF!</f>
        <v>#REF!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2753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2753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BK61"/>
  <sheetViews>
    <sheetView showGridLines="0" workbookViewId="0">
      <pane xSplit="8" ySplit="11" topLeftCell="I30" activePane="bottomRight" state="frozen"/>
      <selection activeCell="F25" sqref="F25"/>
      <selection pane="topRight" activeCell="F25" sqref="F25"/>
      <selection pane="bottomLeft" activeCell="F25" sqref="F25"/>
      <selection pane="bottomRight" activeCell="F25" sqref="F25"/>
    </sheetView>
  </sheetViews>
  <sheetFormatPr baseColWidth="10" defaultRowHeight="15" x14ac:dyDescent="0.25"/>
  <cols>
    <col min="1" max="1" width="6.28515625" customWidth="1"/>
    <col min="2" max="2" width="23.85546875" bestFit="1" customWidth="1"/>
    <col min="3" max="3" width="15.42578125" customWidth="1"/>
    <col min="4" max="4" width="17.7109375" style="123" customWidth="1"/>
    <col min="5" max="5" width="11.42578125" style="123"/>
    <col min="6" max="6" width="17.85546875" bestFit="1" customWidth="1"/>
    <col min="8" max="8" width="2.85546875" customWidth="1"/>
    <col min="9" max="9" width="12.5703125" style="61" bestFit="1" customWidth="1"/>
    <col min="10" max="11" width="11.42578125" style="103"/>
    <col min="12" max="12" width="11.42578125" style="104"/>
    <col min="13" max="63" width="11.42578125" style="103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81</v>
      </c>
      <c r="C6" s="306"/>
      <c r="D6" s="307" t="s">
        <v>156</v>
      </c>
      <c r="E6" s="307"/>
      <c r="F6" s="307"/>
      <c r="G6" s="307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ht="27.75" customHeight="1" x14ac:dyDescent="0.25">
      <c r="B7" s="306"/>
      <c r="C7" s="306"/>
      <c r="D7" s="307" t="s">
        <v>159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158</v>
      </c>
      <c r="C8" s="309"/>
      <c r="D8" s="309"/>
      <c r="E8" s="309"/>
      <c r="F8" s="309"/>
      <c r="G8" s="18" t="s">
        <v>285</v>
      </c>
      <c r="I8" s="62" t="s">
        <v>21</v>
      </c>
      <c r="J8" s="25" t="s">
        <v>22</v>
      </c>
      <c r="K8" s="25" t="s">
        <v>76</v>
      </c>
      <c r="L8" s="120">
        <v>0.06</v>
      </c>
      <c r="M8" s="25" t="s">
        <v>591</v>
      </c>
      <c r="N8" s="25">
        <v>1.5</v>
      </c>
      <c r="O8" s="25"/>
      <c r="P8" s="25"/>
      <c r="Q8" s="25"/>
      <c r="R8" s="25"/>
      <c r="S8" s="25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0" t="s">
        <v>15</v>
      </c>
      <c r="J10" s="311"/>
      <c r="K10" s="311"/>
      <c r="L10" s="311"/>
      <c r="M10" s="311"/>
      <c r="N10" s="311"/>
      <c r="O10" s="311"/>
      <c r="P10" s="311"/>
      <c r="Q10" s="311"/>
      <c r="R10" s="311"/>
      <c r="S10" s="312"/>
    </row>
    <row r="11" spans="1:19" x14ac:dyDescent="0.25">
      <c r="B11" s="19" t="s">
        <v>3</v>
      </c>
      <c r="C11" s="20" t="s">
        <v>100</v>
      </c>
      <c r="D11" s="59"/>
      <c r="E11" s="59"/>
      <c r="F11" s="22" t="s">
        <v>268</v>
      </c>
      <c r="G11" s="22" t="s">
        <v>758</v>
      </c>
      <c r="I11" s="116" t="s">
        <v>3</v>
      </c>
      <c r="J11" s="117" t="s">
        <v>1</v>
      </c>
      <c r="K11" s="117" t="s">
        <v>2</v>
      </c>
      <c r="L11" s="119">
        <v>2018</v>
      </c>
      <c r="M11" s="117">
        <v>2019</v>
      </c>
      <c r="N11" s="117">
        <v>2020</v>
      </c>
      <c r="O11" s="117">
        <v>2021</v>
      </c>
      <c r="P11" s="117">
        <v>2022</v>
      </c>
      <c r="Q11" s="117" t="s">
        <v>0</v>
      </c>
      <c r="R11" s="117" t="s">
        <v>25</v>
      </c>
      <c r="S11" s="117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16"/>
      <c r="J12" s="117"/>
      <c r="K12" s="117"/>
      <c r="L12" s="119"/>
      <c r="M12" s="117"/>
      <c r="N12" s="117"/>
      <c r="O12" s="117"/>
      <c r="P12" s="117"/>
      <c r="Q12" s="117"/>
      <c r="R12" s="117"/>
      <c r="S12" s="117"/>
    </row>
    <row r="13" spans="1:19" ht="23.25" x14ac:dyDescent="0.25">
      <c r="A13" s="77" t="s">
        <v>286</v>
      </c>
      <c r="B13" s="82" t="s">
        <v>287</v>
      </c>
      <c r="C13" s="5" t="s">
        <v>589</v>
      </c>
      <c r="D13" s="121" t="s">
        <v>90</v>
      </c>
      <c r="E13" s="122">
        <v>1</v>
      </c>
      <c r="F13" s="209">
        <v>16000</v>
      </c>
      <c r="G13" s="6">
        <f>+F13*E13</f>
        <v>16000</v>
      </c>
      <c r="I13" s="62" t="str">
        <f>+A13</f>
        <v>CA01</v>
      </c>
      <c r="J13" s="25" t="s">
        <v>101</v>
      </c>
      <c r="K13" s="107">
        <f>SUM(L13:S13)</f>
        <v>16000</v>
      </c>
      <c r="L13" s="107"/>
      <c r="M13" s="107"/>
      <c r="N13" s="107">
        <f>+F13</f>
        <v>16000</v>
      </c>
      <c r="O13" s="107"/>
      <c r="P13" s="107"/>
      <c r="Q13" s="107"/>
      <c r="R13" s="107"/>
      <c r="S13" s="107"/>
    </row>
    <row r="14" spans="1:19" ht="23.25" x14ac:dyDescent="0.25">
      <c r="A14" s="160" t="s">
        <v>289</v>
      </c>
      <c r="B14" s="82" t="s">
        <v>290</v>
      </c>
      <c r="C14" s="5" t="s">
        <v>590</v>
      </c>
      <c r="D14" s="121" t="s">
        <v>90</v>
      </c>
      <c r="E14" s="122">
        <v>1</v>
      </c>
      <c r="F14" s="209">
        <v>2360.2979999999998</v>
      </c>
      <c r="G14" s="6">
        <f t="shared" ref="G14:G32" si="0">+F14*E14</f>
        <v>2360.2979999999998</v>
      </c>
      <c r="I14" s="62" t="str">
        <f t="shared" ref="I14:I32" si="1">+A14</f>
        <v>CA02</v>
      </c>
      <c r="J14" s="25" t="s">
        <v>101</v>
      </c>
      <c r="K14" s="107">
        <f t="shared" ref="K14:K32" si="2">SUM(L14:S14)</f>
        <v>2360.2979999999998</v>
      </c>
      <c r="L14" s="107"/>
      <c r="M14" s="107"/>
      <c r="N14" s="107">
        <f>+F14</f>
        <v>2360.2979999999998</v>
      </c>
      <c r="O14" s="107"/>
      <c r="P14" s="107"/>
      <c r="Q14" s="107"/>
      <c r="R14" s="107"/>
      <c r="S14" s="107"/>
    </row>
    <row r="15" spans="1:19" ht="23.25" x14ac:dyDescent="0.25">
      <c r="A15" s="160" t="s">
        <v>292</v>
      </c>
      <c r="B15" s="82" t="s">
        <v>293</v>
      </c>
      <c r="C15" s="5" t="s">
        <v>592</v>
      </c>
      <c r="D15" s="121" t="s">
        <v>90</v>
      </c>
      <c r="E15" s="122">
        <v>1</v>
      </c>
      <c r="F15" s="209">
        <v>22367.09</v>
      </c>
      <c r="G15" s="6">
        <f t="shared" si="0"/>
        <v>22367.09</v>
      </c>
      <c r="I15" s="62" t="str">
        <f t="shared" si="1"/>
        <v>CA03</v>
      </c>
      <c r="J15" s="25" t="s">
        <v>101</v>
      </c>
      <c r="K15" s="107">
        <f t="shared" si="2"/>
        <v>22367.09</v>
      </c>
      <c r="L15" s="107">
        <f>+F15</f>
        <v>22367.09</v>
      </c>
      <c r="M15" s="107"/>
      <c r="N15" s="107"/>
      <c r="O15" s="107"/>
      <c r="P15" s="107"/>
      <c r="Q15" s="107"/>
      <c r="R15" s="107"/>
      <c r="S15" s="107"/>
    </row>
    <row r="16" spans="1:19" ht="23.25" x14ac:dyDescent="0.25">
      <c r="A16" s="160" t="s">
        <v>295</v>
      </c>
      <c r="B16" s="82" t="s">
        <v>296</v>
      </c>
      <c r="C16" s="5" t="s">
        <v>593</v>
      </c>
      <c r="D16" s="121" t="s">
        <v>90</v>
      </c>
      <c r="E16" s="122">
        <v>1</v>
      </c>
      <c r="F16" s="51">
        <f>160*660*2</f>
        <v>211200</v>
      </c>
      <c r="G16" s="6">
        <f t="shared" si="0"/>
        <v>211200</v>
      </c>
      <c r="I16" s="62" t="str">
        <f t="shared" si="1"/>
        <v>CA04</v>
      </c>
      <c r="J16" s="25" t="s">
        <v>101</v>
      </c>
      <c r="K16" s="107">
        <f t="shared" si="2"/>
        <v>211200</v>
      </c>
      <c r="L16" s="107"/>
      <c r="M16" s="107"/>
      <c r="N16" s="107"/>
      <c r="O16" s="107"/>
      <c r="P16" s="107"/>
      <c r="Q16" s="107">
        <f>+F16</f>
        <v>211200</v>
      </c>
      <c r="R16" s="107"/>
      <c r="S16" s="107"/>
    </row>
    <row r="17" spans="1:19" ht="23.25" x14ac:dyDescent="0.25">
      <c r="A17" s="160" t="s">
        <v>298</v>
      </c>
      <c r="B17" s="82" t="s">
        <v>299</v>
      </c>
      <c r="C17" s="5" t="s">
        <v>594</v>
      </c>
      <c r="D17" s="121" t="s">
        <v>90</v>
      </c>
      <c r="E17" s="122">
        <v>1</v>
      </c>
      <c r="F17" s="212">
        <v>43236.02</v>
      </c>
      <c r="G17" s="6">
        <f t="shared" si="0"/>
        <v>43236.02</v>
      </c>
      <c r="I17" s="62" t="str">
        <f t="shared" si="1"/>
        <v>CA05</v>
      </c>
      <c r="J17" s="25" t="s">
        <v>101</v>
      </c>
      <c r="K17" s="107">
        <f t="shared" si="2"/>
        <v>43236.02</v>
      </c>
      <c r="L17" s="107"/>
      <c r="M17" s="107"/>
      <c r="N17" s="107"/>
      <c r="O17" s="107"/>
      <c r="P17" s="107"/>
      <c r="Q17" s="107">
        <f>+F17</f>
        <v>43236.02</v>
      </c>
      <c r="R17" s="107"/>
      <c r="S17" s="107"/>
    </row>
    <row r="18" spans="1:19" ht="23.25" x14ac:dyDescent="0.25">
      <c r="A18" s="160" t="s">
        <v>301</v>
      </c>
      <c r="B18" s="82" t="s">
        <v>302</v>
      </c>
      <c r="C18" s="5" t="s">
        <v>590</v>
      </c>
      <c r="D18" s="121" t="s">
        <v>90</v>
      </c>
      <c r="E18" s="122">
        <v>1</v>
      </c>
      <c r="F18" s="209">
        <v>4500</v>
      </c>
      <c r="G18" s="6">
        <f t="shared" si="0"/>
        <v>4500</v>
      </c>
      <c r="I18" s="62" t="str">
        <f t="shared" si="1"/>
        <v>CA06</v>
      </c>
      <c r="J18" s="25" t="s">
        <v>101</v>
      </c>
      <c r="K18" s="107">
        <f t="shared" si="2"/>
        <v>4500</v>
      </c>
      <c r="L18" s="107"/>
      <c r="M18" s="108">
        <f>+F18</f>
        <v>4500</v>
      </c>
      <c r="N18" s="25"/>
      <c r="O18" s="25"/>
      <c r="P18" s="25"/>
      <c r="Q18" s="25"/>
      <c r="R18" s="25"/>
      <c r="S18" s="25"/>
    </row>
    <row r="19" spans="1:19" ht="23.25" x14ac:dyDescent="0.25">
      <c r="A19" s="160" t="s">
        <v>304</v>
      </c>
      <c r="B19" s="82" t="s">
        <v>305</v>
      </c>
      <c r="C19" s="5" t="s">
        <v>589</v>
      </c>
      <c r="D19" s="121" t="s">
        <v>90</v>
      </c>
      <c r="E19" s="122">
        <v>1</v>
      </c>
      <c r="F19" s="209">
        <v>5697.73</v>
      </c>
      <c r="G19" s="6">
        <f t="shared" si="0"/>
        <v>5697.73</v>
      </c>
      <c r="I19" s="62" t="str">
        <f t="shared" si="1"/>
        <v>CA07</v>
      </c>
      <c r="J19" s="25" t="s">
        <v>101</v>
      </c>
      <c r="K19" s="107">
        <f t="shared" si="2"/>
        <v>5697.73</v>
      </c>
      <c r="L19" s="107"/>
      <c r="M19" s="25"/>
      <c r="N19" s="108">
        <f>+F19</f>
        <v>5697.73</v>
      </c>
      <c r="O19" s="25"/>
      <c r="P19" s="25"/>
      <c r="Q19" s="25"/>
      <c r="R19" s="25"/>
      <c r="S19" s="25"/>
    </row>
    <row r="20" spans="1:19" ht="23.25" x14ac:dyDescent="0.25">
      <c r="A20" s="160" t="s">
        <v>306</v>
      </c>
      <c r="B20" s="82" t="s">
        <v>307</v>
      </c>
      <c r="C20" s="5" t="s">
        <v>819</v>
      </c>
      <c r="D20" s="121" t="s">
        <v>90</v>
      </c>
      <c r="E20" s="122">
        <v>1</v>
      </c>
      <c r="F20" s="209">
        <v>4031</v>
      </c>
      <c r="G20" s="6">
        <f t="shared" si="0"/>
        <v>4031</v>
      </c>
      <c r="I20" s="62" t="str">
        <f t="shared" si="1"/>
        <v>CA08</v>
      </c>
      <c r="J20" s="25" t="s">
        <v>101</v>
      </c>
      <c r="K20" s="107">
        <f t="shared" si="2"/>
        <v>4031</v>
      </c>
      <c r="L20" s="107"/>
      <c r="M20" s="25"/>
      <c r="N20" s="108">
        <f>+F20</f>
        <v>4031</v>
      </c>
      <c r="O20" s="25"/>
      <c r="P20" s="25"/>
      <c r="Q20" s="25"/>
      <c r="R20" s="25"/>
      <c r="S20" s="25"/>
    </row>
    <row r="21" spans="1:19" ht="23.25" x14ac:dyDescent="0.25">
      <c r="A21" s="160" t="s">
        <v>308</v>
      </c>
      <c r="B21" s="82" t="s">
        <v>309</v>
      </c>
      <c r="C21" s="5" t="s">
        <v>590</v>
      </c>
      <c r="D21" s="121" t="s">
        <v>90</v>
      </c>
      <c r="E21" s="122">
        <v>1</v>
      </c>
      <c r="F21" s="209">
        <v>5780</v>
      </c>
      <c r="G21" s="6">
        <f t="shared" si="0"/>
        <v>5780</v>
      </c>
      <c r="I21" s="62" t="str">
        <f t="shared" si="1"/>
        <v>CA09</v>
      </c>
      <c r="J21" s="25" t="s">
        <v>101</v>
      </c>
      <c r="K21" s="107">
        <f t="shared" si="2"/>
        <v>5780</v>
      </c>
      <c r="L21" s="107"/>
      <c r="M21" s="108">
        <f>+F21</f>
        <v>5780</v>
      </c>
      <c r="N21" s="108"/>
      <c r="O21" s="108"/>
      <c r="P21" s="108"/>
      <c r="Q21" s="108"/>
      <c r="R21" s="108"/>
      <c r="S21" s="108"/>
    </row>
    <row r="22" spans="1:19" ht="23.25" x14ac:dyDescent="0.25">
      <c r="A22" s="160" t="s">
        <v>310</v>
      </c>
      <c r="B22" s="82" t="s">
        <v>311</v>
      </c>
      <c r="C22" s="5" t="s">
        <v>590</v>
      </c>
      <c r="D22" s="121" t="s">
        <v>90</v>
      </c>
      <c r="E22" s="122">
        <v>1</v>
      </c>
      <c r="F22" s="209">
        <v>2760</v>
      </c>
      <c r="G22" s="6">
        <f t="shared" si="0"/>
        <v>2760</v>
      </c>
      <c r="I22" s="62" t="str">
        <f t="shared" si="1"/>
        <v>CA10</v>
      </c>
      <c r="J22" s="25" t="s">
        <v>101</v>
      </c>
      <c r="K22" s="107">
        <f t="shared" si="2"/>
        <v>2760</v>
      </c>
      <c r="L22" s="107"/>
      <c r="M22" s="108"/>
      <c r="N22" s="108">
        <f>+F22</f>
        <v>2760</v>
      </c>
      <c r="O22" s="108"/>
      <c r="P22" s="108"/>
      <c r="Q22" s="108"/>
      <c r="R22" s="108"/>
      <c r="S22" s="108"/>
    </row>
    <row r="23" spans="1:19" ht="23.25" x14ac:dyDescent="0.25">
      <c r="A23" s="160" t="s">
        <v>313</v>
      </c>
      <c r="B23" s="82" t="s">
        <v>314</v>
      </c>
      <c r="C23" s="5" t="s">
        <v>820</v>
      </c>
      <c r="D23" s="121" t="s">
        <v>90</v>
      </c>
      <c r="E23" s="122">
        <v>1</v>
      </c>
      <c r="F23" s="209">
        <f>74.4*650</f>
        <v>48360.000000000007</v>
      </c>
      <c r="G23" s="6">
        <f t="shared" si="0"/>
        <v>48360.000000000007</v>
      </c>
      <c r="I23" s="62" t="str">
        <f t="shared" si="1"/>
        <v>CA11</v>
      </c>
      <c r="J23" s="25" t="s">
        <v>101</v>
      </c>
      <c r="K23" s="107">
        <f t="shared" si="2"/>
        <v>48360.000000000007</v>
      </c>
      <c r="L23" s="107"/>
      <c r="M23" s="108">
        <f>+F23</f>
        <v>48360.000000000007</v>
      </c>
      <c r="N23" s="108"/>
      <c r="O23" s="108"/>
      <c r="P23" s="108"/>
      <c r="Q23" s="108"/>
      <c r="R23" s="108"/>
      <c r="S23" s="108"/>
    </row>
    <row r="24" spans="1:19" ht="34.5" x14ac:dyDescent="0.25">
      <c r="A24" s="160" t="s">
        <v>316</v>
      </c>
      <c r="B24" s="82" t="s">
        <v>317</v>
      </c>
      <c r="C24" s="5" t="s">
        <v>595</v>
      </c>
      <c r="D24" s="121" t="s">
        <v>90</v>
      </c>
      <c r="E24" s="122">
        <v>1</v>
      </c>
      <c r="F24" s="51">
        <v>1200</v>
      </c>
      <c r="G24" s="6">
        <f t="shared" si="0"/>
        <v>1200</v>
      </c>
      <c r="I24" s="62" t="str">
        <f t="shared" si="1"/>
        <v>CA12</v>
      </c>
      <c r="J24" s="25" t="s">
        <v>101</v>
      </c>
      <c r="K24" s="107">
        <f t="shared" si="2"/>
        <v>1200</v>
      </c>
      <c r="L24" s="107"/>
      <c r="M24" s="108"/>
      <c r="N24" s="108"/>
      <c r="O24" s="108">
        <f>+F24</f>
        <v>1200</v>
      </c>
      <c r="P24" s="108"/>
      <c r="Q24" s="108"/>
      <c r="R24" s="108"/>
      <c r="S24" s="108"/>
    </row>
    <row r="25" spans="1:19" ht="23.25" x14ac:dyDescent="0.25">
      <c r="A25" s="160" t="s">
        <v>319</v>
      </c>
      <c r="B25" s="82" t="s">
        <v>320</v>
      </c>
      <c r="C25" s="5" t="s">
        <v>588</v>
      </c>
      <c r="D25" s="121" t="s">
        <v>90</v>
      </c>
      <c r="E25" s="122">
        <v>1</v>
      </c>
      <c r="F25" s="209">
        <f>2373249552/1000000</f>
        <v>2373.2495520000002</v>
      </c>
      <c r="G25" s="6">
        <f t="shared" si="0"/>
        <v>2373.2495520000002</v>
      </c>
      <c r="I25" s="62" t="str">
        <f t="shared" si="1"/>
        <v>CA13</v>
      </c>
      <c r="J25" s="25" t="s">
        <v>101</v>
      </c>
      <c r="K25" s="107">
        <f t="shared" si="2"/>
        <v>2373.2495520000002</v>
      </c>
      <c r="L25" s="107"/>
      <c r="M25" s="108"/>
      <c r="N25" s="108"/>
      <c r="O25" s="108">
        <f>+F25</f>
        <v>2373.2495520000002</v>
      </c>
      <c r="P25" s="108"/>
      <c r="Q25" s="108"/>
      <c r="R25" s="108"/>
      <c r="S25" s="108"/>
    </row>
    <row r="26" spans="1:19" ht="23.25" x14ac:dyDescent="0.25">
      <c r="A26" s="160" t="s">
        <v>322</v>
      </c>
      <c r="B26" s="82" t="s">
        <v>626</v>
      </c>
      <c r="C26" s="5" t="s">
        <v>596</v>
      </c>
      <c r="D26" s="121" t="s">
        <v>90</v>
      </c>
      <c r="E26" s="122">
        <v>1</v>
      </c>
      <c r="F26" s="51">
        <v>68372.77</v>
      </c>
      <c r="G26" s="6">
        <f t="shared" si="0"/>
        <v>68372.77</v>
      </c>
      <c r="I26" s="62" t="str">
        <f t="shared" si="1"/>
        <v>CA14</v>
      </c>
      <c r="J26" s="25" t="s">
        <v>101</v>
      </c>
      <c r="K26" s="107">
        <f t="shared" si="2"/>
        <v>68372.77</v>
      </c>
      <c r="L26" s="107"/>
      <c r="M26" s="108"/>
      <c r="N26" s="108"/>
      <c r="O26" s="108"/>
      <c r="P26" s="108"/>
      <c r="Q26" s="108"/>
      <c r="R26" s="108">
        <f>+F26</f>
        <v>68372.77</v>
      </c>
      <c r="S26" s="108"/>
    </row>
    <row r="27" spans="1:19" ht="23.25" x14ac:dyDescent="0.25">
      <c r="A27" s="160" t="s">
        <v>324</v>
      </c>
      <c r="B27" s="82" t="s">
        <v>325</v>
      </c>
      <c r="C27" s="5" t="s">
        <v>597</v>
      </c>
      <c r="D27" s="121" t="s">
        <v>90</v>
      </c>
      <c r="E27" s="122">
        <v>1</v>
      </c>
      <c r="F27" s="51">
        <v>235456</v>
      </c>
      <c r="G27" s="6">
        <f t="shared" si="0"/>
        <v>235456</v>
      </c>
      <c r="I27" s="62" t="str">
        <f t="shared" si="1"/>
        <v>CA15</v>
      </c>
      <c r="J27" s="25" t="s">
        <v>101</v>
      </c>
      <c r="K27" s="107">
        <f t="shared" si="2"/>
        <v>235456</v>
      </c>
      <c r="L27" s="107"/>
      <c r="M27" s="108"/>
      <c r="N27" s="108"/>
      <c r="O27" s="108"/>
      <c r="P27" s="108"/>
      <c r="Q27" s="108"/>
      <c r="R27" s="108"/>
      <c r="S27" s="108">
        <f>+F27</f>
        <v>235456</v>
      </c>
    </row>
    <row r="28" spans="1:19" ht="23.25" x14ac:dyDescent="0.25">
      <c r="A28" s="160" t="s">
        <v>327</v>
      </c>
      <c r="B28" s="88" t="s">
        <v>336</v>
      </c>
      <c r="C28" s="5" t="s">
        <v>600</v>
      </c>
      <c r="D28" s="121" t="s">
        <v>90</v>
      </c>
      <c r="E28" s="157">
        <v>1</v>
      </c>
      <c r="F28" s="210">
        <f>+F16*1.6</f>
        <v>337920</v>
      </c>
      <c r="G28" s="6">
        <f>+F28*E28</f>
        <v>337920</v>
      </c>
      <c r="I28" s="62" t="str">
        <f t="shared" si="1"/>
        <v>CA16</v>
      </c>
      <c r="J28" s="25" t="s">
        <v>101</v>
      </c>
      <c r="K28" s="107">
        <f t="shared" si="2"/>
        <v>337920</v>
      </c>
      <c r="L28" s="107"/>
      <c r="M28" s="108"/>
      <c r="N28" s="108"/>
      <c r="O28" s="108"/>
      <c r="P28" s="108"/>
      <c r="Q28" s="108">
        <f>+F28</f>
        <v>337920</v>
      </c>
      <c r="R28" s="108"/>
      <c r="S28" s="108"/>
    </row>
    <row r="29" spans="1:19" ht="23.25" x14ac:dyDescent="0.25">
      <c r="A29" s="160" t="s">
        <v>329</v>
      </c>
      <c r="B29" s="88" t="s">
        <v>337</v>
      </c>
      <c r="C29" s="5" t="s">
        <v>601</v>
      </c>
      <c r="D29" s="121" t="s">
        <v>90</v>
      </c>
      <c r="E29" s="157">
        <v>1</v>
      </c>
      <c r="F29" s="210">
        <v>50265</v>
      </c>
      <c r="G29" s="6">
        <f>+F29*E29</f>
        <v>50265</v>
      </c>
      <c r="I29" s="62" t="str">
        <f t="shared" si="1"/>
        <v>CA17</v>
      </c>
      <c r="J29" s="25" t="s">
        <v>101</v>
      </c>
      <c r="K29" s="107">
        <f t="shared" si="2"/>
        <v>50265</v>
      </c>
      <c r="L29" s="107"/>
      <c r="M29" s="108"/>
      <c r="N29" s="108"/>
      <c r="O29" s="108"/>
      <c r="P29" s="108"/>
      <c r="Q29" s="108"/>
      <c r="R29" s="108"/>
      <c r="S29" s="108">
        <f>+F29</f>
        <v>50265</v>
      </c>
    </row>
    <row r="30" spans="1:19" ht="23.25" x14ac:dyDescent="0.25">
      <c r="A30" s="160" t="s">
        <v>332</v>
      </c>
      <c r="B30" s="88" t="s">
        <v>338</v>
      </c>
      <c r="C30" s="5" t="s">
        <v>602</v>
      </c>
      <c r="D30" s="121" t="s">
        <v>90</v>
      </c>
      <c r="E30" s="157">
        <v>1</v>
      </c>
      <c r="F30" s="210">
        <v>126987</v>
      </c>
      <c r="G30" s="6">
        <f>+F30*E30</f>
        <v>126987</v>
      </c>
      <c r="I30" s="62" t="str">
        <f t="shared" si="1"/>
        <v>CA18</v>
      </c>
      <c r="J30" s="25" t="s">
        <v>101</v>
      </c>
      <c r="K30" s="107">
        <f t="shared" si="2"/>
        <v>126987</v>
      </c>
      <c r="L30" s="107"/>
      <c r="M30" s="108"/>
      <c r="N30" s="108"/>
      <c r="O30" s="108"/>
      <c r="P30" s="108"/>
      <c r="Q30" s="108"/>
      <c r="R30" s="108"/>
      <c r="S30" s="108">
        <f>+F30</f>
        <v>126987</v>
      </c>
    </row>
    <row r="31" spans="1:19" ht="23.25" x14ac:dyDescent="0.25">
      <c r="A31" s="160" t="s">
        <v>334</v>
      </c>
      <c r="B31" s="82" t="s">
        <v>328</v>
      </c>
      <c r="C31" s="5" t="s">
        <v>598</v>
      </c>
      <c r="D31" s="121" t="s">
        <v>90</v>
      </c>
      <c r="E31" s="122">
        <v>1</v>
      </c>
      <c r="F31" s="210">
        <v>264557</v>
      </c>
      <c r="G31" s="6">
        <f t="shared" si="0"/>
        <v>264557</v>
      </c>
      <c r="I31" s="62" t="str">
        <f t="shared" si="1"/>
        <v>CA19</v>
      </c>
      <c r="J31" s="25" t="s">
        <v>101</v>
      </c>
      <c r="K31" s="107">
        <f t="shared" si="2"/>
        <v>264557</v>
      </c>
      <c r="L31" s="107"/>
      <c r="M31" s="108"/>
      <c r="N31" s="108"/>
      <c r="O31" s="108"/>
      <c r="P31" s="108"/>
      <c r="Q31" s="108"/>
      <c r="R31" s="108">
        <f>+F31</f>
        <v>264557</v>
      </c>
      <c r="S31" s="108"/>
    </row>
    <row r="32" spans="1:19" ht="23.25" x14ac:dyDescent="0.25">
      <c r="A32" s="77" t="s">
        <v>37</v>
      </c>
      <c r="B32" s="88" t="s">
        <v>335</v>
      </c>
      <c r="C32" s="5" t="s">
        <v>599</v>
      </c>
      <c r="D32" s="121" t="s">
        <v>90</v>
      </c>
      <c r="E32" s="122">
        <v>1</v>
      </c>
      <c r="F32" s="210">
        <v>208200</v>
      </c>
      <c r="G32" s="6">
        <f t="shared" si="0"/>
        <v>208200</v>
      </c>
      <c r="I32" s="62" t="str">
        <f t="shared" si="1"/>
        <v>IN11</v>
      </c>
      <c r="J32" s="25" t="s">
        <v>101</v>
      </c>
      <c r="K32" s="107">
        <f t="shared" si="2"/>
        <v>209950</v>
      </c>
      <c r="L32" s="107"/>
      <c r="M32" s="108"/>
      <c r="N32" s="108">
        <v>550</v>
      </c>
      <c r="O32" s="108"/>
      <c r="P32" s="108"/>
      <c r="Q32" s="108">
        <v>1200</v>
      </c>
      <c r="R32" s="108"/>
      <c r="S32" s="108">
        <f>+F32</f>
        <v>208200</v>
      </c>
    </row>
    <row r="33" spans="2:63" x14ac:dyDescent="0.25">
      <c r="B33" s="88" t="s">
        <v>2</v>
      </c>
      <c r="C33" s="178"/>
      <c r="D33" s="179"/>
      <c r="E33" s="179"/>
      <c r="F33" s="178"/>
      <c r="G33" s="180">
        <f>SUM(G13:G32)</f>
        <v>1661623.1575520001</v>
      </c>
      <c r="I33" s="62" t="s">
        <v>2</v>
      </c>
      <c r="J33" s="25"/>
      <c r="K33" s="107">
        <f>SUM(K13:K32)</f>
        <v>1663373.1575520001</v>
      </c>
      <c r="L33" s="107">
        <f t="shared" ref="L33:S33" si="3">SUM(L13:L32)</f>
        <v>22367.09</v>
      </c>
      <c r="M33" s="107">
        <f t="shared" si="3"/>
        <v>58640.000000000007</v>
      </c>
      <c r="N33" s="107">
        <f t="shared" si="3"/>
        <v>31399.027999999998</v>
      </c>
      <c r="O33" s="107">
        <f t="shared" si="3"/>
        <v>3573.2495520000002</v>
      </c>
      <c r="P33" s="107">
        <f t="shared" si="3"/>
        <v>0</v>
      </c>
      <c r="Q33" s="107">
        <f t="shared" si="3"/>
        <v>593556.02</v>
      </c>
      <c r="R33" s="107">
        <f t="shared" si="3"/>
        <v>332929.77</v>
      </c>
      <c r="S33" s="107">
        <f t="shared" si="3"/>
        <v>620908</v>
      </c>
    </row>
    <row r="34" spans="2:63" s="27" customFormat="1" x14ac:dyDescent="0.25">
      <c r="D34" s="176"/>
      <c r="E34" s="176"/>
      <c r="I34" s="177"/>
      <c r="J34" s="38"/>
      <c r="K34" s="125"/>
      <c r="L34" s="125"/>
      <c r="M34" s="124"/>
      <c r="N34" s="124"/>
      <c r="O34" s="124"/>
      <c r="P34" s="124"/>
      <c r="Q34" s="124"/>
      <c r="R34" s="124"/>
      <c r="S34" s="12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</row>
    <row r="35" spans="2:63" s="27" customFormat="1" x14ac:dyDescent="0.25">
      <c r="D35" s="176"/>
      <c r="E35" s="176"/>
      <c r="I35" s="177"/>
      <c r="J35" s="38"/>
      <c r="K35" s="125"/>
      <c r="L35" s="125"/>
      <c r="M35" s="124"/>
      <c r="N35" s="124"/>
      <c r="O35" s="124"/>
      <c r="P35" s="124"/>
      <c r="Q35" s="124"/>
      <c r="R35" s="124"/>
      <c r="S35" s="124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</row>
    <row r="36" spans="2:63" x14ac:dyDescent="0.25">
      <c r="I36" s="113" t="s">
        <v>265</v>
      </c>
      <c r="J36" s="114"/>
      <c r="K36" s="114"/>
      <c r="L36" s="115"/>
      <c r="M36" s="29"/>
      <c r="N36" s="124"/>
      <c r="O36" s="124"/>
      <c r="P36" s="124"/>
      <c r="Q36" s="124"/>
      <c r="R36" s="124"/>
      <c r="S36" s="124"/>
    </row>
    <row r="37" spans="2:63" x14ac:dyDescent="0.25">
      <c r="I37" s="29" t="s">
        <v>3</v>
      </c>
      <c r="J37" s="29" t="s">
        <v>582</v>
      </c>
      <c r="K37" s="29" t="s">
        <v>78</v>
      </c>
      <c r="L37" s="29" t="s">
        <v>80</v>
      </c>
      <c r="M37" s="29" t="s">
        <v>755</v>
      </c>
    </row>
    <row r="38" spans="2:63" x14ac:dyDescent="0.25">
      <c r="I38" s="62" t="str">
        <f>+I13</f>
        <v>CA01</v>
      </c>
      <c r="J38" s="25"/>
      <c r="K38" s="25"/>
      <c r="L38" s="120">
        <v>0.153</v>
      </c>
      <c r="M38" s="25" t="s">
        <v>756</v>
      </c>
    </row>
    <row r="39" spans="2:63" x14ac:dyDescent="0.25">
      <c r="I39" s="62" t="str">
        <f t="shared" ref="I39:I57" si="4">+I14</f>
        <v>CA02</v>
      </c>
      <c r="J39" s="25"/>
      <c r="K39" s="25"/>
      <c r="L39" s="120">
        <v>0.10589999999999999</v>
      </c>
      <c r="M39" s="25" t="s">
        <v>756</v>
      </c>
    </row>
    <row r="40" spans="2:63" x14ac:dyDescent="0.25">
      <c r="I40" s="62" t="str">
        <f t="shared" si="4"/>
        <v>CA03</v>
      </c>
      <c r="J40" s="25"/>
      <c r="K40" s="25"/>
      <c r="L40" s="120">
        <v>4.3999999999999997E-2</v>
      </c>
      <c r="M40" s="25" t="s">
        <v>756</v>
      </c>
    </row>
    <row r="41" spans="2:63" x14ac:dyDescent="0.25">
      <c r="I41" s="62" t="str">
        <f t="shared" si="4"/>
        <v>CA04</v>
      </c>
      <c r="J41" s="25"/>
      <c r="K41" s="25"/>
      <c r="L41" s="120">
        <v>6.5000000000000002E-2</v>
      </c>
      <c r="M41" s="25" t="s">
        <v>756</v>
      </c>
    </row>
    <row r="42" spans="2:63" x14ac:dyDescent="0.25">
      <c r="I42" s="62" t="str">
        <f t="shared" si="4"/>
        <v>CA05</v>
      </c>
      <c r="J42" s="25"/>
      <c r="K42" s="25"/>
      <c r="L42" s="120">
        <v>7.6999999999999999E-2</v>
      </c>
      <c r="M42" s="25" t="s">
        <v>756</v>
      </c>
    </row>
    <row r="43" spans="2:63" x14ac:dyDescent="0.25">
      <c r="I43" s="62" t="str">
        <f t="shared" si="4"/>
        <v>CA06</v>
      </c>
      <c r="J43" s="25"/>
      <c r="K43" s="25"/>
      <c r="L43" s="120">
        <v>0.06</v>
      </c>
      <c r="M43" s="25" t="s">
        <v>756</v>
      </c>
    </row>
    <row r="44" spans="2:63" x14ac:dyDescent="0.25">
      <c r="I44" s="62" t="str">
        <f t="shared" si="4"/>
        <v>CA07</v>
      </c>
      <c r="J44" s="25"/>
      <c r="K44" s="25"/>
      <c r="L44" s="120">
        <v>0.01</v>
      </c>
      <c r="M44" s="25" t="s">
        <v>756</v>
      </c>
    </row>
    <row r="45" spans="2:63" x14ac:dyDescent="0.25">
      <c r="I45" s="62" t="str">
        <f t="shared" si="4"/>
        <v>CA08</v>
      </c>
      <c r="J45" s="25"/>
      <c r="K45" s="25"/>
      <c r="L45" s="120">
        <v>8.0000000000000002E-3</v>
      </c>
      <c r="M45" s="25" t="s">
        <v>756</v>
      </c>
    </row>
    <row r="46" spans="2:63" x14ac:dyDescent="0.25">
      <c r="I46" s="62" t="str">
        <f t="shared" si="4"/>
        <v>CA09</v>
      </c>
      <c r="J46" s="25"/>
      <c r="K46" s="25"/>
      <c r="L46" s="120">
        <v>8.8999999999999996E-2</v>
      </c>
      <c r="M46" s="25" t="s">
        <v>756</v>
      </c>
    </row>
    <row r="47" spans="2:63" x14ac:dyDescent="0.25">
      <c r="I47" s="62" t="str">
        <f t="shared" si="4"/>
        <v>CA10</v>
      </c>
      <c r="J47" s="25"/>
      <c r="K47" s="25"/>
      <c r="L47" s="120">
        <v>1.7999999999999999E-2</v>
      </c>
      <c r="M47" s="25" t="s">
        <v>756</v>
      </c>
    </row>
    <row r="48" spans="2:63" x14ac:dyDescent="0.25">
      <c r="I48" s="62" t="str">
        <f t="shared" si="4"/>
        <v>CA11</v>
      </c>
      <c r="J48" s="25"/>
      <c r="K48" s="25"/>
      <c r="L48" s="120">
        <v>9.6000000000000002E-2</v>
      </c>
      <c r="M48" s="25" t="s">
        <v>756</v>
      </c>
    </row>
    <row r="49" spans="9:20" x14ac:dyDescent="0.25">
      <c r="I49" s="62" t="str">
        <f t="shared" si="4"/>
        <v>CA12</v>
      </c>
      <c r="J49" s="25"/>
      <c r="K49" s="25"/>
      <c r="L49" s="120">
        <v>0.14399999999999999</v>
      </c>
      <c r="M49" s="25" t="s">
        <v>756</v>
      </c>
    </row>
    <row r="50" spans="9:20" x14ac:dyDescent="0.25">
      <c r="I50" s="62" t="str">
        <f t="shared" si="4"/>
        <v>CA13</v>
      </c>
      <c r="J50" s="25"/>
      <c r="K50" s="25"/>
      <c r="L50" s="120">
        <v>7.3999999999999996E-2</v>
      </c>
      <c r="M50" s="25" t="s">
        <v>756</v>
      </c>
    </row>
    <row r="51" spans="9:20" x14ac:dyDescent="0.25">
      <c r="I51" s="62" t="str">
        <f t="shared" si="4"/>
        <v>CA14</v>
      </c>
      <c r="J51" s="25"/>
      <c r="K51" s="25"/>
      <c r="L51" s="120">
        <v>0.17349999999999999</v>
      </c>
      <c r="M51" s="25" t="s">
        <v>756</v>
      </c>
    </row>
    <row r="52" spans="9:20" x14ac:dyDescent="0.25">
      <c r="I52" s="62" t="str">
        <f t="shared" si="4"/>
        <v>CA15</v>
      </c>
      <c r="J52" s="25"/>
      <c r="K52" s="25"/>
      <c r="L52" s="120">
        <v>7.4899999999999994E-2</v>
      </c>
      <c r="M52" s="25" t="s">
        <v>756</v>
      </c>
    </row>
    <row r="53" spans="9:20" x14ac:dyDescent="0.25">
      <c r="I53" s="62" t="str">
        <f t="shared" si="4"/>
        <v>CA16</v>
      </c>
      <c r="J53" s="25"/>
      <c r="K53" s="25"/>
      <c r="L53" s="120">
        <v>7.4200000000000002E-2</v>
      </c>
      <c r="M53" s="25" t="s">
        <v>759</v>
      </c>
    </row>
    <row r="54" spans="9:20" x14ac:dyDescent="0.25">
      <c r="I54" s="62" t="str">
        <f t="shared" si="4"/>
        <v>CA17</v>
      </c>
      <c r="J54" s="25"/>
      <c r="K54" s="25"/>
      <c r="L54" s="120">
        <f>+L52</f>
        <v>7.4899999999999994E-2</v>
      </c>
      <c r="M54" s="25" t="s">
        <v>759</v>
      </c>
    </row>
    <row r="55" spans="9:20" x14ac:dyDescent="0.25">
      <c r="I55" s="62" t="str">
        <f t="shared" si="4"/>
        <v>CA18</v>
      </c>
      <c r="J55" s="25"/>
      <c r="K55" s="25"/>
      <c r="L55" s="120">
        <f>+L54</f>
        <v>7.4899999999999994E-2</v>
      </c>
      <c r="M55" s="25" t="s">
        <v>759</v>
      </c>
    </row>
    <row r="56" spans="9:20" x14ac:dyDescent="0.25">
      <c r="I56" s="62" t="str">
        <f t="shared" si="4"/>
        <v>CA19</v>
      </c>
      <c r="J56" s="25"/>
      <c r="K56" s="25"/>
      <c r="L56" s="120">
        <f>+L55</f>
        <v>7.4899999999999994E-2</v>
      </c>
      <c r="M56" s="25" t="s">
        <v>759</v>
      </c>
    </row>
    <row r="57" spans="9:20" x14ac:dyDescent="0.25">
      <c r="I57" s="62" t="str">
        <f t="shared" si="4"/>
        <v>IN11</v>
      </c>
      <c r="J57" s="25"/>
      <c r="K57" s="25"/>
      <c r="L57" s="120">
        <v>7.4200000000000002E-2</v>
      </c>
      <c r="M57" s="25" t="s">
        <v>759</v>
      </c>
    </row>
    <row r="59" spans="9:20" x14ac:dyDescent="0.25">
      <c r="I59" s="113" t="s">
        <v>265</v>
      </c>
      <c r="J59" s="114"/>
      <c r="K59" s="114"/>
      <c r="L59" s="114"/>
      <c r="M59" s="114"/>
      <c r="N59" s="115"/>
      <c r="O59" s="286" t="s">
        <v>753</v>
      </c>
      <c r="P59" s="287"/>
      <c r="Q59" s="287"/>
      <c r="R59" s="287"/>
      <c r="S59" s="287"/>
      <c r="T59" s="288"/>
    </row>
    <row r="60" spans="9:20" x14ac:dyDescent="0.25">
      <c r="I60" s="29" t="s">
        <v>3</v>
      </c>
      <c r="J60" s="29" t="s">
        <v>582</v>
      </c>
      <c r="K60" s="29" t="s">
        <v>78</v>
      </c>
      <c r="L60" s="29" t="s">
        <v>80</v>
      </c>
      <c r="M60" s="29" t="s">
        <v>263</v>
      </c>
      <c r="N60" s="29" t="s">
        <v>264</v>
      </c>
      <c r="O60" s="29">
        <v>0</v>
      </c>
      <c r="P60" s="29">
        <v>1</v>
      </c>
      <c r="Q60" s="29">
        <v>2</v>
      </c>
      <c r="R60" s="29"/>
      <c r="S60" s="29"/>
      <c r="T60" s="29"/>
    </row>
    <row r="61" spans="9:20" x14ac:dyDescent="0.25">
      <c r="I61" s="15" t="str">
        <f>+I49</f>
        <v>CA12</v>
      </c>
      <c r="J61" s="15">
        <v>1</v>
      </c>
      <c r="K61" s="175" t="s">
        <v>754</v>
      </c>
      <c r="L61" s="175" t="s">
        <v>754</v>
      </c>
      <c r="M61" s="30">
        <f>NPV($L$8,P61:Q61)+O61</f>
        <v>1100.0355998576006</v>
      </c>
      <c r="N61" s="30">
        <f>-PMT($L$8,$N$8,M61)</f>
        <v>788.62587192913008</v>
      </c>
      <c r="O61" s="181">
        <v>0</v>
      </c>
      <c r="P61" s="181">
        <f>+F24*0.5</f>
        <v>600</v>
      </c>
      <c r="Q61" s="181">
        <f>+P61</f>
        <v>600</v>
      </c>
      <c r="R61" s="112"/>
      <c r="S61" s="112"/>
      <c r="T61" s="112"/>
    </row>
  </sheetData>
  <mergeCells count="12">
    <mergeCell ref="O59:T59"/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4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2" sqref="I22:P24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37.5" customHeight="1" x14ac:dyDescent="0.25">
      <c r="B6" s="306" t="s">
        <v>134</v>
      </c>
      <c r="C6" s="306"/>
      <c r="D6" s="307" t="s">
        <v>256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6.25" customHeight="1" x14ac:dyDescent="0.25">
      <c r="B7" s="306"/>
      <c r="C7" s="306"/>
      <c r="D7" s="307" t="s">
        <v>255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0.75" customHeight="1" x14ac:dyDescent="0.4">
      <c r="B8" s="309" t="s">
        <v>130</v>
      </c>
      <c r="C8" s="309"/>
      <c r="D8" s="309"/>
      <c r="E8" s="309"/>
      <c r="F8" s="309"/>
      <c r="G8" s="18" t="s">
        <v>561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/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+B13</f>
        <v>personal adm</v>
      </c>
      <c r="J12" s="25" t="s">
        <v>115</v>
      </c>
      <c r="K12" s="6">
        <f>SUM(L12:S12)</f>
        <v>60</v>
      </c>
      <c r="L12" s="30">
        <f>+G13</f>
        <v>12</v>
      </c>
      <c r="M12" s="30">
        <f>+L12</f>
        <v>12</v>
      </c>
      <c r="N12" s="30">
        <f>+M12</f>
        <v>12</v>
      </c>
      <c r="O12" s="30">
        <f>+N12</f>
        <v>12</v>
      </c>
      <c r="P12" s="30">
        <f>+O12</f>
        <v>12</v>
      </c>
      <c r="Q12" s="30"/>
      <c r="R12" s="30"/>
      <c r="S12" s="30">
        <f t="shared" ref="R12:S14" si="0">+R12</f>
        <v>0</v>
      </c>
    </row>
    <row r="13" spans="2:19" x14ac:dyDescent="0.25">
      <c r="B13" s="5" t="s">
        <v>131</v>
      </c>
      <c r="C13" s="5"/>
      <c r="D13" s="5" t="s">
        <v>128</v>
      </c>
      <c r="E13" s="6">
        <v>12</v>
      </c>
      <c r="F13" s="30">
        <v>1</v>
      </c>
      <c r="G13" s="30">
        <f>+F13*E13</f>
        <v>12</v>
      </c>
      <c r="I13" s="15"/>
      <c r="J13" s="25"/>
      <c r="K13" s="6">
        <f>SUM(L13:S13)</f>
        <v>0</v>
      </c>
      <c r="L13" s="6">
        <f>+G14</f>
        <v>0</v>
      </c>
      <c r="M13" s="6">
        <f t="shared" ref="M13:P14" si="1">+L13</f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>+P13*5</f>
        <v>0</v>
      </c>
      <c r="R13" s="6">
        <f t="shared" si="0"/>
        <v>0</v>
      </c>
      <c r="S13" s="6">
        <f t="shared" si="0"/>
        <v>0</v>
      </c>
    </row>
    <row r="14" spans="2:19" x14ac:dyDescent="0.25">
      <c r="B14" s="5"/>
      <c r="C14" s="5"/>
      <c r="D14" s="5"/>
      <c r="E14" s="6"/>
      <c r="F14" s="30"/>
      <c r="G14" s="30">
        <f>+F14*E14</f>
        <v>0</v>
      </c>
      <c r="I14" s="15"/>
      <c r="J14" s="25"/>
      <c r="K14" s="6">
        <f>SUM(L14:S14)</f>
        <v>0</v>
      </c>
      <c r="L14" s="6">
        <f>+G15</f>
        <v>0</v>
      </c>
      <c r="M14" s="6">
        <f t="shared" si="1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>+P14*5</f>
        <v>0</v>
      </c>
      <c r="R14" s="6">
        <f t="shared" si="0"/>
        <v>0</v>
      </c>
      <c r="S14" s="6">
        <f t="shared" si="0"/>
        <v>0</v>
      </c>
    </row>
    <row r="15" spans="2:19" x14ac:dyDescent="0.25">
      <c r="B15" s="5"/>
      <c r="C15" s="5"/>
      <c r="D15" s="5"/>
      <c r="E15" s="6"/>
      <c r="F15" s="30"/>
      <c r="G15" s="30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30"/>
      <c r="G16" s="30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31"/>
      <c r="G17" s="30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39"/>
      <c r="G18" s="40">
        <f>SUM(G13:G17)</f>
        <v>12</v>
      </c>
      <c r="I18" s="5"/>
      <c r="J18" s="5"/>
      <c r="K18" s="6">
        <f>SUM(L18:Q18)</f>
        <v>0</v>
      </c>
      <c r="L18" s="5"/>
      <c r="M18" s="5"/>
      <c r="N18" s="5"/>
      <c r="O18" s="5"/>
      <c r="P18" s="5"/>
      <c r="Q18" s="5"/>
      <c r="R18" s="5"/>
      <c r="S18" s="5"/>
    </row>
    <row r="19" spans="2:19" x14ac:dyDescent="0.25">
      <c r="I19" s="5"/>
      <c r="J19" s="5"/>
      <c r="K19" s="6">
        <f>SUM(L19:Q19)</f>
        <v>0</v>
      </c>
      <c r="L19" s="5"/>
      <c r="M19" s="5"/>
      <c r="N19" s="5"/>
      <c r="O19" s="5"/>
      <c r="P19" s="5"/>
      <c r="Q19" s="5"/>
      <c r="R19" s="5"/>
      <c r="S19" s="5"/>
    </row>
    <row r="20" spans="2:19" x14ac:dyDescent="0.25">
      <c r="I20" s="17" t="s">
        <v>2</v>
      </c>
      <c r="J20" s="14"/>
      <c r="K20" s="16">
        <f>SUM(K12:K19)</f>
        <v>60</v>
      </c>
      <c r="L20" s="16">
        <f t="shared" ref="L20:S20" si="2">SUM(L12:L19)</f>
        <v>12</v>
      </c>
      <c r="M20" s="16">
        <f t="shared" si="2"/>
        <v>12</v>
      </c>
      <c r="N20" s="16">
        <f t="shared" si="2"/>
        <v>12</v>
      </c>
      <c r="O20" s="16">
        <f t="shared" si="2"/>
        <v>12</v>
      </c>
      <c r="P20" s="16">
        <f t="shared" si="2"/>
        <v>12</v>
      </c>
      <c r="Q20" s="16">
        <f t="shared" si="2"/>
        <v>0</v>
      </c>
      <c r="R20" s="16">
        <f t="shared" si="2"/>
        <v>0</v>
      </c>
      <c r="S20" s="16">
        <f t="shared" si="2"/>
        <v>0</v>
      </c>
    </row>
    <row r="21" spans="2:19" x14ac:dyDescent="0.25"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I22" s="197" t="s">
        <v>265</v>
      </c>
      <c r="J22" s="198"/>
      <c r="K22" s="198"/>
      <c r="L22" s="198"/>
      <c r="M22" s="198"/>
      <c r="N22" s="199"/>
      <c r="O22" s="198"/>
      <c r="P22" s="199"/>
    </row>
    <row r="23" spans="2:19" x14ac:dyDescent="0.25"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00" t="s">
        <v>264</v>
      </c>
      <c r="O23" s="29"/>
      <c r="P23" s="200"/>
    </row>
    <row r="24" spans="2:19" x14ac:dyDescent="0.25">
      <c r="I24" s="15" t="str">
        <f>+I20</f>
        <v>Total</v>
      </c>
      <c r="J24" s="15"/>
      <c r="K24" s="109"/>
      <c r="L24" s="6">
        <v>0.06</v>
      </c>
      <c r="M24" s="6">
        <f>NPV($L$8,L20:P20)+O24</f>
        <v>50.548365426788557</v>
      </c>
      <c r="N24" s="201">
        <f>-PMT($L$8,5,M24)</f>
        <v>11.999999999999998</v>
      </c>
      <c r="O24" s="6"/>
      <c r="P24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172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1729" r:id="rId3"/>
      </mc:Fallback>
    </mc:AlternateContent>
  </oleObjects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1:S22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20" sqref="I20:P22"/>
    </sheetView>
  </sheetViews>
  <sheetFormatPr baseColWidth="10" defaultRowHeight="15" x14ac:dyDescent="0.25"/>
  <cols>
    <col min="1" max="1" width="2" customWidth="1"/>
    <col min="2" max="2" width="12.5703125" bestFit="1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1" spans="2:19" ht="7.5" customHeight="1" x14ac:dyDescent="0.25"/>
    <row r="2" spans="2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2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2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2:19" ht="6" customHeight="1" x14ac:dyDescent="0.25"/>
    <row r="6" spans="2:19" ht="43.5" customHeight="1" x14ac:dyDescent="0.25">
      <c r="B6" s="306" t="s">
        <v>134</v>
      </c>
      <c r="C6" s="306"/>
      <c r="D6" s="307" t="s">
        <v>260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2:19" ht="26.25" customHeight="1" x14ac:dyDescent="0.25">
      <c r="B7" s="306"/>
      <c r="C7" s="306"/>
      <c r="D7" s="307" t="s">
        <v>259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2:19" ht="31.5" customHeight="1" x14ac:dyDescent="0.4">
      <c r="B8" s="309" t="s">
        <v>258</v>
      </c>
      <c r="C8" s="309"/>
      <c r="D8" s="309"/>
      <c r="E8" s="309"/>
      <c r="F8" s="309"/>
      <c r="G8" s="18" t="s">
        <v>565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2:19" x14ac:dyDescent="0.25">
      <c r="B10" s="218" t="s">
        <v>16</v>
      </c>
      <c r="C10" s="218"/>
      <c r="D10" s="218"/>
      <c r="E10" s="218"/>
      <c r="F10" s="218"/>
      <c r="G10" s="218"/>
      <c r="I10" s="290" t="s">
        <v>15</v>
      </c>
      <c r="J10" s="291"/>
      <c r="K10" s="291"/>
      <c r="L10" s="291"/>
      <c r="M10" s="291"/>
      <c r="N10" s="291"/>
      <c r="O10" s="291"/>
      <c r="P10" s="291"/>
      <c r="Q10" s="291"/>
      <c r="R10" s="291"/>
      <c r="S10" s="292"/>
    </row>
    <row r="11" spans="2:19" x14ac:dyDescent="0.25">
      <c r="B11" s="19" t="s">
        <v>3</v>
      </c>
      <c r="C11" s="20"/>
      <c r="D11" s="21"/>
      <c r="E11" s="21"/>
      <c r="F11" s="22" t="s">
        <v>1</v>
      </c>
      <c r="G11" s="22" t="s">
        <v>814</v>
      </c>
      <c r="I11" s="28" t="s">
        <v>3</v>
      </c>
      <c r="J11" s="28" t="s">
        <v>1</v>
      </c>
      <c r="K11" s="28" t="s">
        <v>2</v>
      </c>
      <c r="L11" s="28">
        <v>2018</v>
      </c>
      <c r="M11" s="28">
        <v>2019</v>
      </c>
      <c r="N11" s="28">
        <v>2020</v>
      </c>
      <c r="O11" s="28">
        <v>2021</v>
      </c>
      <c r="P11" s="28">
        <v>2022</v>
      </c>
      <c r="Q11" s="28" t="s">
        <v>0</v>
      </c>
      <c r="R11" s="28" t="s">
        <v>25</v>
      </c>
      <c r="S11" s="28" t="s">
        <v>26</v>
      </c>
    </row>
    <row r="12" spans="2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 t="str">
        <f>+G11</f>
        <v>IN 76</v>
      </c>
      <c r="J12" s="25" t="s">
        <v>115</v>
      </c>
      <c r="K12" s="6">
        <f>SUM(L12:S12)</f>
        <v>0</v>
      </c>
      <c r="L12" s="30">
        <f>+G13</f>
        <v>0</v>
      </c>
      <c r="M12" s="30">
        <f>+L12</f>
        <v>0</v>
      </c>
      <c r="N12" s="30">
        <f>+M12</f>
        <v>0</v>
      </c>
      <c r="O12" s="30">
        <f>+N12</f>
        <v>0</v>
      </c>
      <c r="P12" s="30">
        <f>+O12</f>
        <v>0</v>
      </c>
      <c r="Q12" s="30">
        <f>+P12*5</f>
        <v>0</v>
      </c>
      <c r="R12" s="30">
        <f t="shared" ref="R12:S12" si="0">+Q12</f>
        <v>0</v>
      </c>
      <c r="S12" s="30">
        <f t="shared" si="0"/>
        <v>0</v>
      </c>
    </row>
    <row r="13" spans="2:19" x14ac:dyDescent="0.25">
      <c r="B13" s="5" t="s">
        <v>812</v>
      </c>
      <c r="C13" s="5"/>
      <c r="D13" s="5"/>
      <c r="E13" s="6"/>
      <c r="F13" s="30"/>
      <c r="G13" s="30">
        <f>+F13*E13</f>
        <v>0</v>
      </c>
      <c r="I13" s="15"/>
      <c r="J13" s="25"/>
      <c r="K13" s="6"/>
      <c r="L13" s="6"/>
      <c r="M13" s="6"/>
      <c r="N13" s="6"/>
      <c r="O13" s="6"/>
      <c r="P13" s="6"/>
      <c r="Q13" s="6"/>
      <c r="R13" s="6"/>
      <c r="S13" s="6"/>
    </row>
    <row r="14" spans="2:19" x14ac:dyDescent="0.25">
      <c r="B14" s="5"/>
      <c r="C14" s="5"/>
      <c r="D14" s="5"/>
      <c r="E14" s="6"/>
      <c r="F14" s="30"/>
      <c r="G14" s="30">
        <f>+F14*E14</f>
        <v>0</v>
      </c>
      <c r="I14" s="15"/>
      <c r="J14" s="25"/>
      <c r="K14" s="6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5"/>
      <c r="C15" s="5"/>
      <c r="D15" s="5"/>
      <c r="E15" s="6"/>
      <c r="F15" s="30"/>
      <c r="G15" s="30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2:19" x14ac:dyDescent="0.25">
      <c r="B16" s="5"/>
      <c r="C16" s="5"/>
      <c r="D16" s="5"/>
      <c r="E16" s="6"/>
      <c r="F16" s="30"/>
      <c r="G16" s="30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31"/>
      <c r="G17" s="30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39"/>
      <c r="G18" s="40">
        <f>SUM(G13:G17)</f>
        <v>0</v>
      </c>
      <c r="I18" s="5"/>
      <c r="J18" s="5"/>
      <c r="K18" s="6"/>
      <c r="L18" s="5"/>
      <c r="M18" s="5"/>
      <c r="N18" s="5"/>
      <c r="O18" s="5"/>
      <c r="P18" s="5"/>
      <c r="Q18" s="5"/>
      <c r="R18" s="5"/>
      <c r="S18" s="5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>
        <f>+I18</f>
        <v>0</v>
      </c>
      <c r="J22" s="15"/>
      <c r="K22" s="109"/>
      <c r="L22" s="6">
        <v>0.06</v>
      </c>
      <c r="M22" s="6">
        <f>NPV($L$8,L18:P18)+O22</f>
        <v>0</v>
      </c>
      <c r="N22" s="201">
        <f>-PMT($L$8,5,M22)</f>
        <v>0</v>
      </c>
      <c r="O22" s="6"/>
      <c r="P22" s="201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480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4801" r:id="rId3"/>
      </mc:Fallback>
    </mc:AlternateContent>
  </oleObjects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2:S26"/>
  <sheetViews>
    <sheetView showGridLines="0" workbookViewId="0">
      <pane xSplit="8" ySplit="11" topLeftCell="I12" activePane="bottomRight" state="frozen"/>
      <selection activeCell="B6" sqref="B6:G8"/>
      <selection pane="topRight" activeCell="B6" sqref="B6:G8"/>
      <selection pane="bottomLeft" activeCell="B6" sqref="B6:G8"/>
      <selection pane="bottomRight" activeCell="I13" sqref="I13"/>
    </sheetView>
  </sheetViews>
  <sheetFormatPr baseColWidth="10" defaultRowHeight="15" x14ac:dyDescent="0.25"/>
  <cols>
    <col min="1" max="1" width="2" customWidth="1"/>
    <col min="2" max="2" width="18.7109375" customWidth="1"/>
    <col min="6" max="6" width="14.28515625" customWidth="1"/>
    <col min="8" max="8" width="2.85546875" customWidth="1"/>
    <col min="9" max="9" width="12.5703125" bestFit="1" customWidth="1"/>
    <col min="10" max="10" width="12.285156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18" t="s">
        <v>134</v>
      </c>
      <c r="C6" s="319"/>
      <c r="D6" s="307" t="s">
        <v>260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20"/>
      <c r="C7" s="321"/>
      <c r="D7" s="307" t="s">
        <v>261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262</v>
      </c>
      <c r="C8" s="309"/>
      <c r="D8" s="309"/>
      <c r="E8" s="309"/>
      <c r="F8" s="309"/>
      <c r="G8" s="18" t="s">
        <v>813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78</v>
      </c>
      <c r="N8" s="25"/>
      <c r="O8" s="25" t="s">
        <v>80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/>
      <c r="D11" s="21"/>
      <c r="E11" s="21"/>
      <c r="F11" s="22" t="s">
        <v>1</v>
      </c>
      <c r="G11" s="22"/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5"/>
      <c r="J12" s="25"/>
      <c r="K12" s="6"/>
      <c r="L12" s="30"/>
      <c r="M12" s="30"/>
      <c r="N12" s="30"/>
      <c r="O12" s="30"/>
      <c r="P12" s="30"/>
      <c r="Q12" s="30"/>
      <c r="R12" s="30"/>
      <c r="S12" s="30"/>
    </row>
    <row r="13" spans="1:19" ht="48" x14ac:dyDescent="0.25">
      <c r="A13" s="164" t="s">
        <v>474</v>
      </c>
      <c r="B13" s="167" t="s">
        <v>567</v>
      </c>
      <c r="C13" s="5"/>
      <c r="D13" s="5" t="s">
        <v>90</v>
      </c>
      <c r="E13" s="6">
        <v>1</v>
      </c>
      <c r="F13" s="30">
        <v>200</v>
      </c>
      <c r="G13" s="30">
        <f>+F13*E13</f>
        <v>200</v>
      </c>
      <c r="I13" s="15" t="str">
        <f>+A13</f>
        <v>CA59</v>
      </c>
      <c r="J13" s="25"/>
      <c r="K13" s="6">
        <f>SUM(L13:S13)</f>
        <v>200</v>
      </c>
      <c r="L13" s="6">
        <v>200</v>
      </c>
      <c r="M13" s="6"/>
      <c r="N13" s="6"/>
      <c r="O13" s="6"/>
      <c r="P13" s="6"/>
      <c r="Q13" s="6"/>
      <c r="R13" s="6"/>
      <c r="S13" s="6"/>
    </row>
    <row r="14" spans="1:19" x14ac:dyDescent="0.25">
      <c r="A14" t="s">
        <v>551</v>
      </c>
      <c r="B14" s="5" t="s">
        <v>815</v>
      </c>
      <c r="C14" s="5"/>
      <c r="D14" s="5"/>
      <c r="E14" s="6"/>
      <c r="F14" s="30"/>
      <c r="G14" s="30">
        <f>+F14*E14</f>
        <v>0</v>
      </c>
      <c r="I14" s="15" t="s">
        <v>551</v>
      </c>
      <c r="J14" s="25"/>
      <c r="K14" s="6">
        <f>SUM(L14:S14)</f>
        <v>0</v>
      </c>
      <c r="L14" s="6">
        <f>+G15</f>
        <v>0</v>
      </c>
      <c r="M14" s="6">
        <f>+L14</f>
        <v>0</v>
      </c>
      <c r="N14" s="6">
        <f>+M14</f>
        <v>0</v>
      </c>
      <c r="O14" s="6">
        <f>+N14</f>
        <v>0</v>
      </c>
      <c r="P14" s="6">
        <f>+O14</f>
        <v>0</v>
      </c>
      <c r="Q14" s="6">
        <f>+P14*5</f>
        <v>0</v>
      </c>
      <c r="R14" s="6">
        <f>+Q14</f>
        <v>0</v>
      </c>
      <c r="S14" s="6">
        <f>+R14</f>
        <v>0</v>
      </c>
    </row>
    <row r="15" spans="1:19" x14ac:dyDescent="0.25">
      <c r="B15" s="5"/>
      <c r="C15" s="5"/>
      <c r="D15" s="5"/>
      <c r="E15" s="6"/>
      <c r="F15" s="30"/>
      <c r="G15" s="30">
        <f>+F15*E15</f>
        <v>0</v>
      </c>
      <c r="I15" s="5"/>
      <c r="J15" s="25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6"/>
      <c r="F16" s="30"/>
      <c r="G16" s="30">
        <f>+F16*E16</f>
        <v>0</v>
      </c>
      <c r="I16" s="5"/>
      <c r="J16" s="25"/>
      <c r="K16" s="6"/>
      <c r="L16" s="6"/>
      <c r="M16" s="6"/>
      <c r="N16" s="6"/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31"/>
      <c r="G17" s="30">
        <f>+F17*E17</f>
        <v>0</v>
      </c>
      <c r="I17" s="5"/>
      <c r="J17" s="5"/>
      <c r="K17" s="6"/>
      <c r="L17" s="5"/>
      <c r="M17" s="5"/>
      <c r="N17" s="5"/>
      <c r="O17" s="5"/>
      <c r="P17" s="5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39"/>
      <c r="G18" s="40">
        <f>SUM(G13:G17)</f>
        <v>200</v>
      </c>
      <c r="I18" s="17" t="s">
        <v>2</v>
      </c>
      <c r="J18" s="14"/>
      <c r="K18" s="16">
        <f t="shared" ref="K18:S18" si="0">SUM(K12:K17)</f>
        <v>200</v>
      </c>
      <c r="L18" s="16">
        <f t="shared" si="0"/>
        <v>200</v>
      </c>
      <c r="M18" s="16">
        <f t="shared" si="0"/>
        <v>0</v>
      </c>
      <c r="N18" s="16">
        <f t="shared" si="0"/>
        <v>0</v>
      </c>
      <c r="O18" s="16">
        <f t="shared" si="0"/>
        <v>0</v>
      </c>
      <c r="P18" s="16">
        <f t="shared" si="0"/>
        <v>0</v>
      </c>
      <c r="Q18" s="16">
        <f t="shared" si="0"/>
        <v>0</v>
      </c>
      <c r="R18" s="16">
        <f t="shared" si="0"/>
        <v>0</v>
      </c>
      <c r="S18" s="16">
        <f t="shared" si="0"/>
        <v>0</v>
      </c>
    </row>
    <row r="19" spans="2:19" x14ac:dyDescent="0.25"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25">
      <c r="I20" s="197" t="s">
        <v>265</v>
      </c>
      <c r="J20" s="198"/>
      <c r="K20" s="198"/>
      <c r="L20" s="198"/>
      <c r="M20" s="198"/>
      <c r="N20" s="199"/>
      <c r="O20" s="198"/>
      <c r="P20" s="199"/>
    </row>
    <row r="21" spans="2:19" x14ac:dyDescent="0.25">
      <c r="I21" s="29" t="s">
        <v>3</v>
      </c>
      <c r="J21" s="29" t="s">
        <v>582</v>
      </c>
      <c r="K21" s="29" t="s">
        <v>78</v>
      </c>
      <c r="L21" s="29" t="s">
        <v>80</v>
      </c>
      <c r="M21" s="29" t="s">
        <v>263</v>
      </c>
      <c r="N21" s="200" t="s">
        <v>264</v>
      </c>
      <c r="O21" s="29"/>
      <c r="P21" s="200"/>
    </row>
    <row r="22" spans="2:19" x14ac:dyDescent="0.25">
      <c r="I22" s="15" t="str">
        <f>+I13</f>
        <v>CA59</v>
      </c>
      <c r="J22" s="15"/>
      <c r="K22" s="109"/>
      <c r="L22" s="6">
        <v>0.06</v>
      </c>
      <c r="M22" s="6">
        <f>NPV($L$8,P22:Q22)+O22</f>
        <v>188.67924528301887</v>
      </c>
      <c r="N22" s="6">
        <f>-PMT($L$8,5,M22)</f>
        <v>44.791773666262195</v>
      </c>
      <c r="O22" s="6"/>
      <c r="P22" s="6">
        <f>+L13</f>
        <v>200</v>
      </c>
    </row>
    <row r="23" spans="2:19" x14ac:dyDescent="0.25">
      <c r="I23" s="15" t="str">
        <f>+I14</f>
        <v>IN77</v>
      </c>
      <c r="J23" s="2"/>
      <c r="K23" s="2"/>
      <c r="L23" s="2"/>
      <c r="M23" s="2"/>
      <c r="N23" s="2"/>
      <c r="O23" s="2"/>
      <c r="P23" s="2"/>
    </row>
    <row r="26" spans="2:19" x14ac:dyDescent="0.25">
      <c r="E26" t="e">
        <f>+#REF!</f>
        <v>#REF!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205825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20582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S27"/>
  <sheetViews>
    <sheetView showGridLines="0" workbookViewId="0">
      <pane xSplit="8" ySplit="11" topLeftCell="K12" activePane="bottomRight" state="frozen"/>
      <selection activeCell="F25" sqref="F25"/>
      <selection pane="topRight" activeCell="F25" sqref="F25"/>
      <selection pane="bottomLeft" activeCell="F25" sqref="F25"/>
      <selection pane="bottomRight" activeCell="R14" sqref="R14"/>
    </sheetView>
  </sheetViews>
  <sheetFormatPr baseColWidth="10" defaultRowHeight="15" x14ac:dyDescent="0.25"/>
  <cols>
    <col min="1" max="1" width="6.140625" customWidth="1"/>
    <col min="2" max="2" width="12.5703125" bestFit="1" customWidth="1"/>
    <col min="4" max="4" width="15.7109375" bestFit="1" customWidth="1"/>
    <col min="6" max="6" width="14.28515625" customWidth="1"/>
    <col min="8" max="8" width="2.85546875" customWidth="1"/>
    <col min="9" max="9" width="12.5703125" bestFit="1" customWidth="1"/>
    <col min="11" max="11" width="12.85546875" bestFit="1" customWidth="1"/>
  </cols>
  <sheetData>
    <row r="2" spans="1:19" ht="14.25" customHeight="1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ht="14.25" customHeight="1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ht="14.25" customHeight="1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5" spans="1:19" ht="6" customHeight="1" x14ac:dyDescent="0.25"/>
    <row r="6" spans="1:19" x14ac:dyDescent="0.25">
      <c r="B6" s="306" t="s">
        <v>81</v>
      </c>
      <c r="C6" s="306"/>
      <c r="D6" s="307" t="s">
        <v>156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ht="29.25" customHeight="1" x14ac:dyDescent="0.25">
      <c r="B7" s="306"/>
      <c r="C7" s="306"/>
      <c r="D7" s="307" t="s">
        <v>159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9.25" customHeight="1" x14ac:dyDescent="0.4">
      <c r="B8" s="309" t="s">
        <v>160</v>
      </c>
      <c r="C8" s="309"/>
      <c r="D8" s="309"/>
      <c r="E8" s="309"/>
      <c r="F8" s="309"/>
      <c r="G8" s="18" t="s">
        <v>339</v>
      </c>
      <c r="I8" s="25" t="s">
        <v>21</v>
      </c>
      <c r="J8" s="25" t="s">
        <v>22</v>
      </c>
      <c r="K8" s="25" t="s">
        <v>76</v>
      </c>
      <c r="L8" s="64">
        <v>0.06</v>
      </c>
      <c r="M8" s="25" t="s">
        <v>603</v>
      </c>
      <c r="N8" s="25">
        <v>1</v>
      </c>
      <c r="O8" s="25" t="s">
        <v>635</v>
      </c>
      <c r="P8" s="25">
        <v>30</v>
      </c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ht="27" customHeight="1" x14ac:dyDescent="0.25">
      <c r="B11" s="19" t="s">
        <v>3</v>
      </c>
      <c r="C11" s="313" t="s">
        <v>342</v>
      </c>
      <c r="D11" s="314"/>
      <c r="E11" s="315"/>
      <c r="F11" s="22" t="s">
        <v>268</v>
      </c>
      <c r="G11" s="127" t="s">
        <v>38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77"/>
      <c r="J12" s="5"/>
      <c r="K12" s="6"/>
      <c r="L12" s="6"/>
      <c r="M12" s="6"/>
      <c r="N12" s="6"/>
      <c r="O12" s="6"/>
      <c r="P12" s="6"/>
      <c r="Q12" s="6"/>
      <c r="R12" s="6"/>
      <c r="S12" s="6"/>
    </row>
    <row r="13" spans="1:19" ht="24.75" x14ac:dyDescent="0.25">
      <c r="A13" s="160" t="s">
        <v>38</v>
      </c>
      <c r="B13" s="15" t="s">
        <v>631</v>
      </c>
      <c r="C13" s="5"/>
      <c r="D13" s="5" t="s">
        <v>632</v>
      </c>
      <c r="E13" s="6">
        <v>134</v>
      </c>
      <c r="F13" s="6">
        <v>2.94</v>
      </c>
      <c r="G13" s="6">
        <f>+F13*E13</f>
        <v>393.96</v>
      </c>
      <c r="I13" s="77" t="s">
        <v>38</v>
      </c>
      <c r="J13" s="5" t="s">
        <v>101</v>
      </c>
      <c r="K13" s="6">
        <f t="shared" ref="K13:K19" si="0">SUM(L13:S13)</f>
        <v>6384.8</v>
      </c>
      <c r="L13" s="6">
        <v>0</v>
      </c>
      <c r="M13" s="6"/>
      <c r="N13" s="6"/>
      <c r="O13" s="6"/>
      <c r="P13" s="6"/>
      <c r="Q13" s="6">
        <f>+G18</f>
        <v>6384.8</v>
      </c>
      <c r="R13" s="6"/>
      <c r="S13" s="6">
        <v>0</v>
      </c>
    </row>
    <row r="14" spans="1:19" ht="36.75" x14ac:dyDescent="0.25">
      <c r="B14" s="15" t="s">
        <v>633</v>
      </c>
      <c r="C14" s="5"/>
      <c r="D14" s="5" t="s">
        <v>124</v>
      </c>
      <c r="E14" s="6">
        <v>482</v>
      </c>
      <c r="F14" s="6">
        <v>1.42</v>
      </c>
      <c r="G14" s="6">
        <f>+F14*E14</f>
        <v>684.43999999999994</v>
      </c>
      <c r="I14" s="77" t="s">
        <v>39</v>
      </c>
      <c r="J14" s="5" t="s">
        <v>101</v>
      </c>
      <c r="K14" s="6">
        <f t="shared" si="0"/>
        <v>195.38</v>
      </c>
      <c r="L14" s="6">
        <v>0</v>
      </c>
      <c r="M14" s="6"/>
      <c r="N14" s="6"/>
      <c r="O14" s="6"/>
      <c r="P14" s="6"/>
      <c r="Q14" s="6">
        <f>+G27</f>
        <v>195.38</v>
      </c>
      <c r="R14" s="6">
        <v>0</v>
      </c>
      <c r="S14" s="6">
        <v>0</v>
      </c>
    </row>
    <row r="15" spans="1:19" ht="36.75" x14ac:dyDescent="0.25">
      <c r="B15" s="15" t="s">
        <v>634</v>
      </c>
      <c r="C15" s="5"/>
      <c r="D15" s="5" t="s">
        <v>124</v>
      </c>
      <c r="E15" s="6">
        <v>99</v>
      </c>
      <c r="F15" s="6">
        <v>53.6</v>
      </c>
      <c r="G15" s="6">
        <f>+F15*E15</f>
        <v>5306.4000000000005</v>
      </c>
      <c r="I15" s="5"/>
      <c r="J15" s="5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B16" s="5"/>
      <c r="C16" s="5"/>
      <c r="D16" s="5"/>
      <c r="E16" s="30"/>
      <c r="F16" s="6"/>
      <c r="G16" s="6">
        <f>+F16*E16</f>
        <v>0</v>
      </c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B17" s="5"/>
      <c r="C17" s="5"/>
      <c r="D17" s="8"/>
      <c r="E17" s="31"/>
      <c r="F17" s="9"/>
      <c r="G17" s="6"/>
      <c r="I17" s="5"/>
      <c r="J17" s="5"/>
      <c r="K17" s="6">
        <f t="shared" si="0"/>
        <v>0</v>
      </c>
      <c r="L17" s="5"/>
      <c r="M17" s="5"/>
      <c r="N17" s="5"/>
      <c r="O17" s="5"/>
      <c r="P17" s="5"/>
      <c r="Q17" s="5"/>
      <c r="R17" s="5"/>
      <c r="S17" s="5"/>
    </row>
    <row r="18" spans="1:19" x14ac:dyDescent="0.25">
      <c r="B18" s="10" t="s">
        <v>2</v>
      </c>
      <c r="C18" s="11"/>
      <c r="D18" s="11"/>
      <c r="E18" s="12"/>
      <c r="F18" s="7"/>
      <c r="G18" s="24">
        <f>SUM(G13:G17)</f>
        <v>6384.8</v>
      </c>
      <c r="I18" s="5"/>
      <c r="J18" s="5"/>
      <c r="K18" s="6">
        <f t="shared" si="0"/>
        <v>0</v>
      </c>
      <c r="L18" s="5"/>
      <c r="M18" s="5"/>
      <c r="N18" s="5"/>
      <c r="O18" s="5"/>
      <c r="P18" s="5"/>
      <c r="Q18" s="5"/>
      <c r="R18" s="5"/>
      <c r="S18" s="5"/>
    </row>
    <row r="19" spans="1:19" x14ac:dyDescent="0.25">
      <c r="I19" s="5"/>
      <c r="J19" s="5"/>
      <c r="K19" s="6">
        <f t="shared" si="0"/>
        <v>0</v>
      </c>
      <c r="L19" s="5"/>
      <c r="M19" s="5"/>
      <c r="N19" s="5"/>
      <c r="O19" s="5"/>
      <c r="P19" s="5"/>
      <c r="Q19" s="5"/>
      <c r="R19" s="5"/>
      <c r="S19" s="5"/>
    </row>
    <row r="20" spans="1:19" x14ac:dyDescent="0.25">
      <c r="B20" s="19" t="s">
        <v>3</v>
      </c>
      <c r="C20" s="20" t="s">
        <v>100</v>
      </c>
      <c r="D20" s="21"/>
      <c r="E20" s="21"/>
      <c r="F20" s="22" t="s">
        <v>268</v>
      </c>
      <c r="G20" s="22" t="s">
        <v>39</v>
      </c>
      <c r="I20" s="17" t="s">
        <v>2</v>
      </c>
      <c r="J20" s="14"/>
      <c r="K20" s="16">
        <f>SUM(K12:K19)</f>
        <v>6580.18</v>
      </c>
      <c r="L20" s="16">
        <f t="shared" ref="L20:S20" si="1">SUM(L12:L19)</f>
        <v>0</v>
      </c>
      <c r="M20" s="16">
        <f t="shared" si="1"/>
        <v>0</v>
      </c>
      <c r="N20" s="16">
        <f t="shared" si="1"/>
        <v>0</v>
      </c>
      <c r="O20" s="16">
        <f t="shared" si="1"/>
        <v>0</v>
      </c>
      <c r="P20" s="16">
        <f t="shared" si="1"/>
        <v>0</v>
      </c>
      <c r="Q20" s="16">
        <f t="shared" si="1"/>
        <v>6580.18</v>
      </c>
      <c r="R20" s="16">
        <f t="shared" si="1"/>
        <v>0</v>
      </c>
      <c r="S20" s="16">
        <f t="shared" si="1"/>
        <v>0</v>
      </c>
    </row>
    <row r="21" spans="1:19" ht="24" x14ac:dyDescent="0.25">
      <c r="B21" s="3" t="s">
        <v>13</v>
      </c>
      <c r="C21" s="4" t="s">
        <v>11</v>
      </c>
      <c r="D21" s="4" t="s">
        <v>9</v>
      </c>
      <c r="E21" s="4" t="s">
        <v>102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1:19" ht="24.75" x14ac:dyDescent="0.25">
      <c r="A22" s="160" t="s">
        <v>39</v>
      </c>
      <c r="B22" s="15" t="s">
        <v>631</v>
      </c>
      <c r="C22" s="5"/>
      <c r="D22" s="5" t="s">
        <v>632</v>
      </c>
      <c r="E22" s="6">
        <v>5</v>
      </c>
      <c r="F22" s="6">
        <v>2.94</v>
      </c>
      <c r="G22" s="6">
        <f>+F22*E22</f>
        <v>14.7</v>
      </c>
      <c r="I22" s="113" t="s">
        <v>265</v>
      </c>
      <c r="J22" s="114"/>
      <c r="K22" s="114"/>
      <c r="L22" s="115"/>
      <c r="M22" s="29"/>
    </row>
    <row r="23" spans="1:19" ht="36.75" x14ac:dyDescent="0.25">
      <c r="B23" s="15" t="s">
        <v>633</v>
      </c>
      <c r="C23" s="5"/>
      <c r="D23" s="5" t="s">
        <v>124</v>
      </c>
      <c r="E23" s="6">
        <v>14</v>
      </c>
      <c r="F23" s="6">
        <v>1.42</v>
      </c>
      <c r="G23" s="6">
        <f>+F23*E23</f>
        <v>19.88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755</v>
      </c>
    </row>
    <row r="24" spans="1:19" ht="36.75" x14ac:dyDescent="0.25">
      <c r="B24" s="15" t="s">
        <v>634</v>
      </c>
      <c r="C24" s="5"/>
      <c r="D24" s="5" t="s">
        <v>124</v>
      </c>
      <c r="E24" s="6">
        <v>3</v>
      </c>
      <c r="F24" s="6">
        <v>53.6</v>
      </c>
      <c r="G24" s="6">
        <f>+F24*E24</f>
        <v>160.80000000000001</v>
      </c>
      <c r="I24" s="62" t="str">
        <f>+I13</f>
        <v>IN12</v>
      </c>
      <c r="J24" s="25"/>
      <c r="K24" s="25"/>
      <c r="L24" s="120">
        <v>0.06</v>
      </c>
      <c r="M24" s="25" t="s">
        <v>759</v>
      </c>
    </row>
    <row r="25" spans="1:19" x14ac:dyDescent="0.25">
      <c r="B25" s="5"/>
      <c r="C25" s="5"/>
      <c r="D25" s="5"/>
      <c r="E25" s="30"/>
      <c r="F25" s="6"/>
      <c r="G25" s="6">
        <f>+F25*E25</f>
        <v>0</v>
      </c>
      <c r="I25" s="62" t="str">
        <f>+I14</f>
        <v>IN13</v>
      </c>
      <c r="J25" s="25"/>
      <c r="K25" s="25"/>
      <c r="L25" s="120">
        <v>0.06</v>
      </c>
      <c r="M25" s="25" t="s">
        <v>759</v>
      </c>
    </row>
    <row r="26" spans="1:19" x14ac:dyDescent="0.25">
      <c r="B26" s="5"/>
      <c r="C26" s="5"/>
      <c r="D26" s="8"/>
      <c r="E26" s="31"/>
      <c r="F26" s="9"/>
      <c r="G26" s="6"/>
      <c r="I26" s="177"/>
      <c r="J26" s="182"/>
      <c r="K26" s="183"/>
      <c r="L26" s="27"/>
      <c r="M26" s="27"/>
    </row>
    <row r="27" spans="1:19" x14ac:dyDescent="0.25">
      <c r="B27" s="10" t="s">
        <v>2</v>
      </c>
      <c r="C27" s="11"/>
      <c r="D27" s="11"/>
      <c r="E27" s="12"/>
      <c r="F27" s="7"/>
      <c r="G27" s="24">
        <f>SUM(G22:G26)</f>
        <v>195.38</v>
      </c>
    </row>
  </sheetData>
  <mergeCells count="12">
    <mergeCell ref="C11:E11"/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17761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17761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S27"/>
  <sheetViews>
    <sheetView showGridLines="0" workbookViewId="0">
      <pane xSplit="8" ySplit="11" topLeftCell="L21" activePane="bottomRight" state="frozen"/>
      <selection activeCell="F25" sqref="F25"/>
      <selection pane="topRight" activeCell="F25" sqref="F25"/>
      <selection pane="bottomLeft" activeCell="F25" sqref="F25"/>
      <selection pane="bottomRight" activeCell="E15" sqref="E15"/>
    </sheetView>
  </sheetViews>
  <sheetFormatPr baseColWidth="10" defaultRowHeight="15" x14ac:dyDescent="0.25"/>
  <cols>
    <col min="1" max="1" width="6.85546875" customWidth="1"/>
    <col min="2" max="2" width="21" customWidth="1"/>
    <col min="4" max="4" width="15.7109375" bestFit="1" customWidth="1"/>
    <col min="6" max="6" width="14.28515625" customWidth="1"/>
    <col min="8" max="8" width="2.85546875" customWidth="1"/>
    <col min="9" max="9" width="12.5703125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81</v>
      </c>
      <c r="C6" s="306"/>
      <c r="D6" s="307" t="s">
        <v>156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ht="37.5" customHeight="1" x14ac:dyDescent="0.25">
      <c r="B7" s="306"/>
      <c r="C7" s="306"/>
      <c r="D7" s="307" t="s">
        <v>159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161</v>
      </c>
      <c r="C8" s="309"/>
      <c r="D8" s="309"/>
      <c r="E8" s="309"/>
      <c r="F8" s="309"/>
      <c r="G8" s="18" t="s">
        <v>344</v>
      </c>
      <c r="I8" s="25" t="s">
        <v>21</v>
      </c>
      <c r="J8" s="25" t="s">
        <v>22</v>
      </c>
      <c r="K8" s="25" t="s">
        <v>608</v>
      </c>
      <c r="L8" s="64">
        <v>0.06</v>
      </c>
      <c r="M8" s="25" t="s">
        <v>609</v>
      </c>
      <c r="N8" s="25">
        <v>1.5</v>
      </c>
      <c r="O8" s="25" t="s">
        <v>610</v>
      </c>
      <c r="P8" s="25" t="s">
        <v>638</v>
      </c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 t="s">
        <v>100</v>
      </c>
      <c r="D11" s="21"/>
      <c r="E11" s="21"/>
      <c r="F11" s="22" t="s">
        <v>268</v>
      </c>
      <c r="G11" s="22" t="s">
        <v>760</v>
      </c>
      <c r="I11" s="58"/>
      <c r="J11" s="59"/>
      <c r="K11" s="59"/>
      <c r="L11" s="59"/>
      <c r="M11" s="59"/>
      <c r="N11" s="59"/>
      <c r="O11" s="59"/>
      <c r="P11" s="59"/>
      <c r="Q11" s="59"/>
      <c r="R11" s="59"/>
      <c r="S11" s="60"/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19" t="s">
        <v>3</v>
      </c>
      <c r="J12" s="19" t="s">
        <v>1</v>
      </c>
      <c r="K12" s="19" t="s">
        <v>2</v>
      </c>
      <c r="L12" s="19">
        <v>2018</v>
      </c>
      <c r="M12" s="19">
        <v>2019</v>
      </c>
      <c r="N12" s="19">
        <v>2020</v>
      </c>
      <c r="O12" s="19">
        <v>2021</v>
      </c>
      <c r="P12" s="19">
        <v>2022</v>
      </c>
      <c r="Q12" s="19" t="s">
        <v>0</v>
      </c>
      <c r="R12" s="19" t="s">
        <v>25</v>
      </c>
      <c r="S12" s="19" t="s">
        <v>26</v>
      </c>
    </row>
    <row r="13" spans="1:19" ht="31.5" customHeight="1" x14ac:dyDescent="0.25">
      <c r="A13" s="160" t="s">
        <v>341</v>
      </c>
      <c r="B13" s="82" t="s">
        <v>330</v>
      </c>
      <c r="C13" s="5"/>
      <c r="D13" s="5" t="s">
        <v>686</v>
      </c>
      <c r="E13" s="112">
        <v>1</v>
      </c>
      <c r="F13" s="112">
        <v>1000</v>
      </c>
      <c r="G13" s="6">
        <f t="shared" ref="G13:G18" si="0">+F13*E13</f>
        <v>1000</v>
      </c>
      <c r="I13" s="15" t="str">
        <f>+A13</f>
        <v>CA20</v>
      </c>
      <c r="J13" s="5" t="s">
        <v>118</v>
      </c>
      <c r="K13" s="6">
        <f t="shared" ref="K13:K18" si="1">SUM(L13:S13)</f>
        <v>1000</v>
      </c>
      <c r="L13" s="6">
        <v>500</v>
      </c>
      <c r="M13" s="6">
        <f>+L13</f>
        <v>500</v>
      </c>
      <c r="N13" s="6"/>
      <c r="O13" s="6"/>
      <c r="P13" s="6"/>
      <c r="Q13" s="6"/>
      <c r="R13" s="6"/>
      <c r="S13" s="6"/>
    </row>
    <row r="14" spans="1:19" ht="45.75" x14ac:dyDescent="0.25">
      <c r="A14" s="160" t="s">
        <v>345</v>
      </c>
      <c r="B14" s="82" t="s">
        <v>712</v>
      </c>
      <c r="C14" s="5"/>
      <c r="D14" s="5" t="s">
        <v>90</v>
      </c>
      <c r="E14" s="112">
        <v>1</v>
      </c>
      <c r="F14" s="112">
        <v>1000</v>
      </c>
      <c r="G14" s="6">
        <f t="shared" si="0"/>
        <v>1000</v>
      </c>
      <c r="I14" s="15" t="str">
        <f>+A14</f>
        <v>CA21</v>
      </c>
      <c r="J14" s="5" t="s">
        <v>118</v>
      </c>
      <c r="K14" s="6">
        <f t="shared" si="1"/>
        <v>1000</v>
      </c>
      <c r="L14" s="6"/>
      <c r="M14" s="6">
        <f>+F14*0.5</f>
        <v>500</v>
      </c>
      <c r="N14" s="6">
        <f>+M14</f>
        <v>500</v>
      </c>
      <c r="O14" s="6"/>
      <c r="P14" s="6"/>
      <c r="Q14" s="6"/>
      <c r="R14" s="6"/>
      <c r="S14" s="6"/>
    </row>
    <row r="15" spans="1:19" ht="50.25" customHeight="1" x14ac:dyDescent="0.25">
      <c r="A15" s="160" t="s">
        <v>347</v>
      </c>
      <c r="B15" s="82" t="s">
        <v>711</v>
      </c>
      <c r="C15" s="5"/>
      <c r="D15" s="5" t="s">
        <v>686</v>
      </c>
      <c r="E15" s="181">
        <v>1</v>
      </c>
      <c r="F15" s="112">
        <v>1015</v>
      </c>
      <c r="G15" s="6">
        <f t="shared" si="0"/>
        <v>1015</v>
      </c>
      <c r="I15" s="15" t="str">
        <f>+A15</f>
        <v>CA22</v>
      </c>
      <c r="J15" s="5" t="s">
        <v>101</v>
      </c>
      <c r="K15" s="6">
        <f t="shared" si="1"/>
        <v>1015</v>
      </c>
      <c r="L15" s="6"/>
      <c r="M15" s="6">
        <f>+G15*0.5</f>
        <v>507.5</v>
      </c>
      <c r="N15" s="6">
        <f>+M15</f>
        <v>507.5</v>
      </c>
      <c r="O15" s="6"/>
      <c r="P15" s="6"/>
      <c r="Q15" s="6"/>
      <c r="R15" s="6"/>
      <c r="S15" s="6"/>
    </row>
    <row r="16" spans="1:19" ht="57" x14ac:dyDescent="0.25">
      <c r="A16" s="77" t="s">
        <v>40</v>
      </c>
      <c r="B16" s="62" t="s">
        <v>628</v>
      </c>
      <c r="C16" s="5" t="s">
        <v>606</v>
      </c>
      <c r="D16" s="5" t="s">
        <v>607</v>
      </c>
      <c r="E16" s="181">
        <v>30</v>
      </c>
      <c r="F16" s="112">
        <v>40</v>
      </c>
      <c r="G16" s="6">
        <f t="shared" si="0"/>
        <v>1200</v>
      </c>
      <c r="I16" s="15" t="str">
        <f>+A16</f>
        <v>IN14</v>
      </c>
      <c r="J16" s="5" t="s">
        <v>101</v>
      </c>
      <c r="K16" s="6">
        <f t="shared" si="1"/>
        <v>1200</v>
      </c>
      <c r="L16" s="6"/>
      <c r="M16" s="6"/>
      <c r="N16" s="6"/>
      <c r="O16" s="6">
        <f>+G16*0.5</f>
        <v>600</v>
      </c>
      <c r="P16" s="6">
        <f>+O16</f>
        <v>600</v>
      </c>
      <c r="Q16" s="6"/>
      <c r="R16" s="6"/>
      <c r="S16" s="6"/>
    </row>
    <row r="17" spans="1:19" ht="68.25" x14ac:dyDescent="0.25">
      <c r="A17" s="77" t="s">
        <v>41</v>
      </c>
      <c r="B17" s="62" t="s">
        <v>629</v>
      </c>
      <c r="C17" s="5" t="s">
        <v>606</v>
      </c>
      <c r="D17" s="5" t="s">
        <v>607</v>
      </c>
      <c r="E17" s="30">
        <v>30</v>
      </c>
      <c r="F17" s="6">
        <v>40</v>
      </c>
      <c r="G17" s="6">
        <f t="shared" si="0"/>
        <v>1200</v>
      </c>
      <c r="I17" s="15" t="str">
        <f>+A17</f>
        <v>IN15</v>
      </c>
      <c r="J17" s="5" t="s">
        <v>101</v>
      </c>
      <c r="K17" s="6">
        <f t="shared" si="1"/>
        <v>1200</v>
      </c>
      <c r="L17" s="6"/>
      <c r="M17" s="6"/>
      <c r="N17" s="6">
        <f>+G17*0.5</f>
        <v>600</v>
      </c>
      <c r="O17" s="6">
        <f>+G17*0.5</f>
        <v>600</v>
      </c>
      <c r="P17" s="6"/>
      <c r="Q17" s="6"/>
      <c r="R17" s="6"/>
      <c r="S17" s="6"/>
    </row>
    <row r="18" spans="1:19" x14ac:dyDescent="0.25">
      <c r="B18" s="8"/>
      <c r="C18" s="8"/>
      <c r="D18" s="8"/>
      <c r="E18" s="9"/>
      <c r="F18" s="9"/>
      <c r="G18" s="6">
        <f t="shared" si="0"/>
        <v>0</v>
      </c>
      <c r="I18" s="5"/>
      <c r="J18" s="5"/>
      <c r="K18" s="6">
        <f t="shared" si="1"/>
        <v>0</v>
      </c>
      <c r="L18" s="5"/>
      <c r="M18" s="5"/>
      <c r="N18" s="5"/>
      <c r="O18" s="5"/>
      <c r="P18" s="5"/>
      <c r="Q18" s="5"/>
      <c r="R18" s="5"/>
      <c r="S18" s="5"/>
    </row>
    <row r="19" spans="1:19" x14ac:dyDescent="0.25">
      <c r="B19" s="10" t="s">
        <v>2</v>
      </c>
      <c r="C19" s="11"/>
      <c r="D19" s="11"/>
      <c r="E19" s="12"/>
      <c r="F19" s="7"/>
      <c r="G19" s="24">
        <f>SUM(G13:G18)</f>
        <v>5415</v>
      </c>
      <c r="I19" s="17" t="s">
        <v>2</v>
      </c>
      <c r="J19" s="14"/>
      <c r="K19" s="16">
        <f t="shared" ref="K19:S19" si="2">SUM(K13:K18)</f>
        <v>5415</v>
      </c>
      <c r="L19" s="16">
        <f t="shared" si="2"/>
        <v>500</v>
      </c>
      <c r="M19" s="16">
        <f t="shared" si="2"/>
        <v>1507.5</v>
      </c>
      <c r="N19" s="16">
        <f t="shared" si="2"/>
        <v>1607.5</v>
      </c>
      <c r="O19" s="16">
        <f t="shared" si="2"/>
        <v>1200</v>
      </c>
      <c r="P19" s="16">
        <f t="shared" si="2"/>
        <v>600</v>
      </c>
      <c r="Q19" s="16">
        <f t="shared" si="2"/>
        <v>0</v>
      </c>
      <c r="R19" s="16">
        <f t="shared" si="2"/>
        <v>0</v>
      </c>
      <c r="S19" s="16">
        <f t="shared" si="2"/>
        <v>0</v>
      </c>
    </row>
    <row r="20" spans="1:19" x14ac:dyDescent="0.25">
      <c r="I20" s="13"/>
      <c r="J20" s="13"/>
      <c r="K20" s="13"/>
      <c r="L20" s="13"/>
      <c r="M20" s="13"/>
      <c r="N20" s="13"/>
      <c r="O20" s="13"/>
      <c r="P20" s="13"/>
      <c r="Q20" s="13"/>
    </row>
    <row r="21" spans="1:19" x14ac:dyDescent="0.25">
      <c r="I21" s="113" t="s">
        <v>265</v>
      </c>
      <c r="J21" s="114"/>
      <c r="K21" s="114"/>
      <c r="L21" s="115"/>
      <c r="M21" s="29"/>
      <c r="N21" s="13"/>
      <c r="O21" s="13"/>
      <c r="P21" s="13"/>
      <c r="Q21" s="13"/>
    </row>
    <row r="22" spans="1:19" x14ac:dyDescent="0.25">
      <c r="I22" s="29" t="s">
        <v>3</v>
      </c>
      <c r="J22" s="29" t="s">
        <v>582</v>
      </c>
      <c r="K22" s="29" t="s">
        <v>78</v>
      </c>
      <c r="L22" s="29" t="s">
        <v>80</v>
      </c>
      <c r="M22" s="29" t="s">
        <v>755</v>
      </c>
    </row>
    <row r="23" spans="1:19" x14ac:dyDescent="0.25">
      <c r="I23" s="62" t="str">
        <f>+I13</f>
        <v>CA20</v>
      </c>
      <c r="J23" s="25"/>
      <c r="K23" s="25"/>
      <c r="L23" s="120">
        <v>0.14990000000000001</v>
      </c>
      <c r="M23" s="25" t="s">
        <v>756</v>
      </c>
    </row>
    <row r="24" spans="1:19" x14ac:dyDescent="0.25">
      <c r="I24" s="62" t="str">
        <f t="shared" ref="I24:I27" si="3">+I14</f>
        <v>CA21</v>
      </c>
      <c r="J24" s="25"/>
      <c r="K24" s="25"/>
      <c r="L24" s="120">
        <v>7.2800000000000004E-2</v>
      </c>
      <c r="M24" s="25" t="s">
        <v>756</v>
      </c>
    </row>
    <row r="25" spans="1:19" x14ac:dyDescent="0.25">
      <c r="I25" s="62" t="str">
        <f t="shared" si="3"/>
        <v>CA22</v>
      </c>
      <c r="J25" s="2"/>
      <c r="K25" s="2"/>
      <c r="L25" s="118">
        <v>6.0999999999999999E-2</v>
      </c>
      <c r="M25" s="25" t="s">
        <v>756</v>
      </c>
    </row>
    <row r="26" spans="1:19" x14ac:dyDescent="0.25">
      <c r="I26" s="62" t="str">
        <f t="shared" si="3"/>
        <v>IN14</v>
      </c>
      <c r="J26" s="2"/>
      <c r="K26" s="2"/>
      <c r="L26" s="118">
        <f>+L25</f>
        <v>6.0999999999999999E-2</v>
      </c>
      <c r="M26" s="25" t="s">
        <v>761</v>
      </c>
    </row>
    <row r="27" spans="1:19" x14ac:dyDescent="0.25">
      <c r="I27" s="62" t="str">
        <f t="shared" si="3"/>
        <v>IN15</v>
      </c>
      <c r="J27" s="2"/>
      <c r="K27" s="2"/>
      <c r="L27" s="118">
        <f>+L26</f>
        <v>6.0999999999999999E-2</v>
      </c>
      <c r="M27" s="25" t="s">
        <v>761</v>
      </c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Brush" shapeId="155649" r:id="rId3">
          <objectPr defaultSize="0" autoPict="0" r:id="rId4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55649" r:id="rId3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2:S28"/>
  <sheetViews>
    <sheetView showGridLines="0" workbookViewId="0">
      <pane xSplit="8" ySplit="11" topLeftCell="I18" activePane="bottomRight" state="frozen"/>
      <selection activeCell="F25" sqref="F25"/>
      <selection pane="topRight" activeCell="F25" sqref="F25"/>
      <selection pane="bottomLeft" activeCell="F25" sqref="F25"/>
      <selection pane="bottomRight" activeCell="I13" sqref="I13:I15"/>
    </sheetView>
  </sheetViews>
  <sheetFormatPr baseColWidth="10" defaultRowHeight="15" x14ac:dyDescent="0.25"/>
  <cols>
    <col min="1" max="1" width="4" customWidth="1"/>
    <col min="2" max="2" width="22.7109375" customWidth="1"/>
    <col min="6" max="6" width="14.28515625" customWidth="1"/>
    <col min="8" max="8" width="2.85546875" customWidth="1"/>
    <col min="9" max="9" width="12.5703125" bestFit="1" customWidth="1"/>
  </cols>
  <sheetData>
    <row r="2" spans="1:19" x14ac:dyDescent="0.25">
      <c r="B2" s="217"/>
      <c r="C2" s="294" t="s">
        <v>19</v>
      </c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6"/>
    </row>
    <row r="3" spans="1:19" x14ac:dyDescent="0.25">
      <c r="B3" s="217"/>
      <c r="C3" s="299" t="s">
        <v>18</v>
      </c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1"/>
    </row>
    <row r="4" spans="1:19" x14ac:dyDescent="0.25">
      <c r="B4" s="217"/>
      <c r="C4" s="302" t="s">
        <v>20</v>
      </c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4"/>
    </row>
    <row r="6" spans="1:19" x14ac:dyDescent="0.25">
      <c r="B6" s="306" t="s">
        <v>81</v>
      </c>
      <c r="C6" s="306"/>
      <c r="D6" s="307" t="s">
        <v>639</v>
      </c>
      <c r="E6" s="307"/>
      <c r="F6" s="307"/>
      <c r="G6" s="307"/>
      <c r="I6" s="293" t="s">
        <v>24</v>
      </c>
      <c r="J6" s="293"/>
      <c r="K6" s="293"/>
      <c r="L6" s="293"/>
      <c r="M6" s="293"/>
      <c r="N6" s="293"/>
      <c r="O6" s="293"/>
      <c r="P6" s="293"/>
      <c r="Q6" s="293"/>
      <c r="R6" s="293"/>
      <c r="S6" s="293"/>
    </row>
    <row r="7" spans="1:19" x14ac:dyDescent="0.25">
      <c r="B7" s="306"/>
      <c r="C7" s="306"/>
      <c r="D7" s="307" t="s">
        <v>164</v>
      </c>
      <c r="E7" s="307"/>
      <c r="F7" s="307"/>
      <c r="G7" s="307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</row>
    <row r="8" spans="1:19" ht="26.25" x14ac:dyDescent="0.4">
      <c r="B8" s="309" t="s">
        <v>162</v>
      </c>
      <c r="C8" s="309"/>
      <c r="D8" s="309"/>
      <c r="E8" s="309"/>
      <c r="F8" s="309"/>
      <c r="G8" s="18" t="s">
        <v>350</v>
      </c>
      <c r="I8" s="25" t="s">
        <v>21</v>
      </c>
      <c r="J8" s="25" t="s">
        <v>91</v>
      </c>
      <c r="K8" s="25" t="s">
        <v>76</v>
      </c>
      <c r="L8" s="64">
        <v>0.06</v>
      </c>
      <c r="M8" s="25" t="s">
        <v>581</v>
      </c>
      <c r="N8" s="25">
        <v>10</v>
      </c>
      <c r="O8" s="25" t="s">
        <v>625</v>
      </c>
      <c r="P8" s="25"/>
      <c r="Q8" s="25"/>
      <c r="R8" s="2"/>
      <c r="S8" s="2"/>
    </row>
    <row r="10" spans="1:19" x14ac:dyDescent="0.25">
      <c r="B10" s="218" t="s">
        <v>16</v>
      </c>
      <c r="C10" s="218"/>
      <c r="D10" s="218"/>
      <c r="E10" s="218"/>
      <c r="F10" s="218"/>
      <c r="G10" s="218"/>
      <c r="I10" s="313" t="s">
        <v>15</v>
      </c>
      <c r="J10" s="314"/>
      <c r="K10" s="314"/>
      <c r="L10" s="314"/>
      <c r="M10" s="314"/>
      <c r="N10" s="314"/>
      <c r="O10" s="314"/>
      <c r="P10" s="314"/>
      <c r="Q10" s="314"/>
      <c r="R10" s="314"/>
      <c r="S10" s="315"/>
    </row>
    <row r="11" spans="1:19" x14ac:dyDescent="0.25">
      <c r="B11" s="19" t="s">
        <v>3</v>
      </c>
      <c r="C11" s="20"/>
      <c r="D11" s="21"/>
      <c r="E11" s="21"/>
      <c r="F11" s="22" t="s">
        <v>757</v>
      </c>
      <c r="G11" s="22" t="s">
        <v>758</v>
      </c>
      <c r="I11" s="19" t="s">
        <v>3</v>
      </c>
      <c r="J11" s="19" t="s">
        <v>1</v>
      </c>
      <c r="K11" s="19" t="s">
        <v>2</v>
      </c>
      <c r="L11" s="19">
        <v>2018</v>
      </c>
      <c r="M11" s="19">
        <v>2019</v>
      </c>
      <c r="N11" s="19">
        <v>2020</v>
      </c>
      <c r="O11" s="19">
        <v>2021</v>
      </c>
      <c r="P11" s="19">
        <v>2022</v>
      </c>
      <c r="Q11" s="19" t="s">
        <v>0</v>
      </c>
      <c r="R11" s="19" t="s">
        <v>25</v>
      </c>
      <c r="S11" s="19" t="s">
        <v>26</v>
      </c>
    </row>
    <row r="12" spans="1:19" ht="23.25" x14ac:dyDescent="0.25">
      <c r="B12" s="3" t="s">
        <v>13</v>
      </c>
      <c r="C12" s="4" t="s">
        <v>11</v>
      </c>
      <c r="D12" s="4" t="s">
        <v>9</v>
      </c>
      <c r="E12" s="4" t="s">
        <v>10</v>
      </c>
      <c r="F12" s="4" t="s">
        <v>14</v>
      </c>
      <c r="G12" s="4" t="s">
        <v>12</v>
      </c>
      <c r="H12" s="1"/>
      <c r="I12" s="77"/>
      <c r="J12" s="5"/>
      <c r="K12" s="6"/>
      <c r="L12" s="6"/>
      <c r="M12" s="6"/>
      <c r="N12" s="6"/>
      <c r="O12" s="6"/>
      <c r="P12" s="6"/>
      <c r="Q12" s="6"/>
      <c r="R12" s="6"/>
      <c r="S12" s="6"/>
    </row>
    <row r="13" spans="1:19" ht="68.25" x14ac:dyDescent="0.25">
      <c r="A13" s="160" t="s">
        <v>348</v>
      </c>
      <c r="B13" s="80" t="s">
        <v>640</v>
      </c>
      <c r="C13" s="5"/>
      <c r="D13" s="5" t="s">
        <v>90</v>
      </c>
      <c r="E13" s="6">
        <v>1</v>
      </c>
      <c r="F13" s="129">
        <v>550</v>
      </c>
      <c r="G13" s="6">
        <f>+F13*E13</f>
        <v>550</v>
      </c>
      <c r="I13" s="77" t="str">
        <f>+A13</f>
        <v>CA23</v>
      </c>
      <c r="J13" s="5" t="s">
        <v>641</v>
      </c>
      <c r="K13" s="6">
        <f>SUM(L13:S13)</f>
        <v>550</v>
      </c>
      <c r="L13" s="6">
        <f>+F13*0.5</f>
        <v>275</v>
      </c>
      <c r="M13" s="6">
        <f>+L13</f>
        <v>275</v>
      </c>
      <c r="N13" s="6"/>
      <c r="O13" s="6"/>
      <c r="P13" s="6"/>
      <c r="Q13" s="6"/>
      <c r="R13" s="6"/>
      <c r="S13" s="6"/>
    </row>
    <row r="14" spans="1:19" ht="45.75" x14ac:dyDescent="0.25">
      <c r="A14" s="160" t="s">
        <v>352</v>
      </c>
      <c r="B14" s="80" t="s">
        <v>357</v>
      </c>
      <c r="C14" s="5"/>
      <c r="D14" s="5" t="s">
        <v>90</v>
      </c>
      <c r="E14" s="6">
        <v>1</v>
      </c>
      <c r="F14" s="129">
        <v>200</v>
      </c>
      <c r="G14" s="6">
        <f>+F14*E14</f>
        <v>200</v>
      </c>
      <c r="I14" s="160" t="str">
        <f t="shared" ref="I14:I15" si="0">+A14</f>
        <v>CA24</v>
      </c>
      <c r="J14" s="5" t="s">
        <v>641</v>
      </c>
      <c r="K14" s="6">
        <f>SUM(L14:S14)</f>
        <v>200</v>
      </c>
      <c r="L14" s="6"/>
      <c r="M14" s="6">
        <f>+F14</f>
        <v>200</v>
      </c>
      <c r="N14" s="6"/>
      <c r="O14" s="6"/>
      <c r="P14" s="6"/>
      <c r="Q14" s="6"/>
      <c r="R14" s="6"/>
      <c r="S14" s="6"/>
    </row>
    <row r="15" spans="1:19" ht="57" x14ac:dyDescent="0.25">
      <c r="A15" s="160" t="s">
        <v>355</v>
      </c>
      <c r="B15" s="80" t="s">
        <v>360</v>
      </c>
      <c r="C15" s="5"/>
      <c r="D15" s="5" t="s">
        <v>90</v>
      </c>
      <c r="E15" s="6">
        <v>1</v>
      </c>
      <c r="F15" s="129">
        <v>450</v>
      </c>
      <c r="G15" s="6">
        <f>+F15*E15</f>
        <v>450</v>
      </c>
      <c r="I15" s="160" t="str">
        <f t="shared" si="0"/>
        <v>CA25</v>
      </c>
      <c r="J15" s="5" t="s">
        <v>641</v>
      </c>
      <c r="K15" s="6">
        <f>SUM(L15:S15)</f>
        <v>450</v>
      </c>
      <c r="L15" s="6"/>
      <c r="M15" s="6"/>
      <c r="N15" s="6">
        <f>+F15*0.5</f>
        <v>225</v>
      </c>
      <c r="O15" s="6">
        <f>+N15</f>
        <v>225</v>
      </c>
      <c r="P15" s="6"/>
      <c r="Q15" s="6"/>
      <c r="R15" s="6"/>
      <c r="S15" s="6"/>
    </row>
    <row r="16" spans="1:19" x14ac:dyDescent="0.25">
      <c r="B16" s="141"/>
      <c r="C16" s="5"/>
      <c r="D16" s="5"/>
      <c r="E16" s="30"/>
      <c r="F16" s="129"/>
      <c r="G16" s="6">
        <f>+F16*E16</f>
        <v>0</v>
      </c>
      <c r="I16" s="15" t="str">
        <f>+G20</f>
        <v>IN16</v>
      </c>
      <c r="J16" s="5" t="s">
        <v>641</v>
      </c>
      <c r="K16" s="6"/>
      <c r="L16" s="6"/>
      <c r="M16" s="6">
        <f>+G28*0.5</f>
        <v>202.3</v>
      </c>
      <c r="N16" s="6">
        <f>+M16</f>
        <v>202.3</v>
      </c>
      <c r="O16" s="6"/>
      <c r="P16" s="6"/>
      <c r="Q16" s="6"/>
      <c r="R16" s="6"/>
      <c r="S16" s="6"/>
    </row>
    <row r="17" spans="2:19" x14ac:dyDescent="0.25">
      <c r="B17" s="8"/>
      <c r="C17" s="8"/>
      <c r="D17" s="8"/>
      <c r="E17" s="9"/>
      <c r="F17" s="9"/>
      <c r="G17" s="6">
        <f>+F17*E17</f>
        <v>0</v>
      </c>
      <c r="I17" s="5"/>
      <c r="J17" s="5"/>
      <c r="K17" s="6"/>
      <c r="L17" s="6"/>
      <c r="M17" s="6"/>
      <c r="N17" s="6"/>
      <c r="O17" s="6"/>
      <c r="P17" s="6"/>
      <c r="Q17" s="5"/>
      <c r="R17" s="5"/>
      <c r="S17" s="5"/>
    </row>
    <row r="18" spans="2:19" x14ac:dyDescent="0.25">
      <c r="B18" s="10" t="s">
        <v>2</v>
      </c>
      <c r="C18" s="11"/>
      <c r="D18" s="11"/>
      <c r="E18" s="12"/>
      <c r="F18" s="7"/>
      <c r="G18" s="24">
        <f>SUM(G13:G17)</f>
        <v>1200</v>
      </c>
      <c r="I18" s="15"/>
      <c r="J18" s="5"/>
      <c r="K18" s="6"/>
      <c r="L18" s="6"/>
      <c r="M18" s="6"/>
      <c r="N18" s="6"/>
      <c r="O18" s="6"/>
      <c r="P18" s="6"/>
      <c r="Q18" s="6"/>
      <c r="R18" s="6"/>
      <c r="S18" s="6"/>
    </row>
    <row r="19" spans="2:19" x14ac:dyDescent="0.25">
      <c r="I19" s="5"/>
      <c r="J19" s="5"/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25">
      <c r="B20" s="19" t="s">
        <v>3</v>
      </c>
      <c r="C20" s="20" t="s">
        <v>353</v>
      </c>
      <c r="D20" s="21"/>
      <c r="E20" s="21"/>
      <c r="F20" s="22" t="s">
        <v>757</v>
      </c>
      <c r="G20" s="22" t="s">
        <v>42</v>
      </c>
      <c r="I20" s="17" t="s">
        <v>2</v>
      </c>
      <c r="J20" s="14"/>
      <c r="K20" s="16">
        <f>SUM(K12:K19)</f>
        <v>1200</v>
      </c>
      <c r="L20" s="16">
        <f t="shared" ref="L20:S20" si="1">SUM(L12:L19)</f>
        <v>275</v>
      </c>
      <c r="M20" s="16">
        <f t="shared" si="1"/>
        <v>677.3</v>
      </c>
      <c r="N20" s="16">
        <f t="shared" si="1"/>
        <v>427.3</v>
      </c>
      <c r="O20" s="16">
        <f t="shared" si="1"/>
        <v>225</v>
      </c>
      <c r="P20" s="16">
        <f t="shared" si="1"/>
        <v>0</v>
      </c>
      <c r="Q20" s="16">
        <f t="shared" si="1"/>
        <v>0</v>
      </c>
      <c r="R20" s="16">
        <f t="shared" si="1"/>
        <v>0</v>
      </c>
      <c r="S20" s="16">
        <f t="shared" si="1"/>
        <v>0</v>
      </c>
    </row>
    <row r="21" spans="2:19" ht="23.25" x14ac:dyDescent="0.25">
      <c r="B21" s="3" t="s">
        <v>13</v>
      </c>
      <c r="C21" s="4" t="s">
        <v>11</v>
      </c>
      <c r="D21" s="4" t="s">
        <v>9</v>
      </c>
      <c r="E21" s="4" t="s">
        <v>104</v>
      </c>
      <c r="F21" s="4" t="s">
        <v>14</v>
      </c>
      <c r="G21" s="4" t="s">
        <v>12</v>
      </c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25">
      <c r="B22" s="141" t="s">
        <v>87</v>
      </c>
      <c r="C22" s="5"/>
      <c r="D22" s="5" t="s">
        <v>611</v>
      </c>
      <c r="E22" s="6">
        <v>4000</v>
      </c>
      <c r="F22" s="129">
        <f>26700/1000000</f>
        <v>2.6700000000000002E-2</v>
      </c>
      <c r="G22" s="6">
        <f t="shared" ref="G22:G27" si="2">+F22*E22</f>
        <v>106.80000000000001</v>
      </c>
      <c r="I22" s="113" t="s">
        <v>265</v>
      </c>
      <c r="J22" s="114"/>
      <c r="K22" s="114"/>
      <c r="L22" s="114"/>
      <c r="M22" s="114"/>
      <c r="N22" s="115"/>
      <c r="O22" s="110"/>
      <c r="P22" s="110"/>
      <c r="Q22" s="110"/>
      <c r="R22" s="110"/>
      <c r="S22" s="110"/>
    </row>
    <row r="23" spans="2:19" x14ac:dyDescent="0.25">
      <c r="B23" s="141" t="s">
        <v>718</v>
      </c>
      <c r="C23" s="5"/>
      <c r="D23" s="5" t="s">
        <v>90</v>
      </c>
      <c r="E23" s="6">
        <v>80</v>
      </c>
      <c r="F23" s="129">
        <v>1</v>
      </c>
      <c r="G23" s="6">
        <f t="shared" si="2"/>
        <v>80</v>
      </c>
      <c r="I23" s="29" t="s">
        <v>3</v>
      </c>
      <c r="J23" s="29" t="s">
        <v>582</v>
      </c>
      <c r="K23" s="29" t="s">
        <v>78</v>
      </c>
      <c r="L23" s="29" t="s">
        <v>80</v>
      </c>
      <c r="M23" s="29" t="s">
        <v>263</v>
      </c>
      <c r="N23" s="29" t="s">
        <v>264</v>
      </c>
      <c r="O23" s="111">
        <v>0</v>
      </c>
      <c r="P23" s="111">
        <v>1</v>
      </c>
      <c r="Q23" s="111">
        <v>2</v>
      </c>
      <c r="R23" s="111">
        <v>3</v>
      </c>
      <c r="S23" s="111">
        <v>4</v>
      </c>
    </row>
    <row r="24" spans="2:19" x14ac:dyDescent="0.25">
      <c r="B24" s="141" t="s">
        <v>719</v>
      </c>
      <c r="C24" s="5"/>
      <c r="D24" s="5" t="s">
        <v>90</v>
      </c>
      <c r="E24" s="6">
        <v>30</v>
      </c>
      <c r="F24" s="129">
        <v>1</v>
      </c>
      <c r="G24" s="6">
        <f t="shared" si="2"/>
        <v>30</v>
      </c>
      <c r="I24" s="15" t="str">
        <f>+I13</f>
        <v>CA23</v>
      </c>
      <c r="J24" s="15"/>
      <c r="K24" s="109"/>
      <c r="L24" s="6"/>
      <c r="M24" s="6">
        <f>NPV($L$8,P24:S24)+O24</f>
        <v>504.18298326806695</v>
      </c>
      <c r="N24" s="6">
        <f>-PMT($L$8,2,M24)</f>
        <v>275</v>
      </c>
      <c r="O24" s="112">
        <v>0</v>
      </c>
      <c r="P24" s="112">
        <f>+L13</f>
        <v>275</v>
      </c>
      <c r="Q24" s="112">
        <f t="shared" ref="Q24:S27" si="3">+M13</f>
        <v>275</v>
      </c>
      <c r="R24" s="112">
        <f t="shared" si="3"/>
        <v>0</v>
      </c>
      <c r="S24" s="112">
        <f t="shared" si="3"/>
        <v>0</v>
      </c>
    </row>
    <row r="25" spans="2:19" x14ac:dyDescent="0.25">
      <c r="B25" s="141" t="s">
        <v>88</v>
      </c>
      <c r="C25" s="5"/>
      <c r="D25" s="5" t="s">
        <v>611</v>
      </c>
      <c r="E25" s="6">
        <v>4000</v>
      </c>
      <c r="F25" s="129">
        <f>26700/1000000</f>
        <v>2.6700000000000002E-2</v>
      </c>
      <c r="G25" s="6">
        <f t="shared" si="2"/>
        <v>106.80000000000001</v>
      </c>
      <c r="I25" s="15" t="str">
        <f>+I14</f>
        <v>CA24</v>
      </c>
      <c r="J25" s="15"/>
      <c r="K25" s="5"/>
      <c r="L25" s="6"/>
      <c r="M25" s="6">
        <f>NPV($L$8,P25:S25)+O25</f>
        <v>188.67924528301887</v>
      </c>
      <c r="N25" s="6">
        <f>-PMT($L$8,1,M25)</f>
        <v>200.00000000000003</v>
      </c>
      <c r="O25" s="112">
        <v>0</v>
      </c>
      <c r="P25" s="112">
        <v>200</v>
      </c>
      <c r="Q25" s="112"/>
      <c r="R25" s="112">
        <f t="shared" si="3"/>
        <v>0</v>
      </c>
      <c r="S25" s="112">
        <f t="shared" si="3"/>
        <v>0</v>
      </c>
    </row>
    <row r="26" spans="2:19" x14ac:dyDescent="0.25">
      <c r="B26" s="141" t="s">
        <v>701</v>
      </c>
      <c r="C26" s="5"/>
      <c r="D26" s="8" t="s">
        <v>128</v>
      </c>
      <c r="E26" s="9">
        <v>18</v>
      </c>
      <c r="F26" s="168">
        <v>2</v>
      </c>
      <c r="G26" s="6">
        <f t="shared" si="2"/>
        <v>36</v>
      </c>
      <c r="I26" s="15" t="str">
        <f>+I15</f>
        <v>CA25</v>
      </c>
      <c r="J26" s="15"/>
      <c r="K26" s="5"/>
      <c r="L26" s="6"/>
      <c r="M26" s="6">
        <f>NPV($L$8,P26:S26)+O26</f>
        <v>412.51334994660016</v>
      </c>
      <c r="N26" s="6">
        <f>-PMT($L$8,2,M26)</f>
        <v>225</v>
      </c>
      <c r="O26" s="112">
        <v>0</v>
      </c>
      <c r="P26" s="112">
        <f>+N15</f>
        <v>225</v>
      </c>
      <c r="Q26" s="112">
        <f>+O15</f>
        <v>225</v>
      </c>
      <c r="R26" s="112"/>
      <c r="S26" s="112"/>
    </row>
    <row r="27" spans="2:19" x14ac:dyDescent="0.25">
      <c r="B27" s="5" t="s">
        <v>113</v>
      </c>
      <c r="C27" s="5"/>
      <c r="D27" s="8" t="s">
        <v>90</v>
      </c>
      <c r="E27" s="31">
        <v>1</v>
      </c>
      <c r="F27" s="9">
        <v>45</v>
      </c>
      <c r="G27" s="6">
        <f t="shared" si="2"/>
        <v>45</v>
      </c>
      <c r="I27" s="15" t="str">
        <f>+I16</f>
        <v>IN16</v>
      </c>
      <c r="J27" s="15"/>
      <c r="K27" s="5"/>
      <c r="L27" s="6"/>
      <c r="M27" s="6">
        <f>NPV($L$8,P27:S27)+O27</f>
        <v>370.89533641865432</v>
      </c>
      <c r="N27" s="6">
        <f>-PMT($L$8,2,M27)</f>
        <v>202.3</v>
      </c>
      <c r="O27" s="112">
        <v>0</v>
      </c>
      <c r="P27" s="112">
        <f>+M16</f>
        <v>202.3</v>
      </c>
      <c r="Q27" s="112">
        <f>+N16</f>
        <v>202.3</v>
      </c>
      <c r="R27" s="112"/>
      <c r="S27" s="112">
        <f t="shared" si="3"/>
        <v>0</v>
      </c>
    </row>
    <row r="28" spans="2:19" x14ac:dyDescent="0.25">
      <c r="B28" s="10" t="s">
        <v>2</v>
      </c>
      <c r="C28" s="11"/>
      <c r="D28" s="11"/>
      <c r="E28" s="12"/>
      <c r="F28" s="7"/>
      <c r="G28" s="24">
        <f>SUM(G22:G27)</f>
        <v>404.6</v>
      </c>
      <c r="I28" s="15"/>
      <c r="J28" s="15"/>
      <c r="K28" s="5"/>
      <c r="L28" s="6"/>
      <c r="M28" s="6"/>
      <c r="N28" s="6"/>
      <c r="O28" s="112"/>
      <c r="P28" s="112"/>
      <c r="Q28" s="112"/>
      <c r="R28" s="112"/>
      <c r="S28" s="112"/>
    </row>
  </sheetData>
  <mergeCells count="11">
    <mergeCell ref="B8:F8"/>
    <mergeCell ref="B10:G10"/>
    <mergeCell ref="I10:S10"/>
    <mergeCell ref="B2:B4"/>
    <mergeCell ref="C2:S2"/>
    <mergeCell ref="C3:S3"/>
    <mergeCell ref="C4:S4"/>
    <mergeCell ref="B6:C7"/>
    <mergeCell ref="D6:G6"/>
    <mergeCell ref="I6:S7"/>
    <mergeCell ref="D7:G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21857" r:id="rId4">
          <objectPr defaultSize="0" autoPict="0" r:id="rId5">
            <anchor moveWithCells="1" sizeWithCells="1">
              <from>
                <xdr:col>1</xdr:col>
                <xdr:colOff>142875</xdr:colOff>
                <xdr:row>1</xdr:row>
                <xdr:rowOff>19050</xdr:rowOff>
              </from>
              <to>
                <xdr:col>1</xdr:col>
                <xdr:colOff>704850</xdr:colOff>
                <xdr:row>3</xdr:row>
                <xdr:rowOff>161925</xdr:rowOff>
              </to>
            </anchor>
          </objectPr>
        </oleObject>
      </mc:Choice>
      <mc:Fallback>
        <oleObject progId="PBrush" shapeId="12185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62</vt:i4>
      </vt:variant>
      <vt:variant>
        <vt:lpstr>Rangos con nombre</vt:lpstr>
      </vt:variant>
      <vt:variant>
        <vt:i4>1</vt:i4>
      </vt:variant>
    </vt:vector>
  </HeadingPairs>
  <TitlesOfParts>
    <vt:vector size="63" baseType="lpstr">
      <vt:lpstr>IMPLEMENTACION</vt:lpstr>
      <vt:lpstr>PRESUPUESTO</vt:lpstr>
      <vt:lpstr>GANTT</vt:lpstr>
      <vt:lpstr>SL01</vt:lpstr>
      <vt:lpstr>SL02</vt:lpstr>
      <vt:lpstr>SL03</vt:lpstr>
      <vt:lpstr>SL04</vt:lpstr>
      <vt:lpstr>SL05</vt:lpstr>
      <vt:lpstr>SL06</vt:lpstr>
      <vt:lpstr>SL07</vt:lpstr>
      <vt:lpstr>SL08</vt:lpstr>
      <vt:lpstr>SL09</vt:lpstr>
      <vt:lpstr>SL10</vt:lpstr>
      <vt:lpstr>SL11</vt:lpstr>
      <vt:lpstr>SL12</vt:lpstr>
      <vt:lpstr>SL13</vt:lpstr>
      <vt:lpstr>SL14</vt:lpstr>
      <vt:lpstr>SL15</vt:lpstr>
      <vt:lpstr>SL16</vt:lpstr>
      <vt:lpstr>SL17</vt:lpstr>
      <vt:lpstr>SL18</vt:lpstr>
      <vt:lpstr>SL19</vt:lpstr>
      <vt:lpstr>SL20</vt:lpstr>
      <vt:lpstr>SL21</vt:lpstr>
      <vt:lpstr>SL22</vt:lpstr>
      <vt:lpstr>SL23</vt:lpstr>
      <vt:lpstr>SL24</vt:lpstr>
      <vt:lpstr>SL25</vt:lpstr>
      <vt:lpstr>SL26</vt:lpstr>
      <vt:lpstr>SL27</vt:lpstr>
      <vt:lpstr>SL28</vt:lpstr>
      <vt:lpstr>SL29</vt:lpstr>
      <vt:lpstr>SL30</vt:lpstr>
      <vt:lpstr>SL31</vt:lpstr>
      <vt:lpstr>SL32</vt:lpstr>
      <vt:lpstr>SL33</vt:lpstr>
      <vt:lpstr>SL34</vt:lpstr>
      <vt:lpstr>SL35</vt:lpstr>
      <vt:lpstr>SL36</vt:lpstr>
      <vt:lpstr>SL37</vt:lpstr>
      <vt:lpstr>SL38</vt:lpstr>
      <vt:lpstr>SL39</vt:lpstr>
      <vt:lpstr>SL40</vt:lpstr>
      <vt:lpstr>SL41</vt:lpstr>
      <vt:lpstr>SL42</vt:lpstr>
      <vt:lpstr>SL43</vt:lpstr>
      <vt:lpstr>SLI01</vt:lpstr>
      <vt:lpstr>SLI02</vt:lpstr>
      <vt:lpstr>SLI03</vt:lpstr>
      <vt:lpstr>SLI04</vt:lpstr>
      <vt:lpstr>SLI05</vt:lpstr>
      <vt:lpstr>SLI06</vt:lpstr>
      <vt:lpstr>SLI07</vt:lpstr>
      <vt:lpstr>SLI08</vt:lpstr>
      <vt:lpstr>SLI09</vt:lpstr>
      <vt:lpstr>SLI10</vt:lpstr>
      <vt:lpstr>SLI11</vt:lpstr>
      <vt:lpstr>SLI12</vt:lpstr>
      <vt:lpstr>SLI13</vt:lpstr>
      <vt:lpstr>SLI14</vt:lpstr>
      <vt:lpstr>SLI15</vt:lpstr>
      <vt:lpstr>SLI16</vt:lpstr>
      <vt:lpstr>'SL01'!Área_de_impresión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Fabian Reyes Hurtado</dc:creator>
  <cp:lastModifiedBy>Claudio Fabian Reyes Hurtado</cp:lastModifiedBy>
  <cp:lastPrinted>2017-10-04T13:56:17Z</cp:lastPrinted>
  <dcterms:created xsi:type="dcterms:W3CDTF">2017-10-03T22:23:59Z</dcterms:created>
  <dcterms:modified xsi:type="dcterms:W3CDTF">2018-12-17T18:35:31Z</dcterms:modified>
</cp:coreProperties>
</file>