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44" documentId="13_ncr:1_{10678333-920A-4B9E-8716-8415C012DEC2}" xr6:coauthVersionLast="47" xr6:coauthVersionMax="47" xr10:uidLastSave="{2B955EA5-EE28-405C-A571-6D4CB45AFBCC}"/>
  <bookViews>
    <workbookView xWindow="-120" yWindow="-120" windowWidth="29040" windowHeight="15840" tabRatio="633" firstSheet="1" activeTab="1" xr2:uid="{00000000-000D-0000-FFFF-FFFF00000000}"/>
  </bookViews>
  <sheets>
    <sheet name="Exp EC50s" sheetId="6" r:id="rId1"/>
    <sheet name="AM acute meta. CTLBB (n=8)" sheetId="10" r:id="rId2"/>
  </sheets>
  <definedNames>
    <definedName name="solver_adj" localSheetId="1" hidden="1">'AM acute meta. CTLBB (n=8)'!$J$3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'AM acute meta. CTLBB (n=8)'!$J$18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0" l="1"/>
  <c r="K18" i="10"/>
  <c r="J10" i="10"/>
  <c r="I10" i="10"/>
  <c r="H10" i="10"/>
  <c r="G10" i="10"/>
  <c r="E9" i="10"/>
  <c r="G9" i="10"/>
  <c r="H8" i="10"/>
  <c r="E42" i="10" l="1"/>
  <c r="G42" i="10" s="1"/>
  <c r="E41" i="10"/>
  <c r="G41" i="10" s="1"/>
  <c r="B36" i="10" l="1"/>
  <c r="B35" i="10"/>
  <c r="I16" i="10"/>
  <c r="B30" i="10" l="1"/>
  <c r="B24" i="10"/>
  <c r="B25" i="10"/>
  <c r="B27" i="10"/>
  <c r="B28" i="10"/>
  <c r="B29" i="10"/>
  <c r="B23" i="10"/>
  <c r="X6" i="6"/>
  <c r="Y6" i="6" s="1"/>
  <c r="Z6" i="6" s="1"/>
  <c r="X7" i="6"/>
  <c r="Y7" i="6" s="1"/>
  <c r="Z7" i="6" s="1"/>
  <c r="X8" i="6"/>
  <c r="Y8" i="6" s="1"/>
  <c r="Z8" i="6" s="1"/>
  <c r="X9" i="6"/>
  <c r="Y9" i="6" s="1"/>
  <c r="Z9" i="6" s="1"/>
  <c r="X10" i="6"/>
  <c r="Y10" i="6" s="1"/>
  <c r="Z10" i="6" s="1"/>
  <c r="X11" i="6"/>
  <c r="Y11" i="6" s="1"/>
  <c r="Z11" i="6" s="1"/>
  <c r="X12" i="6"/>
  <c r="Y12" i="6" s="1"/>
  <c r="Z12" i="6" s="1"/>
  <c r="S6" i="6"/>
  <c r="T6" i="6" s="1"/>
  <c r="U6" i="6" s="1"/>
  <c r="S7" i="6"/>
  <c r="T7" i="6" s="1"/>
  <c r="U7" i="6" s="1"/>
  <c r="S8" i="6"/>
  <c r="T8" i="6" s="1"/>
  <c r="U8" i="6" s="1"/>
  <c r="S9" i="6"/>
  <c r="T9" i="6" s="1"/>
  <c r="U9" i="6" s="1"/>
  <c r="S10" i="6"/>
  <c r="T10" i="6" s="1"/>
  <c r="U10" i="6" s="1"/>
  <c r="S11" i="6"/>
  <c r="T11" i="6" s="1"/>
  <c r="U11" i="6" s="1"/>
  <c r="S12" i="6"/>
  <c r="T12" i="6" s="1"/>
  <c r="U12" i="6" s="1"/>
  <c r="S5" i="6"/>
  <c r="T5" i="6" s="1"/>
  <c r="U5" i="6" s="1"/>
  <c r="X5" i="6"/>
  <c r="Y5" i="6" s="1"/>
  <c r="Z5" i="6" s="1"/>
  <c r="O7" i="6"/>
  <c r="P7" i="6" s="1"/>
  <c r="Q7" i="6" s="1"/>
  <c r="O8" i="6"/>
  <c r="P8" i="6" s="1"/>
  <c r="Q8" i="6" s="1"/>
  <c r="O9" i="6"/>
  <c r="P9" i="6" s="1"/>
  <c r="Q9" i="6" s="1"/>
  <c r="O10" i="6"/>
  <c r="P10" i="6" s="1"/>
  <c r="Q10" i="6" s="1"/>
  <c r="O11" i="6"/>
  <c r="P11" i="6" s="1"/>
  <c r="Q11" i="6" s="1"/>
  <c r="O12" i="6"/>
  <c r="P12" i="6" s="1"/>
  <c r="Q12" i="6" s="1"/>
  <c r="O6" i="6"/>
  <c r="P6" i="6" s="1"/>
  <c r="Q6" i="6" s="1"/>
  <c r="O5" i="6"/>
  <c r="P5" i="6" s="1"/>
  <c r="Q5" i="6" s="1"/>
  <c r="E8" i="10"/>
  <c r="G8" i="10" s="1"/>
  <c r="AA5" i="6" l="1"/>
  <c r="AA7" i="6"/>
  <c r="AA6" i="6"/>
  <c r="AA9" i="6"/>
  <c r="AA12" i="6"/>
  <c r="V6" i="6"/>
  <c r="V11" i="6"/>
  <c r="V7" i="6"/>
  <c r="AA10" i="6"/>
  <c r="V9" i="6"/>
  <c r="AA8" i="6"/>
  <c r="V5" i="6"/>
  <c r="V10" i="6"/>
  <c r="V12" i="6"/>
  <c r="AA11" i="6"/>
  <c r="V8" i="6"/>
  <c r="C29" i="10" l="1"/>
  <c r="C25" i="10"/>
  <c r="D30" i="10"/>
  <c r="C26" i="10"/>
  <c r="D29" i="10"/>
  <c r="D24" i="10"/>
  <c r="C30" i="10"/>
  <c r="D27" i="10"/>
  <c r="D28" i="10"/>
  <c r="D23" i="10"/>
  <c r="D26" i="10"/>
  <c r="C28" i="10"/>
  <c r="C27" i="10"/>
  <c r="C23" i="10"/>
  <c r="C24" i="10"/>
  <c r="D25" i="10"/>
  <c r="I15" i="10" l="1"/>
  <c r="E15" i="10"/>
  <c r="G15" i="10" s="1"/>
  <c r="H15" i="10" s="1"/>
  <c r="I14" i="10"/>
  <c r="E14" i="10"/>
  <c r="G14" i="10" s="1"/>
  <c r="H14" i="10" s="1"/>
  <c r="I13" i="10"/>
  <c r="E13" i="10"/>
  <c r="G13" i="10" s="1"/>
  <c r="H13" i="10" s="1"/>
  <c r="I12" i="10"/>
  <c r="E12" i="10"/>
  <c r="G12" i="10" s="1"/>
  <c r="H12" i="10" s="1"/>
  <c r="I11" i="10"/>
  <c r="E11" i="10"/>
  <c r="G11" i="10" s="1"/>
  <c r="H11" i="10" s="1"/>
  <c r="E10" i="10"/>
  <c r="I9" i="10"/>
  <c r="H9" i="10"/>
  <c r="J9" i="10" s="1"/>
  <c r="I8" i="10"/>
  <c r="J8" i="10" s="1"/>
  <c r="I7" i="10"/>
  <c r="L3" i="10"/>
  <c r="K10" i="10" l="1"/>
  <c r="J11" i="10"/>
  <c r="K11" i="10" s="1"/>
  <c r="K9" i="10"/>
  <c r="J13" i="10"/>
  <c r="K13" i="10" s="1"/>
  <c r="J12" i="10"/>
  <c r="K12" i="10" s="1"/>
  <c r="J15" i="10"/>
  <c r="K15" i="10" s="1"/>
  <c r="K8" i="10"/>
  <c r="J14" i="10"/>
  <c r="K14" i="10" s="1"/>
  <c r="J18" i="10" l="1"/>
  <c r="M3" i="10" l="1"/>
  <c r="D36" i="10"/>
  <c r="C36" i="10"/>
  <c r="D35" i="10"/>
  <c r="C35" i="10"/>
</calcChain>
</file>

<file path=xl/sharedStrings.xml><?xml version="1.0" encoding="utf-8"?>
<sst xmlns="http://schemas.openxmlformats.org/spreadsheetml/2006/main" count="170" uniqueCount="111">
  <si>
    <t>Compound</t>
  </si>
  <si>
    <t>Year</t>
  </si>
  <si>
    <t>Light regime</t>
  </si>
  <si>
    <t>NEC</t>
  </si>
  <si>
    <r>
      <t>EC</t>
    </r>
    <r>
      <rPr>
        <b/>
        <vertAlign val="subscript"/>
        <sz val="10"/>
        <color rgb="FF000000"/>
        <rFont val="Calibri"/>
        <family val="2"/>
        <scheme val="minor"/>
      </rPr>
      <t>10</t>
    </r>
  </si>
  <si>
    <r>
      <t>EC</t>
    </r>
    <r>
      <rPr>
        <b/>
        <vertAlign val="subscript"/>
        <sz val="10"/>
        <color rgb="FF000000"/>
        <rFont val="Calibri"/>
        <family val="2"/>
        <scheme val="minor"/>
      </rPr>
      <t>50</t>
    </r>
  </si>
  <si>
    <r>
      <t>-fold change (EC</t>
    </r>
    <r>
      <rPr>
        <b/>
        <vertAlign val="subscript"/>
        <sz val="10"/>
        <color rgb="FF000000"/>
        <rFont val="Calibri"/>
        <family val="2"/>
        <scheme val="minor"/>
      </rPr>
      <t>50</t>
    </r>
    <r>
      <rPr>
        <b/>
        <sz val="10"/>
        <color rgb="FF000000"/>
        <rFont val="Calibri"/>
        <family val="2"/>
        <scheme val="minor"/>
      </rPr>
      <t>)</t>
    </r>
  </si>
  <si>
    <t>Green fill = used in CTLBB derivation</t>
  </si>
  <si>
    <t>Compound/substance</t>
  </si>
  <si>
    <t>Molecular weight</t>
  </si>
  <si>
    <t>EC50</t>
  </si>
  <si>
    <t>Lower 95% CI</t>
  </si>
  <si>
    <t>Upper 95% CI</t>
  </si>
  <si>
    <r>
      <t>(μg L</t>
    </r>
    <r>
      <rPr>
        <b/>
        <vertAlign val="superscript"/>
        <sz val="10"/>
        <color rgb="FF000000"/>
        <rFont val="Calibri"/>
        <family val="2"/>
        <scheme val="minor"/>
      </rPr>
      <t>-1</t>
    </r>
    <r>
      <rPr>
        <b/>
        <sz val="10"/>
        <color rgb="FF000000"/>
        <rFont val="Calibri"/>
        <family val="2"/>
        <scheme val="minor"/>
      </rPr>
      <t>)</t>
    </r>
  </si>
  <si>
    <t>(g/mol)</t>
  </si>
  <si>
    <t>(ug/L)</t>
  </si>
  <si>
    <t>(umol/L)</t>
  </si>
  <si>
    <t>Log(mM)</t>
  </si>
  <si>
    <r>
      <t xml:space="preserve">Log(mM) + </t>
    </r>
    <r>
      <rPr>
        <sz val="10"/>
        <color theme="1"/>
        <rFont val="Calibri"/>
        <family val="2"/>
      </rPr>
      <t>∆</t>
    </r>
    <r>
      <rPr>
        <sz val="10"/>
        <color theme="1"/>
        <rFont val="Calibri"/>
        <family val="2"/>
        <scheme val="minor"/>
      </rPr>
      <t>c</t>
    </r>
  </si>
  <si>
    <t>Distance to EC50 (Log(mM) + ∆c)</t>
  </si>
  <si>
    <t>Toluene</t>
  </si>
  <si>
    <t>-UVR</t>
  </si>
  <si>
    <t>(838-11,081)</t>
  </si>
  <si>
    <t>(1,285-9449)</t>
  </si>
  <si>
    <t>(6,168-12,453)</t>
  </si>
  <si>
    <t>+UVR</t>
  </si>
  <si>
    <t>Naphthalene</t>
  </si>
  <si>
    <t>(5,542-10,892)</t>
  </si>
  <si>
    <t>(3,478-10,368)</t>
  </si>
  <si>
    <t>(7,204-11,179)</t>
  </si>
  <si>
    <r>
      <t>-UVR</t>
    </r>
    <r>
      <rPr>
        <sz val="8"/>
        <color theme="1"/>
        <rFont val="Calibri"/>
        <family val="2"/>
        <scheme val="minor"/>
      </rPr>
      <t> </t>
    </r>
  </si>
  <si>
    <t>7.7</t>
  </si>
  <si>
    <t>1-Methylnaphthalene</t>
  </si>
  <si>
    <t>(0.3-142)</t>
  </si>
  <si>
    <t>(0.6-235)</t>
  </si>
  <si>
    <t>(44.1-652)</t>
  </si>
  <si>
    <t>Phenanthrene</t>
  </si>
  <si>
    <r>
      <t>26</t>
    </r>
    <r>
      <rPr>
        <sz val="8"/>
        <color theme="1"/>
        <rFont val="Calibri"/>
        <family val="2"/>
        <scheme val="minor"/>
      </rPr>
      <t> </t>
    </r>
    <r>
      <rPr>
        <sz val="10"/>
        <color theme="1"/>
        <rFont val="Calibri"/>
        <family val="2"/>
        <scheme val="minor"/>
      </rPr>
      <t>.8</t>
    </r>
  </si>
  <si>
    <t>(4.6-86.3)</t>
  </si>
  <si>
    <t>(4.7-112)</t>
  </si>
  <si>
    <t>(171-558)</t>
  </si>
  <si>
    <t>1-methylnaphthalene</t>
  </si>
  <si>
    <t>(0.2-18.7) </t>
  </si>
  <si>
    <t>(0.5-12.2)</t>
  </si>
  <si>
    <t>(15.5-116)</t>
  </si>
  <si>
    <t>Chemical class</t>
  </si>
  <si>
    <r>
      <rPr>
        <b/>
        <sz val="10"/>
        <color theme="1"/>
        <rFont val="Symbol"/>
        <family val="1"/>
        <charset val="2"/>
      </rPr>
      <t>D</t>
    </r>
    <r>
      <rPr>
        <b/>
        <sz val="10"/>
        <color theme="1"/>
        <rFont val="Calibri"/>
        <family val="2"/>
        <scheme val="minor"/>
      </rPr>
      <t>c</t>
    </r>
  </si>
  <si>
    <t>Ref</t>
  </si>
  <si>
    <t>(0.2-23.4)</t>
  </si>
  <si>
    <t>(0.3-20.8)</t>
  </si>
  <si>
    <t>(8.7-101.9)</t>
  </si>
  <si>
    <t>Monoaromatic hydrocarbons</t>
  </si>
  <si>
    <t>McGrath el al., 2018</t>
  </si>
  <si>
    <t>Di- and polycyclic aromatic hydrocabrons</t>
  </si>
  <si>
    <t>(172-393)</t>
  </si>
  <si>
    <t>(130-367)</t>
  </si>
  <si>
    <t>(266-426)</t>
  </si>
  <si>
    <t>Universal slope</t>
  </si>
  <si>
    <r>
      <t xml:space="preserve">(0.940 </t>
    </r>
    <r>
      <rPr>
        <sz val="10"/>
        <color theme="1"/>
        <rFont val="Calibri"/>
        <family val="2"/>
      </rPr>
      <t>±</t>
    </r>
    <r>
      <rPr>
        <sz val="10"/>
        <color theme="1"/>
        <rFont val="Calibri"/>
        <family val="2"/>
        <scheme val="minor"/>
      </rPr>
      <t xml:space="preserve"> 0.015)</t>
    </r>
  </si>
  <si>
    <t>(109-424)</t>
  </si>
  <si>
    <t>(56.4-373)</t>
  </si>
  <si>
    <t>(219-466)</t>
  </si>
  <si>
    <t>Anthracene</t>
  </si>
  <si>
    <t>2017 (Dec)</t>
  </si>
  <si>
    <t>&gt;35</t>
  </si>
  <si>
    <r>
      <t>1.7</t>
    </r>
    <r>
      <rPr>
        <i/>
        <vertAlign val="superscript"/>
        <sz val="10"/>
        <color theme="1"/>
        <rFont val="Calibri"/>
        <family val="2"/>
        <scheme val="minor"/>
      </rPr>
      <t>*</t>
    </r>
  </si>
  <si>
    <t>(0.1-12.0)</t>
  </si>
  <si>
    <t>(12.0- &gt;35.0)</t>
  </si>
  <si>
    <t>(9.7-17.8)</t>
  </si>
  <si>
    <t>(10.7-18.2)</t>
  </si>
  <si>
    <t>(17.6-23.9)</t>
  </si>
  <si>
    <t>Pyrene</t>
  </si>
  <si>
    <t>&gt;84</t>
  </si>
  <si>
    <r>
      <t>&gt;12.4</t>
    </r>
    <r>
      <rPr>
        <i/>
        <vertAlign val="superscript"/>
        <sz val="10"/>
        <color theme="1"/>
        <rFont val="Calibri"/>
        <family val="2"/>
        <scheme val="minor"/>
      </rPr>
      <t>*</t>
    </r>
  </si>
  <si>
    <t>(0.1-76.6)</t>
  </si>
  <si>
    <t>(2.3-4.6)</t>
  </si>
  <si>
    <t>(3.6—5.9) </t>
  </si>
  <si>
    <t xml:space="preserve">(5.8–8.2) </t>
  </si>
  <si>
    <t>A.millepora</t>
  </si>
  <si>
    <t>Log CTLBB</t>
  </si>
  <si>
    <t>CTLBB</t>
  </si>
  <si>
    <t>CTLBB std error</t>
  </si>
  <si>
    <t>Coral larval metamorphosis success (48h; chronic exposure)</t>
  </si>
  <si>
    <t>Substance</t>
  </si>
  <si>
    <t>Mol Wt</t>
  </si>
  <si>
    <r>
      <t>EC</t>
    </r>
    <r>
      <rPr>
        <vertAlign val="subscript"/>
        <sz val="10"/>
        <color theme="1"/>
        <rFont val="Calibri"/>
        <family val="2"/>
        <scheme val="minor"/>
      </rPr>
      <t>50</t>
    </r>
  </si>
  <si>
    <t>Log</t>
  </si>
  <si>
    <r>
      <t>Log EC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(meas)</t>
    </r>
  </si>
  <si>
    <r>
      <t>Log EC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</t>
    </r>
  </si>
  <si>
    <r>
      <t>Log EC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(pred)</t>
    </r>
  </si>
  <si>
    <t>Residual</t>
  </si>
  <si>
    <r>
      <t>K</t>
    </r>
    <r>
      <rPr>
        <vertAlign val="subscript"/>
        <sz val="10"/>
        <color theme="1"/>
        <rFont val="Calibri"/>
        <family val="2"/>
        <scheme val="minor"/>
      </rPr>
      <t>ow</t>
    </r>
  </si>
  <si>
    <t>(mM)</t>
  </si>
  <si>
    <t>Square</t>
  </si>
  <si>
    <t>Lower limit</t>
  </si>
  <si>
    <t>Step 1</t>
  </si>
  <si>
    <t>Enter L/EC50 data in column D</t>
  </si>
  <si>
    <t>Step 2</t>
  </si>
  <si>
    <t>Use Goal Seek algorithm</t>
  </si>
  <si>
    <t>to minimise sum of residuals to zero</t>
  </si>
  <si>
    <t>by changing log CTLBB</t>
  </si>
  <si>
    <t>Step 3</t>
  </si>
  <si>
    <t>Spreadsheet plots TLM fit and</t>
  </si>
  <si>
    <t>Upper Limit</t>
  </si>
  <si>
    <r>
      <t>computes CTLBB mean</t>
    </r>
    <r>
      <rPr>
        <sz val="10"/>
        <color theme="1"/>
        <rFont val="Arial"/>
        <family val="2"/>
      </rPr>
      <t>±</t>
    </r>
    <r>
      <rPr>
        <sz val="10"/>
        <color theme="1"/>
        <rFont val="Calibri"/>
        <family val="2"/>
        <scheme val="minor"/>
      </rPr>
      <t>std error</t>
    </r>
  </si>
  <si>
    <t>Sum =</t>
  </si>
  <si>
    <t>RMSE</t>
  </si>
  <si>
    <r>
      <t>Distance to EC50 (Log(mM)+</t>
    </r>
    <r>
      <rPr>
        <sz val="9"/>
        <color theme="1"/>
        <rFont val="Calibri"/>
        <family val="2"/>
      </rPr>
      <t>∆</t>
    </r>
    <r>
      <rPr>
        <sz val="9"/>
        <color theme="1"/>
        <rFont val="Calibri"/>
        <family val="2"/>
        <scheme val="minor"/>
      </rPr>
      <t>c)</t>
    </r>
  </si>
  <si>
    <t>TLM residual standard error band</t>
  </si>
  <si>
    <r>
      <t>Log K</t>
    </r>
    <r>
      <rPr>
        <vertAlign val="subscript"/>
        <sz val="10"/>
        <color theme="1"/>
        <rFont val="Calibri"/>
        <family val="2"/>
        <scheme val="minor"/>
      </rPr>
      <t>ow</t>
    </r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</si>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</sst>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2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1"/>
      <charset val="2"/>
      <scheme val="minor"/>
    </font>
    <font>
      <b/>
      <sz val="10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Maths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vertAlign val="subscript"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D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5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 indent="2"/>
    </xf>
    <xf numFmtId="1" fontId="2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right" vertical="center" indent="2"/>
    </xf>
    <xf numFmtId="2" fontId="1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2" fillId="0" borderId="0" xfId="0" applyNumberFormat="1" applyFont="1" applyAlignment="1">
      <alignment horizontal="right" vertical="center" indent="2"/>
    </xf>
    <xf numFmtId="0" fontId="2" fillId="0" borderId="3" xfId="0" applyFont="1" applyBorder="1" applyAlignment="1">
      <alignment horizontal="right" indent="2"/>
    </xf>
    <xf numFmtId="1" fontId="2" fillId="0" borderId="3" xfId="0" applyNumberFormat="1" applyFont="1" applyBorder="1"/>
    <xf numFmtId="164" fontId="2" fillId="0" borderId="3" xfId="0" applyNumberFormat="1" applyFont="1" applyBorder="1" applyAlignment="1">
      <alignment horizontal="right" indent="2"/>
    </xf>
    <xf numFmtId="2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4" fontId="2" fillId="0" borderId="0" xfId="0" applyNumberFormat="1" applyFont="1"/>
    <xf numFmtId="0" fontId="13" fillId="0" borderId="0" xfId="0" applyFont="1"/>
    <xf numFmtId="2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/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165" fontId="2" fillId="0" borderId="3" xfId="0" applyNumberFormat="1" applyFont="1" applyBorder="1"/>
    <xf numFmtId="0" fontId="2" fillId="0" borderId="13" xfId="0" applyFont="1" applyBorder="1"/>
    <xf numFmtId="164" fontId="2" fillId="0" borderId="14" xfId="0" applyNumberFormat="1" applyFont="1" applyBorder="1" applyAlignment="1">
      <alignment horizontal="center"/>
    </xf>
    <xf numFmtId="0" fontId="2" fillId="0" borderId="11" xfId="0" applyFont="1" applyBorder="1"/>
    <xf numFmtId="164" fontId="2" fillId="0" borderId="15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6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2" fontId="2" fillId="5" borderId="0" xfId="0" applyNumberFormat="1" applyFont="1" applyFill="1"/>
    <xf numFmtId="165" fontId="2" fillId="5" borderId="0" xfId="0" applyNumberFormat="1" applyFont="1" applyFill="1"/>
    <xf numFmtId="2" fontId="2" fillId="5" borderId="3" xfId="0" applyNumberFormat="1" applyFont="1" applyFill="1" applyBorder="1"/>
    <xf numFmtId="165" fontId="2" fillId="5" borderId="3" xfId="0" applyNumberFormat="1" applyFont="1" applyFill="1" applyBorder="1"/>
    <xf numFmtId="0" fontId="2" fillId="0" borderId="1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4" fontId="2" fillId="0" borderId="14" xfId="0" applyNumberFormat="1" applyFont="1" applyBorder="1"/>
    <xf numFmtId="164" fontId="5" fillId="0" borderId="14" xfId="0" applyNumberFormat="1" applyFont="1" applyBorder="1"/>
    <xf numFmtId="0" fontId="2" fillId="0" borderId="1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5" xfId="0" applyNumberFormat="1" applyFont="1" applyBorder="1"/>
    <xf numFmtId="164" fontId="5" fillId="0" borderId="15" xfId="0" applyNumberFormat="1" applyFont="1" applyBorder="1"/>
    <xf numFmtId="0" fontId="2" fillId="0" borderId="1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6" xfId="0" applyNumberFormat="1" applyFont="1" applyBorder="1"/>
    <xf numFmtId="164" fontId="5" fillId="0" borderId="16" xfId="0" applyNumberFormat="1" applyFont="1" applyBorder="1"/>
    <xf numFmtId="0" fontId="2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center"/>
    </xf>
    <xf numFmtId="0" fontId="14" fillId="0" borderId="0" xfId="0" quotePrefix="1" applyFont="1"/>
    <xf numFmtId="164" fontId="5" fillId="0" borderId="0" xfId="0" applyNumberFormat="1" applyFont="1"/>
    <xf numFmtId="164" fontId="3" fillId="0" borderId="0" xfId="0" applyNumberFormat="1" applyFont="1"/>
    <xf numFmtId="0" fontId="21" fillId="0" borderId="9" xfId="0" applyFont="1" applyBorder="1" applyAlignment="1">
      <alignment horizontal="center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0" fillId="0" borderId="2" xfId="0" applyFont="1" applyBorder="1"/>
    <xf numFmtId="0" fontId="10" fillId="0" borderId="2" xfId="0" applyFont="1" applyBorder="1" applyAlignment="1">
      <alignment horizontal="center"/>
    </xf>
    <xf numFmtId="0" fontId="20" fillId="0" borderId="3" xfId="0" applyFont="1" applyBorder="1"/>
    <xf numFmtId="0" fontId="10" fillId="0" borderId="3" xfId="0" applyFont="1" applyBorder="1" applyAlignment="1">
      <alignment horizontal="center"/>
    </xf>
    <xf numFmtId="166" fontId="2" fillId="0" borderId="2" xfId="0" applyNumberFormat="1" applyFont="1" applyBorder="1" applyAlignment="1">
      <alignment horizontal="right" vertical="center" indent="2"/>
    </xf>
    <xf numFmtId="166" fontId="2" fillId="0" borderId="3" xfId="0" applyNumberFormat="1" applyFont="1" applyBorder="1" applyAlignment="1">
      <alignment horizontal="right" vertical="center" indent="2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03214"/>
      <color rgb="FF009999"/>
      <color rgb="FF006666"/>
      <color rgb="FF006600"/>
      <color rgb="FFB86E00"/>
      <color rgb="FFFF9900"/>
      <color rgb="FFCC00CC"/>
      <color rgb="FF990000"/>
      <color rgb="FFDE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79451566951569E-2"/>
          <c:y val="6.2647079556460677E-2"/>
          <c:w val="0.87983547008547014"/>
          <c:h val="0.82401781970649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6600"/>
                </a:solidFill>
              </a:ln>
            </c:spPr>
          </c:marker>
          <c:dPt>
            <c:idx val="0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FC-4FBB-BD5C-5891C9B422C9}"/>
              </c:ext>
            </c:extLst>
          </c:dPt>
          <c:dPt>
            <c:idx val="1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FC-4FBB-BD5C-5891C9B422C9}"/>
              </c:ext>
            </c:extLst>
          </c:dPt>
          <c:dPt>
            <c:idx val="2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FC-4FBB-BD5C-5891C9B422C9}"/>
              </c:ext>
            </c:extLst>
          </c:dPt>
          <c:dPt>
            <c:idx val="3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FC-4FBB-BD5C-5891C9B422C9}"/>
              </c:ext>
            </c:extLst>
          </c:dPt>
          <c:dPt>
            <c:idx val="4"/>
            <c:marker>
              <c:spPr>
                <a:solidFill>
                  <a:schemeClr val="accent6">
                    <a:lumMod val="50000"/>
                  </a:schemeClr>
                </a:solidFill>
                <a:ln>
                  <a:solidFill>
                    <a:schemeClr val="accent6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FC-4FBB-BD5C-5891C9B422C9}"/>
              </c:ext>
            </c:extLst>
          </c:dPt>
          <c:dPt>
            <c:idx val="5"/>
            <c:marker>
              <c:spPr>
                <a:solidFill>
                  <a:schemeClr val="accent6">
                    <a:lumMod val="50000"/>
                  </a:schemeClr>
                </a:solidFill>
                <a:ln>
                  <a:solidFill>
                    <a:schemeClr val="accent6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0FC-4FBB-BD5C-5891C9B422C9}"/>
              </c:ext>
            </c:extLst>
          </c:dPt>
          <c:dPt>
            <c:idx val="6"/>
            <c:marker>
              <c:spPr>
                <a:solidFill>
                  <a:srgbClr val="203214"/>
                </a:solidFill>
                <a:ln>
                  <a:solidFill>
                    <a:srgbClr val="20321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9BF-4DE3-879D-6BEB8264D8BD}"/>
              </c:ext>
            </c:extLst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3BC-4D4C-9D7F-684FF4790DC8}"/>
              </c:ext>
            </c:extLst>
          </c:dPt>
          <c:errBars>
            <c:errDir val="y"/>
            <c:errBarType val="both"/>
            <c:errValType val="cust"/>
            <c:noEndCap val="1"/>
            <c:plus>
              <c:numRef>
                <c:f>'AM acute meta. CTLBB (n=8)'!$D$23:$D$30</c:f>
                <c:numCache>
                  <c:formatCode>0.0000</c:formatCode>
                  <c:ptCount val="8"/>
                  <c:pt idx="0">
                    <c:v>0.15257161920951412</c:v>
                  </c:pt>
                  <c:pt idx="1">
                    <c:v>0.11451092038852884</c:v>
                  </c:pt>
                  <c:pt idx="2">
                    <c:v>0.51758240547038925</c:v>
                  </c:pt>
                  <c:pt idx="3">
                    <c:v>0.25108986139113032</c:v>
                  </c:pt>
                  <c:pt idx="4">
                    <c:v>0.46457491715323096</c:v>
                  </c:pt>
                  <c:pt idx="5">
                    <c:v>0.60677364322488225</c:v>
                  </c:pt>
                  <c:pt idx="6">
                    <c:v>0.11089565922483136</c:v>
                  </c:pt>
                  <c:pt idx="7">
                    <c:v>0.15383816402971418</c:v>
                  </c:pt>
                </c:numCache>
              </c:numRef>
            </c:plus>
            <c:minus>
              <c:numRef>
                <c:f>'AM acute meta. CTLBB (n=8)'!$C$23:$C$30</c:f>
                <c:numCache>
                  <c:formatCode>0.0000</c:formatCode>
                  <c:ptCount val="8"/>
                  <c:pt idx="0">
                    <c:v>0.15255800384576734</c:v>
                  </c:pt>
                  <c:pt idx="1">
                    <c:v>7.6318331616715307E-2</c:v>
                  </c:pt>
                  <c:pt idx="2">
                    <c:v>0.65222660079369232</c:v>
                  </c:pt>
                  <c:pt idx="3">
                    <c:v>0.26254822715429471</c:v>
                  </c:pt>
                  <c:pt idx="4">
                    <c:v>0.40955137390339624</c:v>
                  </c:pt>
                  <c:pt idx="5">
                    <c:v>0.46188128816292595</c:v>
                  </c:pt>
                  <c:pt idx="6">
                    <c:v>9.3632303246820481E-2</c:v>
                  </c:pt>
                  <c:pt idx="7">
                    <c:v>0.17410363782016747</c:v>
                  </c:pt>
                </c:numCache>
              </c:numRef>
            </c:minus>
          </c:errBars>
          <c:xVal>
            <c:numRef>
              <c:f>'AM acute meta. CTLBB (n=8)'!$F$8:$F$15</c:f>
              <c:numCache>
                <c:formatCode>0.00</c:formatCode>
                <c:ptCount val="8"/>
                <c:pt idx="0">
                  <c:v>2.54</c:v>
                </c:pt>
                <c:pt idx="1">
                  <c:v>2.54</c:v>
                </c:pt>
                <c:pt idx="2">
                  <c:v>3.17</c:v>
                </c:pt>
                <c:pt idx="3">
                  <c:v>3.17</c:v>
                </c:pt>
                <c:pt idx="4">
                  <c:v>3.72</c:v>
                </c:pt>
                <c:pt idx="5">
                  <c:v>3.72</c:v>
                </c:pt>
                <c:pt idx="6">
                  <c:v>4.3499999999999996</c:v>
                </c:pt>
                <c:pt idx="7">
                  <c:v>4.3499999999999996</c:v>
                </c:pt>
              </c:numCache>
            </c:numRef>
          </c:xVal>
          <c:yVal>
            <c:numRef>
              <c:f>'AM acute meta. CTLBB (n=8)'!$H$8:$H$15</c:f>
              <c:numCache>
                <c:formatCode>0.0000</c:formatCode>
                <c:ptCount val="8"/>
                <c:pt idx="0">
                  <c:v>-0.99655726130818112</c:v>
                </c:pt>
                <c:pt idx="1">
                  <c:v>-1.0053675944326379</c:v>
                </c:pt>
                <c:pt idx="2">
                  <c:v>-2.4472228349212677</c:v>
                </c:pt>
                <c:pt idx="3">
                  <c:v>-2.2483436876363503</c:v>
                </c:pt>
                <c:pt idx="4">
                  <c:v>-3.1890165243200599</c:v>
                </c:pt>
                <c:pt idx="5">
                  <c:v>-3.3874990556122033</c:v>
                </c:pt>
                <c:pt idx="6">
                  <c:v>-2.3684668672184621</c:v>
                </c:pt>
                <c:pt idx="7">
                  <c:v>-2.3724330544360637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C-4FBB-BD5C-5891C9B422C9}"/>
            </c:ext>
          </c:extLst>
        </c:ser>
        <c:ser>
          <c:idx val="1"/>
          <c:order val="1"/>
          <c:tx>
            <c:v>TLM</c:v>
          </c:tx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59946153846153849"/>
                  <c:y val="4.2740041928721176E-2"/>
                </c:manualLayout>
              </c:layout>
              <c:numFmt formatCode="#,##0.000" sourceLinked="0"/>
            </c:trendlineLbl>
          </c:trendline>
          <c:xVal>
            <c:numRef>
              <c:f>'AM acute meta. CTLBB (n=8)'!$F$7:$F$16</c:f>
              <c:numCache>
                <c:formatCode>0.00</c:formatCode>
                <c:ptCount val="10"/>
                <c:pt idx="0">
                  <c:v>0.01</c:v>
                </c:pt>
                <c:pt idx="1">
                  <c:v>2.54</c:v>
                </c:pt>
                <c:pt idx="2">
                  <c:v>2.54</c:v>
                </c:pt>
                <c:pt idx="3">
                  <c:v>3.17</c:v>
                </c:pt>
                <c:pt idx="4">
                  <c:v>3.17</c:v>
                </c:pt>
                <c:pt idx="5">
                  <c:v>3.72</c:v>
                </c:pt>
                <c:pt idx="6">
                  <c:v>3.72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5.5</c:v>
                </c:pt>
              </c:numCache>
            </c:numRef>
          </c:xVal>
          <c:yVal>
            <c:numRef>
              <c:f>'AM acute meta. CTLBB (n=8)'!$I$7:$I$16</c:f>
              <c:numCache>
                <c:formatCode>0.0000</c:formatCode>
                <c:ptCount val="10"/>
                <c:pt idx="0">
                  <c:v>0.97703664001434742</c:v>
                </c:pt>
                <c:pt idx="1">
                  <c:v>-1.4011633599856526</c:v>
                </c:pt>
                <c:pt idx="2">
                  <c:v>-1.4011633599856526</c:v>
                </c:pt>
                <c:pt idx="3">
                  <c:v>-1.9933633599856522</c:v>
                </c:pt>
                <c:pt idx="4">
                  <c:v>-1.9933633599856522</c:v>
                </c:pt>
                <c:pt idx="5">
                  <c:v>-2.5103633599856527</c:v>
                </c:pt>
                <c:pt idx="6">
                  <c:v>-2.5103633599856527</c:v>
                </c:pt>
                <c:pt idx="7">
                  <c:v>-3.1025633599856519</c:v>
                </c:pt>
                <c:pt idx="8">
                  <c:v>-3.1025633599856519</c:v>
                </c:pt>
                <c:pt idx="9">
                  <c:v>-4.1835633599856523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C-4FBB-BD5C-5891C9B422C9}"/>
            </c:ext>
          </c:extLst>
        </c:ser>
        <c:ser>
          <c:idx val="2"/>
          <c:order val="2"/>
          <c:tx>
            <c:v>Res std error lower</c:v>
          </c:tx>
          <c:spPr>
            <a:ln w="1905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'AM acute meta. CTLBB (n=8)'!$B$35:$B$36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acute meta. CTLBB (n=8)'!$C$35:$C$36</c:f>
              <c:numCache>
                <c:formatCode>0.0000</c:formatCode>
                <c:ptCount val="2"/>
                <c:pt idx="0">
                  <c:v>0.33413153222262637</c:v>
                </c:pt>
                <c:pt idx="1">
                  <c:v>-4.8264684677773735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C2-4756-B180-6BA79AD8D7FC}"/>
            </c:ext>
          </c:extLst>
        </c:ser>
        <c:ser>
          <c:idx val="4"/>
          <c:order val="3"/>
          <c:tx>
            <c:v>RMSE</c:v>
          </c:tx>
          <c:spPr>
            <a:ln w="1905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9DFE-4915-BBD0-713C0A70F5B5}"/>
              </c:ext>
            </c:extLst>
          </c:dPt>
          <c:xVal>
            <c:numRef>
              <c:f>'AM acute meta. CTLBB (n=8)'!$B$35:$B$36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acute meta. CTLBB (n=8)'!$D$35:$D$36</c:f>
              <c:numCache>
                <c:formatCode>0.0000</c:formatCode>
                <c:ptCount val="2"/>
                <c:pt idx="0">
                  <c:v>1.6199417478060685</c:v>
                </c:pt>
                <c:pt idx="1">
                  <c:v>-3.5406582521939312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B15-4D0F-A6AB-AE27015B892E}"/>
            </c:ext>
          </c:extLst>
        </c:ser>
        <c:ser>
          <c:idx val="3"/>
          <c:order val="4"/>
          <c:tx>
            <c:v>Max conc</c:v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'AM acute meta. CTLBB (n=8)'!$F$41:$F$42</c:f>
              <c:numCache>
                <c:formatCode>General</c:formatCode>
                <c:ptCount val="2"/>
                <c:pt idx="0">
                  <c:v>4.3499999999999996</c:v>
                </c:pt>
                <c:pt idx="1">
                  <c:v>4.93</c:v>
                </c:pt>
              </c:numCache>
            </c:numRef>
          </c:xVal>
          <c:yVal>
            <c:numRef>
              <c:f>'AM acute meta. CTLBB (n=8)'!$G$41:$G$42</c:f>
              <c:numCache>
                <c:formatCode>0.0000</c:formatCode>
                <c:ptCount val="2"/>
                <c:pt idx="0">
                  <c:v>-3.7068396553505805</c:v>
                </c:pt>
                <c:pt idx="1">
                  <c:v>-3.3815018651931008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47-4794-A6A8-11A7EBC3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7032"/>
        <c:axId val="542926248"/>
      </c:scatterChart>
      <c:valAx>
        <c:axId val="542927032"/>
        <c:scaling>
          <c:orientation val="minMax"/>
          <c:max val="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Log Kow</a:t>
                </a:r>
              </a:p>
            </c:rich>
          </c:tx>
          <c:layout>
            <c:manualLayout>
              <c:xMode val="edge"/>
              <c:yMode val="edge"/>
              <c:x val="0.48001745014245006"/>
              <c:y val="0.94893920335429771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6248"/>
        <c:crossesAt val="-5"/>
        <c:crossBetween val="midCat"/>
        <c:minorUnit val="0.5"/>
      </c:valAx>
      <c:valAx>
        <c:axId val="542926248"/>
        <c:scaling>
          <c:orientation val="minMax"/>
          <c:max val="1"/>
          <c:min val="-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Log EC</a:t>
                </a:r>
                <a:r>
                  <a:rPr lang="en-US" b="0" baseline="-25000"/>
                  <a:t>50</a:t>
                </a:r>
                <a:r>
                  <a:rPr lang="en-US" b="0"/>
                  <a:t> (mM)</a:t>
                </a:r>
              </a:p>
            </c:rich>
          </c:tx>
          <c:layout>
            <c:manualLayout>
              <c:xMode val="edge"/>
              <c:yMode val="edge"/>
              <c:x val="2.5762108262108248E-3"/>
              <c:y val="0.30946881551362682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7032"/>
        <c:crossesAt val="1.0000000000000002E-2"/>
        <c:crossBetween val="midCat"/>
        <c:majorUnit val="1"/>
        <c:minorUnit val="0.5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8961561923964809"/>
          <c:y val="0.2142141829721034"/>
          <c:w val="0.25445697137880824"/>
          <c:h val="0.2313477463312368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476922</xdr:colOff>
      <xdr:row>21</xdr:row>
      <xdr:rowOff>57598</xdr:rowOff>
    </xdr:from>
    <xdr:to>
      <xdr:col>14</xdr:col>
      <xdr:colOff>606522</xdr:colOff>
      <xdr:row>43</xdr:row>
      <xdr:rowOff>69948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0.71819</cdr:x>
      <cdr:y>0.03614</cdr:y>
    </cdr:from>
    <cdr:to>
      <cdr:x>0.98877</cdr:x>
      <cdr:y>0.20808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1F9FB90-8D36-44CF-A8EC-D019AE0AA86E}"/>
            </a:ext>
          </a:extLst>
        </cdr:cNvPr>
        <cdr:cNvGrpSpPr/>
      </cdr:nvGrpSpPr>
      <cdr:grpSpPr>
        <a:xfrm xmlns:a="http://schemas.openxmlformats.org/drawingml/2006/main">
          <a:off x="3848655" y="135386"/>
          <a:ext cx="1449990" cy="644113"/>
          <a:chOff x="0" y="0"/>
          <a:chExt cx="1276508" cy="596065"/>
        </a:xfrm>
      </cdr:grpSpPr>
      <cdr:grpSp>
        <cdr:nvGrpSpPr>
          <cdr:cNvPr id="3" name="Group 2">
            <a:extLst xmlns:a="http://schemas.openxmlformats.org/drawingml/2006/main">
              <a:ext uri="{FF2B5EF4-FFF2-40B4-BE49-F238E27FC236}">
                <a16:creationId xmlns:a16="http://schemas.microsoft.com/office/drawing/2014/main" id="{459DD468-D5A3-4C63-AD18-AD28CB22C1A5}"/>
              </a:ext>
            </a:extLst>
          </cdr:cNvPr>
          <cdr:cNvGrpSpPr/>
        </cdr:nvGrpSpPr>
        <cdr:grpSpPr>
          <a:xfrm xmlns:a="http://schemas.openxmlformats.org/drawingml/2006/main">
            <a:off x="0" y="73470"/>
            <a:ext cx="72580" cy="468807"/>
            <a:chOff x="0" y="75747"/>
            <a:chExt cx="71390" cy="491602"/>
          </a:xfrm>
        </cdr:grpSpPr>
        <cdr:sp macro="" textlink="">
          <cdr:nvSpPr>
            <cdr:cNvPr id="9" name="Oval 8">
              <a:extLst xmlns:a="http://schemas.openxmlformats.org/drawingml/2006/main">
                <a:ext uri="{FF2B5EF4-FFF2-40B4-BE49-F238E27FC236}">
                  <a16:creationId xmlns:a16="http://schemas.microsoft.com/office/drawing/2014/main" id="{C1BFE430-EDD0-4B6F-9ED7-408F7236DCED}"/>
                </a:ext>
              </a:extLst>
            </cdr:cNvPr>
            <cdr:cNvSpPr/>
          </cdr:nvSpPr>
          <cdr:spPr>
            <a:xfrm xmlns:a="http://schemas.openxmlformats.org/drawingml/2006/main">
              <a:off x="0" y="75747"/>
              <a:ext cx="69135" cy="88028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 w="6350">
              <a:solidFill>
                <a:schemeClr val="accent6">
                  <a:lumMod val="60000"/>
                  <a:lumOff val="4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  <cdr:sp macro="" textlink="">
          <cdr:nvSpPr>
            <cdr:cNvPr id="10" name="Oval 9">
              <a:extLst xmlns:a="http://schemas.openxmlformats.org/drawingml/2006/main">
                <a:ext uri="{FF2B5EF4-FFF2-40B4-BE49-F238E27FC236}">
                  <a16:creationId xmlns:a16="http://schemas.microsoft.com/office/drawing/2014/main" id="{4004A91B-B1AB-41DF-A126-F85C78A48BF0}"/>
                </a:ext>
              </a:extLst>
            </cdr:cNvPr>
            <cdr:cNvSpPr/>
          </cdr:nvSpPr>
          <cdr:spPr>
            <a:xfrm xmlns:a="http://schemas.openxmlformats.org/drawingml/2006/main">
              <a:off x="440" y="211217"/>
              <a:ext cx="69135" cy="88028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 w="6350">
              <a:solidFill>
                <a:schemeClr val="accent6">
                  <a:lumMod val="75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  <cdr:sp macro="" textlink="">
          <cdr:nvSpPr>
            <cdr:cNvPr id="11" name="Oval 10">
              <a:extLst xmlns:a="http://schemas.openxmlformats.org/drawingml/2006/main">
                <a:ext uri="{FF2B5EF4-FFF2-40B4-BE49-F238E27FC236}">
                  <a16:creationId xmlns:a16="http://schemas.microsoft.com/office/drawing/2014/main" id="{2A090CD3-E710-432F-A2CB-FCF57B653E64}"/>
                </a:ext>
              </a:extLst>
            </cdr:cNvPr>
            <cdr:cNvSpPr/>
          </cdr:nvSpPr>
          <cdr:spPr>
            <a:xfrm xmlns:a="http://schemas.openxmlformats.org/drawingml/2006/main">
              <a:off x="0" y="345981"/>
              <a:ext cx="69135" cy="88028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 w="6350">
              <a:solidFill>
                <a:schemeClr val="accent6">
                  <a:lumMod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  <cdr:sp macro="" textlink="">
          <cdr:nvSpPr>
            <cdr:cNvPr id="12" name="Oval 11">
              <a:extLst xmlns:a="http://schemas.openxmlformats.org/drawingml/2006/main">
                <a:ext uri="{FF2B5EF4-FFF2-40B4-BE49-F238E27FC236}">
                  <a16:creationId xmlns:a16="http://schemas.microsoft.com/office/drawing/2014/main" id="{6E877DF5-6969-4285-8320-93C85045DC0A}"/>
                </a:ext>
              </a:extLst>
            </cdr:cNvPr>
            <cdr:cNvSpPr/>
          </cdr:nvSpPr>
          <cdr:spPr>
            <a:xfrm xmlns:a="http://schemas.openxmlformats.org/drawingml/2006/main">
              <a:off x="0" y="479321"/>
              <a:ext cx="71390" cy="88028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rgbClr val="203214"/>
            </a:solidFill>
            <a:ln xmlns:a="http://schemas.openxmlformats.org/drawingml/2006/main" w="6350">
              <a:solidFill>
                <a:srgbClr val="203214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</cdr:grpSp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D9CA0499-ADCD-47F8-8B0A-8E0AA59170E4}"/>
              </a:ext>
            </a:extLst>
          </cdr:cNvPr>
          <cdr:cNvGrpSpPr/>
        </cdr:nvGrpSpPr>
        <cdr:grpSpPr>
          <a:xfrm xmlns:a="http://schemas.openxmlformats.org/drawingml/2006/main">
            <a:off x="55757" y="0"/>
            <a:ext cx="1220751" cy="596065"/>
            <a:chOff x="55286" y="0"/>
            <a:chExt cx="1200743" cy="625044"/>
          </a:xfrm>
        </cdr:grpSpPr>
        <cdr:sp macro="" textlink="">
          <cdr:nvSpPr>
            <cdr:cNvPr id="5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2078ECB6-C167-4F22-8E3E-389EC6AF0F08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0"/>
              <a:ext cx="542514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Toluene</a:t>
              </a:r>
            </a:p>
          </cdr:txBody>
        </cdr:sp>
        <cdr:sp macro="" textlink="">
          <cdr:nvSpPr>
            <cdr:cNvPr id="6" name="TextBox 12">
              <a:extLst xmlns:a="http://schemas.openxmlformats.org/drawingml/2006/main">
                <a:ext uri="{FF2B5EF4-FFF2-40B4-BE49-F238E27FC236}">
                  <a16:creationId xmlns:a16="http://schemas.microsoft.com/office/drawing/2014/main" id="{A1C6AEC4-28FC-42FF-9AA3-27E23E50BE30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134733"/>
              <a:ext cx="773360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Naphthalene</a:t>
              </a:r>
            </a:p>
          </cdr:txBody>
        </cdr:sp>
        <cdr:sp macro="" textlink="">
          <cdr:nvSpPr>
            <cdr:cNvPr id="7" name="TextBox 13">
              <a:extLst xmlns:a="http://schemas.openxmlformats.org/drawingml/2006/main">
                <a:ext uri="{FF2B5EF4-FFF2-40B4-BE49-F238E27FC236}">
                  <a16:creationId xmlns:a16="http://schemas.microsoft.com/office/drawing/2014/main" id="{8A62359E-0A4F-4DBF-9DBA-15EDFBC3A439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269466"/>
              <a:ext cx="1200743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1-methylnaphthalene</a:t>
              </a:r>
            </a:p>
          </cdr:txBody>
        </cdr:sp>
        <cdr:sp macro="" textlink="">
          <cdr:nvSpPr>
            <cdr:cNvPr id="8" name="TextBox 14">
              <a:extLst xmlns:a="http://schemas.openxmlformats.org/drawingml/2006/main">
                <a:ext uri="{FF2B5EF4-FFF2-40B4-BE49-F238E27FC236}">
                  <a16:creationId xmlns:a16="http://schemas.microsoft.com/office/drawing/2014/main" id="{4323A55A-CE52-4DB8-8F72-FC4529C2800D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422347"/>
              <a:ext cx="965246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Phenanthrene</a:t>
              </a:r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0"/>
  <sheetViews>
    <sheetView workbookViewId="0">
      <selection activeCell="J28" sqref="J28"/>
    </sheetView>
  </sheetViews>
  <sheetFormatPr defaultRowHeight="15"/>
  <cols>
    <col min="2" max="2" width="21" customWidth="1"/>
    <col min="3" max="3" width="8.140625" customWidth="1"/>
    <col min="5" max="5" width="11.5703125" customWidth="1"/>
    <col min="6" max="6" width="11.42578125" customWidth="1"/>
    <col min="7" max="7" width="12.140625" customWidth="1"/>
    <col min="10" max="10" width="23.5703125" customWidth="1"/>
    <col min="11" max="11" width="18" customWidth="1"/>
    <col min="12" max="12" width="20.5703125" customWidth="1"/>
    <col min="13" max="13" width="10.42578125" customWidth="1"/>
    <col min="14" max="14" width="12.140625" bestFit="1" customWidth="1"/>
    <col min="15" max="15" width="12" bestFit="1" customWidth="1"/>
    <col min="16" max="17" width="12" customWidth="1"/>
    <col min="18" max="18" width="12.140625" bestFit="1" customWidth="1"/>
    <col min="21" max="21" width="12.42578125" bestFit="1" customWidth="1"/>
    <col min="22" max="22" width="15.42578125" customWidth="1"/>
    <col min="26" max="26" width="12.140625" bestFit="1" customWidth="1"/>
    <col min="27" max="27" width="15.42578125" customWidth="1"/>
  </cols>
  <sheetData>
    <row r="2" spans="2:27" ht="15.75" thickBot="1"/>
    <row r="3" spans="2:27" ht="29.1" customHeight="1">
      <c r="B3" s="111" t="s">
        <v>0</v>
      </c>
      <c r="C3" s="113" t="s">
        <v>1</v>
      </c>
      <c r="D3" s="115" t="s">
        <v>2</v>
      </c>
      <c r="E3" s="99" t="s">
        <v>3</v>
      </c>
      <c r="F3" s="99" t="s">
        <v>4</v>
      </c>
      <c r="G3" s="99" t="s">
        <v>5</v>
      </c>
      <c r="H3" s="115" t="s">
        <v>6</v>
      </c>
      <c r="J3" s="70" t="s">
        <v>7</v>
      </c>
      <c r="L3" s="46" t="s">
        <v>8</v>
      </c>
      <c r="M3" s="89" t="s">
        <v>9</v>
      </c>
      <c r="N3" s="131" t="s">
        <v>10</v>
      </c>
      <c r="O3" s="131"/>
      <c r="P3" s="131"/>
      <c r="Q3" s="131"/>
      <c r="R3" s="131" t="s">
        <v>11</v>
      </c>
      <c r="S3" s="131"/>
      <c r="T3" s="131"/>
      <c r="U3" s="131"/>
      <c r="V3" s="131"/>
      <c r="W3" s="131" t="s">
        <v>12</v>
      </c>
      <c r="X3" s="131"/>
      <c r="Y3" s="131"/>
      <c r="Z3" s="131"/>
      <c r="AA3" s="132"/>
    </row>
    <row r="4" spans="2:27" ht="31.5" customHeight="1">
      <c r="B4" s="112"/>
      <c r="C4" s="114"/>
      <c r="D4" s="116"/>
      <c r="E4" s="100" t="s">
        <v>13</v>
      </c>
      <c r="F4" s="100" t="s">
        <v>13</v>
      </c>
      <c r="G4" s="100" t="s">
        <v>13</v>
      </c>
      <c r="H4" s="116"/>
      <c r="L4" s="50"/>
      <c r="M4" s="15" t="s">
        <v>14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15</v>
      </c>
      <c r="S4" s="16" t="s">
        <v>16</v>
      </c>
      <c r="T4" s="16" t="s">
        <v>17</v>
      </c>
      <c r="U4" s="16" t="s">
        <v>18</v>
      </c>
      <c r="V4" s="90" t="s">
        <v>19</v>
      </c>
      <c r="W4" s="16" t="s">
        <v>15</v>
      </c>
      <c r="X4" s="16" t="s">
        <v>16</v>
      </c>
      <c r="Y4" s="16" t="s">
        <v>17</v>
      </c>
      <c r="Z4" s="16" t="s">
        <v>18</v>
      </c>
      <c r="AA4" s="91" t="s">
        <v>19</v>
      </c>
    </row>
    <row r="5" spans="2:27">
      <c r="B5" s="117" t="s">
        <v>20</v>
      </c>
      <c r="C5" s="118">
        <v>2019</v>
      </c>
      <c r="D5" s="119" t="s">
        <v>21</v>
      </c>
      <c r="E5" s="53">
        <v>6295</v>
      </c>
      <c r="F5" s="53">
        <v>4076</v>
      </c>
      <c r="G5" s="61">
        <v>8764</v>
      </c>
      <c r="H5" s="121">
        <v>1</v>
      </c>
      <c r="L5" s="46" t="s">
        <v>20</v>
      </c>
      <c r="M5" s="47">
        <v>92.1</v>
      </c>
      <c r="N5" s="75">
        <v>8764</v>
      </c>
      <c r="O5" s="76">
        <f>N5/M5</f>
        <v>95.157437567861024</v>
      </c>
      <c r="P5" s="77">
        <f>LOG(O5/1000)</f>
        <v>-1.0215572613081811</v>
      </c>
      <c r="Q5" s="78">
        <f>P5+$M$17</f>
        <v>-0.99655726130818112</v>
      </c>
      <c r="R5" s="46">
        <v>6168</v>
      </c>
      <c r="S5" s="77">
        <f>R5/M5</f>
        <v>66.970684039087956</v>
      </c>
      <c r="T5" s="77">
        <f>LOG(S5/1000)</f>
        <v>-1.1741152651539484</v>
      </c>
      <c r="U5" s="33">
        <f>T5+$M$17</f>
        <v>-1.1491152651539485</v>
      </c>
      <c r="V5" s="79">
        <f>U5-Q5</f>
        <v>-0.15255800384576734</v>
      </c>
      <c r="W5" s="46">
        <v>12453</v>
      </c>
      <c r="X5" s="77">
        <f>W5/M5</f>
        <v>135.21172638436482</v>
      </c>
      <c r="Y5" s="77">
        <f>LOG(X5/1000)</f>
        <v>-0.86898564209866702</v>
      </c>
      <c r="Z5" s="77">
        <f>Y5+$M$17</f>
        <v>-0.843985642098667</v>
      </c>
      <c r="AA5" s="79">
        <f>Z5-Q5</f>
        <v>0.15257161920951412</v>
      </c>
    </row>
    <row r="6" spans="2:27">
      <c r="B6" s="117"/>
      <c r="C6" s="118"/>
      <c r="D6" s="120"/>
      <c r="E6" s="54" t="s">
        <v>22</v>
      </c>
      <c r="F6" s="54" t="s">
        <v>23</v>
      </c>
      <c r="G6" s="62" t="s">
        <v>24</v>
      </c>
      <c r="H6" s="121"/>
      <c r="L6" s="48" t="s">
        <v>20</v>
      </c>
      <c r="M6" s="49">
        <v>92.1</v>
      </c>
      <c r="N6" s="80">
        <v>8588</v>
      </c>
      <c r="O6" s="81">
        <f>N6/M6</f>
        <v>93.246471226927255</v>
      </c>
      <c r="P6" s="33">
        <f t="shared" ref="P6:P12" si="0">LOG(O6/1000)</f>
        <v>-1.0303675944326378</v>
      </c>
      <c r="Q6" s="82">
        <f>P6+$M$17</f>
        <v>-1.0053675944326379</v>
      </c>
      <c r="R6" s="48">
        <v>7204</v>
      </c>
      <c r="S6" s="33">
        <f t="shared" ref="S6:S12" si="1">R6/M6</f>
        <v>78.219326818675356</v>
      </c>
      <c r="T6" s="33">
        <f t="shared" ref="T6:T12" si="2">LOG(S6/1000)</f>
        <v>-1.1066859260493531</v>
      </c>
      <c r="U6" s="33">
        <f>T6+$M$17</f>
        <v>-1.0816859260493532</v>
      </c>
      <c r="V6" s="83">
        <f>U6-Q6</f>
        <v>-7.6318331616715307E-2</v>
      </c>
      <c r="W6" s="48">
        <v>11179</v>
      </c>
      <c r="X6" s="33">
        <f t="shared" ref="X6:X12" si="3">W6/M6</f>
        <v>121.37893593919654</v>
      </c>
      <c r="Y6" s="33">
        <f t="shared" ref="Y6:Y12" si="4">LOG(X6/1000)</f>
        <v>-0.91585667404410909</v>
      </c>
      <c r="Z6" s="33">
        <f>Y6+$M$17</f>
        <v>-0.89085667404410906</v>
      </c>
      <c r="AA6" s="83">
        <f>Z6-Q6</f>
        <v>0.11451092038852884</v>
      </c>
    </row>
    <row r="7" spans="2:27">
      <c r="B7" s="117"/>
      <c r="C7" s="118"/>
      <c r="D7" s="122" t="s">
        <v>25</v>
      </c>
      <c r="E7" s="55">
        <v>7383</v>
      </c>
      <c r="F7" s="55">
        <v>6938</v>
      </c>
      <c r="G7" s="63">
        <v>8588</v>
      </c>
      <c r="H7" s="121"/>
      <c r="L7" s="48" t="s">
        <v>26</v>
      </c>
      <c r="M7" s="49">
        <v>128.19999999999999</v>
      </c>
      <c r="N7" s="80">
        <v>198</v>
      </c>
      <c r="O7" s="81">
        <f t="shared" ref="O7:O12" si="5">N7/M7</f>
        <v>1.544461778471139</v>
      </c>
      <c r="P7" s="33">
        <f t="shared" si="0"/>
        <v>-2.8112228349212676</v>
      </c>
      <c r="Q7" s="82">
        <f t="shared" ref="Q7:Q12" si="6">P7+$M$18</f>
        <v>-2.4472228349212677</v>
      </c>
      <c r="R7" s="48">
        <v>44.1</v>
      </c>
      <c r="S7" s="33">
        <f t="shared" si="1"/>
        <v>0.34399375975039004</v>
      </c>
      <c r="T7" s="33">
        <f t="shared" si="2"/>
        <v>-3.4634494357149599</v>
      </c>
      <c r="U7" s="33">
        <f t="shared" ref="U7:U12" si="7">T7+$M$18</f>
        <v>-3.09944943571496</v>
      </c>
      <c r="V7" s="83">
        <f t="shared" ref="V7:V12" si="8">U7-Q7</f>
        <v>-0.65222660079369232</v>
      </c>
      <c r="W7" s="48">
        <v>652</v>
      </c>
      <c r="X7" s="33">
        <f t="shared" si="3"/>
        <v>5.0858034321372863</v>
      </c>
      <c r="Y7" s="33">
        <f t="shared" si="4"/>
        <v>-2.2936404294508783</v>
      </c>
      <c r="Z7" s="33">
        <f t="shared" ref="Z7:Z12" si="9">Y7+$M$18</f>
        <v>-1.9296404294508784</v>
      </c>
      <c r="AA7" s="83">
        <f>Z7-Q7</f>
        <v>0.51758240547038925</v>
      </c>
    </row>
    <row r="8" spans="2:27">
      <c r="B8" s="117"/>
      <c r="C8" s="118"/>
      <c r="D8" s="122"/>
      <c r="E8" s="56" t="s">
        <v>27</v>
      </c>
      <c r="F8" s="56" t="s">
        <v>28</v>
      </c>
      <c r="G8" s="64" t="s">
        <v>29</v>
      </c>
      <c r="H8" s="121"/>
      <c r="L8" s="48" t="s">
        <v>26</v>
      </c>
      <c r="M8" s="49">
        <v>128.19999999999999</v>
      </c>
      <c r="N8" s="80">
        <v>313</v>
      </c>
      <c r="O8" s="81">
        <f t="shared" si="5"/>
        <v>2.4414976599063967</v>
      </c>
      <c r="P8" s="33">
        <f t="shared" si="0"/>
        <v>-2.6123436876363502</v>
      </c>
      <c r="Q8" s="82">
        <f t="shared" si="6"/>
        <v>-2.2483436876363503</v>
      </c>
      <c r="R8" s="48">
        <v>171</v>
      </c>
      <c r="S8" s="33">
        <f t="shared" si="1"/>
        <v>1.3338533541341655</v>
      </c>
      <c r="T8" s="33">
        <f t="shared" si="2"/>
        <v>-2.8748919147906449</v>
      </c>
      <c r="U8" s="33">
        <f t="shared" si="7"/>
        <v>-2.510891914790645</v>
      </c>
      <c r="V8" s="83">
        <f t="shared" si="8"/>
        <v>-0.26254822715429471</v>
      </c>
      <c r="W8" s="48">
        <v>558</v>
      </c>
      <c r="X8" s="33">
        <f t="shared" si="3"/>
        <v>4.3525741029641187</v>
      </c>
      <c r="Y8" s="33">
        <f t="shared" si="4"/>
        <v>-2.3612538262452198</v>
      </c>
      <c r="Z8" s="33">
        <f t="shared" si="9"/>
        <v>-1.99725382624522</v>
      </c>
      <c r="AA8" s="83">
        <f t="shared" ref="AA8:AA12" si="10">Z8-Q8</f>
        <v>0.25108986139113032</v>
      </c>
    </row>
    <row r="9" spans="2:27">
      <c r="B9" s="123" t="s">
        <v>26</v>
      </c>
      <c r="C9" s="124">
        <v>2018</v>
      </c>
      <c r="D9" s="119" t="s">
        <v>30</v>
      </c>
      <c r="E9" s="101" t="s">
        <v>31</v>
      </c>
      <c r="F9" s="101">
        <v>14.8</v>
      </c>
      <c r="G9" s="65">
        <v>198</v>
      </c>
      <c r="H9" s="126">
        <v>0.6</v>
      </c>
      <c r="I9" s="43"/>
      <c r="L9" s="48" t="s">
        <v>32</v>
      </c>
      <c r="M9" s="49">
        <v>142.19999999999999</v>
      </c>
      <c r="N9" s="80">
        <v>39.799999999999997</v>
      </c>
      <c r="O9" s="81">
        <f t="shared" si="5"/>
        <v>0.27988748241912798</v>
      </c>
      <c r="P9" s="33">
        <f t="shared" si="0"/>
        <v>-3.5530165243200598</v>
      </c>
      <c r="Q9" s="82">
        <f t="shared" si="6"/>
        <v>-3.1890165243200599</v>
      </c>
      <c r="R9" s="48">
        <v>15.5</v>
      </c>
      <c r="S9" s="33">
        <f t="shared" si="1"/>
        <v>0.10900140646976091</v>
      </c>
      <c r="T9" s="33">
        <f t="shared" si="2"/>
        <v>-3.962567898223456</v>
      </c>
      <c r="U9" s="33">
        <f t="shared" si="7"/>
        <v>-3.5985678982234561</v>
      </c>
      <c r="V9" s="83">
        <f t="shared" si="8"/>
        <v>-0.40955137390339624</v>
      </c>
      <c r="W9" s="48">
        <v>116</v>
      </c>
      <c r="X9" s="33">
        <f t="shared" si="3"/>
        <v>0.81575246132208168</v>
      </c>
      <c r="Y9" s="33">
        <f>LOG(X9/1000)</f>
        <v>-3.0884416071668288</v>
      </c>
      <c r="Z9" s="33">
        <f t="shared" si="9"/>
        <v>-2.7244416071668289</v>
      </c>
      <c r="AA9" s="83">
        <f t="shared" si="10"/>
        <v>0.46457491715323096</v>
      </c>
    </row>
    <row r="10" spans="2:27">
      <c r="B10" s="117"/>
      <c r="C10" s="118"/>
      <c r="D10" s="120"/>
      <c r="E10" s="54" t="s">
        <v>33</v>
      </c>
      <c r="F10" s="54" t="s">
        <v>34</v>
      </c>
      <c r="G10" s="62" t="s">
        <v>35</v>
      </c>
      <c r="H10" s="121"/>
      <c r="L10" s="48" t="s">
        <v>32</v>
      </c>
      <c r="M10" s="49">
        <v>142.19999999999999</v>
      </c>
      <c r="N10" s="80">
        <v>25.2</v>
      </c>
      <c r="O10" s="81">
        <f t="shared" si="5"/>
        <v>0.17721518987341772</v>
      </c>
      <c r="P10" s="33">
        <f t="shared" si="0"/>
        <v>-3.7514990556122032</v>
      </c>
      <c r="Q10" s="82">
        <f t="shared" si="6"/>
        <v>-3.3874990556122033</v>
      </c>
      <c r="R10" s="48">
        <v>8.6999999999999993</v>
      </c>
      <c r="S10" s="33">
        <f t="shared" si="1"/>
        <v>6.118143459915612E-2</v>
      </c>
      <c r="T10" s="33">
        <f t="shared" si="2"/>
        <v>-4.2133803437751292</v>
      </c>
      <c r="U10" s="33">
        <f t="shared" si="7"/>
        <v>-3.8493803437751293</v>
      </c>
      <c r="V10" s="83">
        <f t="shared" si="8"/>
        <v>-0.46188128816292595</v>
      </c>
      <c r="W10" s="48">
        <v>101.9</v>
      </c>
      <c r="X10" s="33">
        <f t="shared" si="3"/>
        <v>0.71659634317862175</v>
      </c>
      <c r="Y10" s="33">
        <f t="shared" si="4"/>
        <v>-3.144725412387321</v>
      </c>
      <c r="Z10" s="33">
        <f t="shared" si="9"/>
        <v>-2.7807254123873211</v>
      </c>
      <c r="AA10" s="83">
        <f t="shared" si="10"/>
        <v>0.60677364322488225</v>
      </c>
    </row>
    <row r="11" spans="2:27">
      <c r="B11" s="110"/>
      <c r="C11" s="118"/>
      <c r="D11" s="109"/>
      <c r="E11" s="56"/>
      <c r="F11" s="56"/>
      <c r="G11" s="64"/>
      <c r="H11" s="121"/>
      <c r="L11" s="48" t="s">
        <v>36</v>
      </c>
      <c r="M11" s="49">
        <v>178.23</v>
      </c>
      <c r="N11" s="80">
        <v>330</v>
      </c>
      <c r="O11" s="81">
        <f t="shared" si="5"/>
        <v>1.851540144756775</v>
      </c>
      <c r="P11" s="33">
        <f t="shared" si="0"/>
        <v>-2.732466867218462</v>
      </c>
      <c r="Q11" s="82">
        <f t="shared" si="6"/>
        <v>-2.3684668672184621</v>
      </c>
      <c r="R11" s="48">
        <v>266</v>
      </c>
      <c r="S11" s="33">
        <f t="shared" si="1"/>
        <v>1.4924535712281883</v>
      </c>
      <c r="T11" s="33">
        <f t="shared" si="2"/>
        <v>-2.8260991704652825</v>
      </c>
      <c r="U11" s="33">
        <f t="shared" si="7"/>
        <v>-2.4620991704652826</v>
      </c>
      <c r="V11" s="83">
        <f t="shared" si="8"/>
        <v>-9.3632303246820481E-2</v>
      </c>
      <c r="W11" s="48">
        <v>426</v>
      </c>
      <c r="X11" s="33">
        <f t="shared" si="3"/>
        <v>2.3901700050496553</v>
      </c>
      <c r="Y11" s="33">
        <f t="shared" si="4"/>
        <v>-2.6215712079936306</v>
      </c>
      <c r="Z11" s="33">
        <f t="shared" si="9"/>
        <v>-2.2575712079936308</v>
      </c>
      <c r="AA11" s="83">
        <f t="shared" si="10"/>
        <v>0.11089565922483136</v>
      </c>
    </row>
    <row r="12" spans="2:27">
      <c r="B12" s="117"/>
      <c r="C12" s="118"/>
      <c r="D12" s="122" t="s">
        <v>25</v>
      </c>
      <c r="E12" s="57" t="s">
        <v>37</v>
      </c>
      <c r="F12" s="57">
        <v>34.9</v>
      </c>
      <c r="G12" s="66">
        <v>313</v>
      </c>
      <c r="H12" s="121"/>
      <c r="I12" s="43"/>
      <c r="L12" s="50" t="s">
        <v>36</v>
      </c>
      <c r="M12" s="51">
        <v>178.23</v>
      </c>
      <c r="N12" s="84">
        <v>327</v>
      </c>
      <c r="O12" s="85">
        <f t="shared" si="5"/>
        <v>1.8347079616226225</v>
      </c>
      <c r="P12" s="86">
        <f t="shared" si="0"/>
        <v>-2.7364330544360635</v>
      </c>
      <c r="Q12" s="87">
        <f t="shared" si="6"/>
        <v>-2.3724330544360637</v>
      </c>
      <c r="R12" s="50">
        <v>219</v>
      </c>
      <c r="S12" s="86">
        <f t="shared" si="1"/>
        <v>1.2287493687931326</v>
      </c>
      <c r="T12" s="86">
        <f t="shared" si="2"/>
        <v>-2.910536692256231</v>
      </c>
      <c r="U12" s="86">
        <f t="shared" si="7"/>
        <v>-2.5465366922562311</v>
      </c>
      <c r="V12" s="88">
        <f t="shared" si="8"/>
        <v>-0.17410363782016747</v>
      </c>
      <c r="W12" s="50">
        <v>466</v>
      </c>
      <c r="X12" s="86">
        <f t="shared" si="3"/>
        <v>2.6145991135050219</v>
      </c>
      <c r="Y12" s="86">
        <f t="shared" si="4"/>
        <v>-2.5825948904063494</v>
      </c>
      <c r="Z12" s="86">
        <f t="shared" si="9"/>
        <v>-2.2185948904063495</v>
      </c>
      <c r="AA12" s="88">
        <f t="shared" si="10"/>
        <v>0.15383816402971418</v>
      </c>
    </row>
    <row r="13" spans="2:27">
      <c r="B13" s="128"/>
      <c r="C13" s="125"/>
      <c r="D13" s="120"/>
      <c r="E13" s="54" t="s">
        <v>38</v>
      </c>
      <c r="F13" s="54" t="s">
        <v>39</v>
      </c>
      <c r="G13" s="62" t="s">
        <v>40</v>
      </c>
      <c r="H13" s="127"/>
    </row>
    <row r="14" spans="2:27" ht="22.5" customHeight="1">
      <c r="B14" s="123" t="s">
        <v>41</v>
      </c>
      <c r="C14" s="124">
        <v>2019</v>
      </c>
      <c r="D14" s="119" t="s">
        <v>21</v>
      </c>
      <c r="E14" s="58">
        <v>1.3</v>
      </c>
      <c r="F14" s="58">
        <v>2.6</v>
      </c>
      <c r="G14" s="67">
        <v>39.799999999999997</v>
      </c>
      <c r="H14" s="126">
        <v>1.6</v>
      </c>
      <c r="I14" s="43"/>
    </row>
    <row r="15" spans="2:27">
      <c r="B15" s="117"/>
      <c r="C15" s="118"/>
      <c r="D15" s="120"/>
      <c r="E15" s="59" t="s">
        <v>42</v>
      </c>
      <c r="F15" s="59" t="s">
        <v>43</v>
      </c>
      <c r="G15" s="68" t="s">
        <v>44</v>
      </c>
      <c r="H15" s="121"/>
    </row>
    <row r="16" spans="2:27">
      <c r="B16" s="117"/>
      <c r="C16" s="118"/>
      <c r="D16" s="122" t="s">
        <v>25</v>
      </c>
      <c r="E16" s="60">
        <v>1.3</v>
      </c>
      <c r="F16" s="60">
        <v>1.5</v>
      </c>
      <c r="G16" s="69">
        <v>25.2</v>
      </c>
      <c r="H16" s="121"/>
      <c r="L16" s="9" t="s">
        <v>45</v>
      </c>
      <c r="M16" s="10" t="s">
        <v>46</v>
      </c>
      <c r="N16" s="44" t="s">
        <v>47</v>
      </c>
    </row>
    <row r="17" spans="2:14">
      <c r="B17" s="128"/>
      <c r="C17" s="125"/>
      <c r="D17" s="120"/>
      <c r="E17" s="59" t="s">
        <v>48</v>
      </c>
      <c r="F17" s="59" t="s">
        <v>49</v>
      </c>
      <c r="G17" s="68" t="s">
        <v>50</v>
      </c>
      <c r="H17" s="127"/>
      <c r="L17" s="25" t="s">
        <v>51</v>
      </c>
      <c r="M17" s="102">
        <v>2.5000000000000001E-2</v>
      </c>
      <c r="N17" s="11" t="s">
        <v>52</v>
      </c>
    </row>
    <row r="18" spans="2:14">
      <c r="B18" s="117" t="s">
        <v>36</v>
      </c>
      <c r="C18" s="133">
        <v>2018</v>
      </c>
      <c r="D18" s="119" t="s">
        <v>21</v>
      </c>
      <c r="E18" s="101">
        <v>265</v>
      </c>
      <c r="F18" s="101">
        <v>246</v>
      </c>
      <c r="G18" s="65">
        <v>330</v>
      </c>
      <c r="H18" s="121">
        <v>1</v>
      </c>
      <c r="L18" s="13" t="s">
        <v>53</v>
      </c>
      <c r="M18" s="3">
        <v>0.36399999999999999</v>
      </c>
      <c r="N18" s="2"/>
    </row>
    <row r="19" spans="2:14">
      <c r="B19" s="117"/>
      <c r="C19" s="133"/>
      <c r="D19" s="120"/>
      <c r="E19" s="54" t="s">
        <v>54</v>
      </c>
      <c r="F19" s="54" t="s">
        <v>55</v>
      </c>
      <c r="G19" s="62" t="s">
        <v>56</v>
      </c>
      <c r="H19" s="121"/>
      <c r="L19" s="13" t="s">
        <v>57</v>
      </c>
      <c r="M19" s="92">
        <v>0.94</v>
      </c>
      <c r="N19" s="2"/>
    </row>
    <row r="20" spans="2:14">
      <c r="B20" s="117"/>
      <c r="C20" s="133"/>
      <c r="D20" s="122" t="s">
        <v>25</v>
      </c>
      <c r="E20" s="57">
        <v>222</v>
      </c>
      <c r="F20" s="57">
        <v>189</v>
      </c>
      <c r="G20" s="66">
        <v>327</v>
      </c>
      <c r="H20" s="121"/>
      <c r="L20" s="24" t="s">
        <v>58</v>
      </c>
      <c r="M20" s="14"/>
      <c r="N20" s="14"/>
    </row>
    <row r="21" spans="2:14">
      <c r="B21" s="128"/>
      <c r="C21" s="134"/>
      <c r="D21" s="120"/>
      <c r="E21" s="54" t="s">
        <v>59</v>
      </c>
      <c r="F21" s="54" t="s">
        <v>60</v>
      </c>
      <c r="G21" s="62" t="s">
        <v>61</v>
      </c>
      <c r="H21" s="127"/>
    </row>
    <row r="22" spans="2:14" ht="16.5" customHeight="1">
      <c r="B22" s="117" t="s">
        <v>62</v>
      </c>
      <c r="C22" s="119" t="s">
        <v>63</v>
      </c>
      <c r="D22" s="119" t="s">
        <v>21</v>
      </c>
      <c r="E22" s="101">
        <v>4.9000000000000004</v>
      </c>
      <c r="F22" s="101">
        <v>29</v>
      </c>
      <c r="G22" s="129" t="s">
        <v>64</v>
      </c>
      <c r="H22" s="121" t="s">
        <v>65</v>
      </c>
    </row>
    <row r="23" spans="2:14" ht="14.25" customHeight="1">
      <c r="B23" s="117"/>
      <c r="C23" s="122"/>
      <c r="D23" s="120"/>
      <c r="E23" s="54" t="s">
        <v>66</v>
      </c>
      <c r="F23" s="54" t="s">
        <v>67</v>
      </c>
      <c r="G23" s="130"/>
      <c r="H23" s="121"/>
    </row>
    <row r="24" spans="2:14">
      <c r="B24" s="117"/>
      <c r="C24" s="122"/>
      <c r="D24" s="122" t="s">
        <v>25</v>
      </c>
      <c r="E24" s="57">
        <v>13.4</v>
      </c>
      <c r="F24" s="57">
        <v>14.6</v>
      </c>
      <c r="G24" s="57">
        <v>20.399999999999999</v>
      </c>
      <c r="H24" s="121"/>
    </row>
    <row r="25" spans="2:14">
      <c r="B25" s="128"/>
      <c r="C25" s="120"/>
      <c r="D25" s="120"/>
      <c r="E25" s="54" t="s">
        <v>68</v>
      </c>
      <c r="F25" s="54" t="s">
        <v>69</v>
      </c>
      <c r="G25" s="54" t="s">
        <v>70</v>
      </c>
      <c r="H25" s="127"/>
    </row>
    <row r="26" spans="2:14">
      <c r="B26" s="123" t="s">
        <v>71</v>
      </c>
      <c r="C26" s="124">
        <v>2017</v>
      </c>
      <c r="D26" s="119" t="s">
        <v>21</v>
      </c>
      <c r="E26" s="101">
        <v>6.3</v>
      </c>
      <c r="F26" s="129" t="s">
        <v>72</v>
      </c>
      <c r="G26" s="129" t="s">
        <v>72</v>
      </c>
      <c r="H26" s="121" t="s">
        <v>73</v>
      </c>
    </row>
    <row r="27" spans="2:14">
      <c r="B27" s="117"/>
      <c r="C27" s="118"/>
      <c r="D27" s="120"/>
      <c r="E27" s="54" t="s">
        <v>74</v>
      </c>
      <c r="F27" s="130"/>
      <c r="G27" s="130"/>
      <c r="H27" s="121"/>
    </row>
    <row r="28" spans="2:14">
      <c r="B28" s="117"/>
      <c r="C28" s="118"/>
      <c r="D28" s="122" t="s">
        <v>25</v>
      </c>
      <c r="E28" s="57">
        <v>3.5</v>
      </c>
      <c r="F28" s="57">
        <v>4.8</v>
      </c>
      <c r="G28" s="57">
        <v>6.8</v>
      </c>
      <c r="H28" s="121"/>
    </row>
    <row r="29" spans="2:14">
      <c r="B29" s="128"/>
      <c r="C29" s="125"/>
      <c r="D29" s="120"/>
      <c r="E29" s="54" t="s">
        <v>75</v>
      </c>
      <c r="F29" s="98" t="s">
        <v>76</v>
      </c>
      <c r="G29" s="54" t="s">
        <v>77</v>
      </c>
      <c r="H29" s="127"/>
    </row>
    <row r="30" spans="2:14">
      <c r="B30" s="42"/>
    </row>
  </sheetData>
  <mergeCells count="46">
    <mergeCell ref="N3:Q3"/>
    <mergeCell ref="W3:AA3"/>
    <mergeCell ref="R3:V3"/>
    <mergeCell ref="C22:C25"/>
    <mergeCell ref="B18:B19"/>
    <mergeCell ref="C18:C21"/>
    <mergeCell ref="D18:D19"/>
    <mergeCell ref="H18:H21"/>
    <mergeCell ref="B20:B21"/>
    <mergeCell ref="D20:D21"/>
    <mergeCell ref="B14:B15"/>
    <mergeCell ref="C14:C17"/>
    <mergeCell ref="D14:D15"/>
    <mergeCell ref="H14:H17"/>
    <mergeCell ref="B16:B17"/>
    <mergeCell ref="D16:D17"/>
    <mergeCell ref="H26:H29"/>
    <mergeCell ref="B28:B29"/>
    <mergeCell ref="D28:D29"/>
    <mergeCell ref="B22:B23"/>
    <mergeCell ref="D22:D23"/>
    <mergeCell ref="G22:G23"/>
    <mergeCell ref="H22:H25"/>
    <mergeCell ref="B24:B25"/>
    <mergeCell ref="D24:D25"/>
    <mergeCell ref="B26:B27"/>
    <mergeCell ref="C26:C29"/>
    <mergeCell ref="D26:D27"/>
    <mergeCell ref="F26:F27"/>
    <mergeCell ref="G26:G27"/>
    <mergeCell ref="B9:B10"/>
    <mergeCell ref="C9:C13"/>
    <mergeCell ref="D9:D10"/>
    <mergeCell ref="H9:H13"/>
    <mergeCell ref="B12:B13"/>
    <mergeCell ref="D12:D13"/>
    <mergeCell ref="B3:B4"/>
    <mergeCell ref="C3:C4"/>
    <mergeCell ref="D3:D4"/>
    <mergeCell ref="H3:H4"/>
    <mergeCell ref="B5:B6"/>
    <mergeCell ref="C5:C8"/>
    <mergeCell ref="D5:D6"/>
    <mergeCell ref="H5:H8"/>
    <mergeCell ref="B7:B8"/>
    <mergeCell ref="D7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58"/>
  <sheetViews>
    <sheetView tabSelected="1" zoomScaleNormal="100" workbookViewId="0">
      <selection activeCell="H50" sqref="H50"/>
    </sheetView>
  </sheetViews>
  <sheetFormatPr defaultColWidth="9.140625" defaultRowHeight="12.75"/>
  <cols>
    <col min="1" max="1" width="9.140625" style="2"/>
    <col min="2" max="2" width="23" style="2" customWidth="1"/>
    <col min="3" max="4" width="14.5703125" style="2" customWidth="1"/>
    <col min="5" max="5" width="10.5703125" style="2" customWidth="1"/>
    <col min="6" max="6" width="10.140625" style="2" customWidth="1"/>
    <col min="7" max="7" width="12.5703125" style="2" customWidth="1"/>
    <col min="8" max="8" width="12.42578125" style="2" customWidth="1"/>
    <col min="9" max="9" width="12.5703125" style="2" customWidth="1"/>
    <col min="10" max="12" width="10.140625" style="2" customWidth="1"/>
    <col min="13" max="13" width="12.85546875" style="2" bestFit="1" customWidth="1"/>
    <col min="14" max="15" width="10.140625" style="2" customWidth="1"/>
    <col min="16" max="16" width="33.42578125" style="2" bestFit="1" customWidth="1"/>
    <col min="17" max="17" width="7.42578125" style="2" customWidth="1"/>
    <col min="18" max="18" width="21" style="2" bestFit="1" customWidth="1"/>
    <col min="19" max="16384" width="9.140625" style="2"/>
  </cols>
  <sheetData>
    <row r="1" spans="2:18" ht="12.75" customHeight="1"/>
    <row r="2" spans="2:18" ht="12.75" customHeight="1" thickBot="1">
      <c r="B2" s="1" t="s">
        <v>78</v>
      </c>
      <c r="J2" s="2" t="s">
        <v>79</v>
      </c>
      <c r="L2" s="3" t="s">
        <v>80</v>
      </c>
      <c r="M2" s="3" t="s">
        <v>81</v>
      </c>
      <c r="N2" s="3"/>
      <c r="P2" s="3"/>
    </row>
    <row r="3" spans="2:18" ht="12.75" customHeight="1" thickBot="1">
      <c r="B3" s="2" t="s">
        <v>82</v>
      </c>
      <c r="J3" s="41">
        <v>0.98643664001434739</v>
      </c>
      <c r="K3" s="4"/>
      <c r="L3" s="5">
        <f>10^J3</f>
        <v>9.6925185312754003</v>
      </c>
      <c r="M3" s="97">
        <f>EXP($J$3*2.303)*(EXP(2*(2.303*$K$19)^2)-EXP((2.303*$K$19)^2))^0.5</f>
        <v>81.839903627690205</v>
      </c>
      <c r="N3" s="36"/>
      <c r="P3" s="33"/>
    </row>
    <row r="4" spans="2:18" ht="12.75" customHeight="1">
      <c r="B4" s="6"/>
      <c r="D4" s="6"/>
      <c r="L4" s="7"/>
      <c r="M4" s="33"/>
      <c r="N4" s="36"/>
      <c r="P4" s="96"/>
    </row>
    <row r="5" spans="2:18" ht="12.75" customHeight="1">
      <c r="B5" s="11" t="s">
        <v>83</v>
      </c>
      <c r="C5" s="12" t="s">
        <v>84</v>
      </c>
      <c r="D5" s="12" t="s">
        <v>85</v>
      </c>
      <c r="E5" s="12" t="s">
        <v>85</v>
      </c>
      <c r="F5" s="12" t="s">
        <v>86</v>
      </c>
      <c r="G5" s="12" t="s">
        <v>87</v>
      </c>
      <c r="H5" s="12" t="s">
        <v>88</v>
      </c>
      <c r="I5" s="12" t="s">
        <v>89</v>
      </c>
      <c r="J5" s="102" t="s">
        <v>90</v>
      </c>
      <c r="K5" s="102" t="s">
        <v>90</v>
      </c>
      <c r="L5" s="7"/>
      <c r="M5" s="135"/>
      <c r="P5" s="9" t="s">
        <v>45</v>
      </c>
      <c r="Q5" s="10" t="s">
        <v>46</v>
      </c>
      <c r="R5" s="44" t="s">
        <v>47</v>
      </c>
    </row>
    <row r="6" spans="2:18" ht="12.75" customHeight="1">
      <c r="B6" s="14"/>
      <c r="C6" s="15" t="s">
        <v>14</v>
      </c>
      <c r="D6" s="15" t="s">
        <v>15</v>
      </c>
      <c r="E6" s="15" t="s">
        <v>16</v>
      </c>
      <c r="F6" s="15" t="s">
        <v>91</v>
      </c>
      <c r="G6" s="15" t="s">
        <v>92</v>
      </c>
      <c r="H6" s="15" t="s">
        <v>92</v>
      </c>
      <c r="I6" s="15" t="s">
        <v>92</v>
      </c>
      <c r="J6" s="14"/>
      <c r="K6" s="16" t="s">
        <v>93</v>
      </c>
      <c r="P6" s="25" t="s">
        <v>51</v>
      </c>
      <c r="Q6" s="102">
        <v>2.5000000000000001E-2</v>
      </c>
      <c r="R6" s="11" t="s">
        <v>52</v>
      </c>
    </row>
    <row r="7" spans="2:18" ht="12.75" customHeight="1">
      <c r="B7" s="11" t="s">
        <v>94</v>
      </c>
      <c r="C7" s="12"/>
      <c r="D7" s="11"/>
      <c r="E7" s="12"/>
      <c r="F7" s="17">
        <v>0.01</v>
      </c>
      <c r="G7" s="102"/>
      <c r="H7" s="12"/>
      <c r="I7" s="18">
        <f t="shared" ref="I7:I16" si="0">$J$3-$Q$8*F7</f>
        <v>0.97703664001434742</v>
      </c>
      <c r="J7" s="102"/>
      <c r="K7" s="102"/>
      <c r="P7" s="13" t="s">
        <v>53</v>
      </c>
      <c r="Q7" s="3">
        <v>0.36399999999999999</v>
      </c>
    </row>
    <row r="8" spans="2:18" ht="12.75" customHeight="1">
      <c r="B8" s="2" t="s">
        <v>20</v>
      </c>
      <c r="C8" s="19">
        <v>92.1</v>
      </c>
      <c r="D8" s="20">
        <v>8764</v>
      </c>
      <c r="E8" s="21">
        <f>D8/C8</f>
        <v>95.157437567861024</v>
      </c>
      <c r="F8" s="22">
        <v>2.54</v>
      </c>
      <c r="G8" s="23">
        <f>LOG(E8/1000)</f>
        <v>-1.0215572613081811</v>
      </c>
      <c r="H8" s="23">
        <f>G8+$Q$6</f>
        <v>-0.99655726130818112</v>
      </c>
      <c r="I8" s="23">
        <f t="shared" si="0"/>
        <v>-1.4011633599856526</v>
      </c>
      <c r="J8" s="23">
        <f t="shared" ref="J8:J14" si="1">I8-H8</f>
        <v>-0.40460609867747144</v>
      </c>
      <c r="K8" s="23">
        <f t="shared" ref="K8:K15" si="2">J8^2</f>
        <v>0.16370609508700376</v>
      </c>
      <c r="N8" s="33"/>
      <c r="P8" s="13" t="s">
        <v>57</v>
      </c>
      <c r="Q8" s="92">
        <v>0.94</v>
      </c>
    </row>
    <row r="9" spans="2:18" ht="12.75" customHeight="1">
      <c r="B9" s="2" t="s">
        <v>20</v>
      </c>
      <c r="C9" s="19">
        <v>92.1</v>
      </c>
      <c r="D9" s="20">
        <v>8588</v>
      </c>
      <c r="E9" s="21">
        <f>D9/C9</f>
        <v>93.246471226927255</v>
      </c>
      <c r="F9" s="22">
        <v>2.54</v>
      </c>
      <c r="G9" s="23">
        <f>LOG(E9/1000)</f>
        <v>-1.0303675944326378</v>
      </c>
      <c r="H9" s="23">
        <f>G9+$Q$6</f>
        <v>-1.0053675944326379</v>
      </c>
      <c r="I9" s="23">
        <f t="shared" si="0"/>
        <v>-1.4011633599856526</v>
      </c>
      <c r="J9" s="23">
        <f>I9-H9</f>
        <v>-0.39579576555301466</v>
      </c>
      <c r="K9" s="23">
        <f>J9^2</f>
        <v>0.15665428802969694</v>
      </c>
      <c r="N9" s="33"/>
      <c r="P9" s="24" t="s">
        <v>58</v>
      </c>
      <c r="Q9" s="14"/>
      <c r="R9" s="14"/>
    </row>
    <row r="10" spans="2:18" ht="12.75" customHeight="1">
      <c r="B10" s="2" t="s">
        <v>26</v>
      </c>
      <c r="C10" s="19">
        <v>128.19999999999999</v>
      </c>
      <c r="D10" s="20">
        <v>198</v>
      </c>
      <c r="E10" s="26">
        <f t="shared" ref="E9:E15" si="3">D10/C10</f>
        <v>1.544461778471139</v>
      </c>
      <c r="F10" s="22">
        <v>3.17</v>
      </c>
      <c r="G10" s="23">
        <f>LOG(E10/1000)</f>
        <v>-2.8112228349212676</v>
      </c>
      <c r="H10" s="23">
        <f>G10+$Q$7</f>
        <v>-2.4472228349212677</v>
      </c>
      <c r="I10" s="23">
        <f>$J$3-$Q$8*F10</f>
        <v>-1.9933633599856522</v>
      </c>
      <c r="J10" s="23">
        <f>I10-H10</f>
        <v>0.45385947493561551</v>
      </c>
      <c r="K10" s="23">
        <f t="shared" si="2"/>
        <v>0.2059884229888326</v>
      </c>
      <c r="P10" s="13"/>
    </row>
    <row r="11" spans="2:18" ht="12.75" customHeight="1">
      <c r="B11" s="2" t="s">
        <v>26</v>
      </c>
      <c r="C11" s="19">
        <v>128.19999999999999</v>
      </c>
      <c r="D11" s="20">
        <v>313</v>
      </c>
      <c r="E11" s="26">
        <f t="shared" si="3"/>
        <v>2.4414976599063967</v>
      </c>
      <c r="F11" s="22">
        <v>3.17</v>
      </c>
      <c r="G11" s="23">
        <f>LOG(E11/1000)</f>
        <v>-2.6123436876363502</v>
      </c>
      <c r="H11" s="23">
        <f t="shared" ref="H10:H15" si="4">G11+$Q$7</f>
        <v>-2.2483436876363503</v>
      </c>
      <c r="I11" s="23">
        <f t="shared" si="0"/>
        <v>-1.9933633599856522</v>
      </c>
      <c r="J11" s="23">
        <f>I11-H11</f>
        <v>0.25498032765069811</v>
      </c>
      <c r="K11" s="23">
        <f>J11^2</f>
        <v>6.5014967488857364E-2</v>
      </c>
      <c r="O11" s="2" t="s">
        <v>95</v>
      </c>
      <c r="P11" s="2" t="s">
        <v>96</v>
      </c>
    </row>
    <row r="12" spans="2:18" ht="12.75" customHeight="1">
      <c r="B12" s="2" t="s">
        <v>32</v>
      </c>
      <c r="C12" s="19">
        <v>142.19999999999999</v>
      </c>
      <c r="D12" s="20">
        <v>39.799999999999997</v>
      </c>
      <c r="E12" s="26">
        <f t="shared" si="3"/>
        <v>0.27988748241912798</v>
      </c>
      <c r="F12" s="22">
        <v>3.72</v>
      </c>
      <c r="G12" s="23">
        <f t="shared" ref="G12:G15" si="5">LOG(E12/1000)</f>
        <v>-3.5530165243200598</v>
      </c>
      <c r="H12" s="23">
        <f t="shared" si="4"/>
        <v>-3.1890165243200599</v>
      </c>
      <c r="I12" s="23">
        <f t="shared" si="0"/>
        <v>-2.5103633599856527</v>
      </c>
      <c r="J12" s="23">
        <f t="shared" si="1"/>
        <v>0.67865316433440714</v>
      </c>
      <c r="K12" s="23">
        <f t="shared" si="2"/>
        <v>0.46057011746110382</v>
      </c>
      <c r="O12" s="2" t="s">
        <v>97</v>
      </c>
      <c r="P12" s="2" t="s">
        <v>98</v>
      </c>
    </row>
    <row r="13" spans="2:18" ht="12.75" customHeight="1">
      <c r="B13" s="2" t="s">
        <v>32</v>
      </c>
      <c r="C13" s="19">
        <v>142.19999999999999</v>
      </c>
      <c r="D13" s="20">
        <v>25.2</v>
      </c>
      <c r="E13" s="26">
        <f t="shared" si="3"/>
        <v>0.17721518987341772</v>
      </c>
      <c r="F13" s="22">
        <v>3.72</v>
      </c>
      <c r="G13" s="23">
        <f t="shared" si="5"/>
        <v>-3.7514990556122032</v>
      </c>
      <c r="H13" s="23">
        <f t="shared" si="4"/>
        <v>-3.3874990556122033</v>
      </c>
      <c r="I13" s="23">
        <f t="shared" si="0"/>
        <v>-2.5103633599856527</v>
      </c>
      <c r="J13" s="23">
        <f t="shared" si="1"/>
        <v>0.87713569562655058</v>
      </c>
      <c r="K13" s="23">
        <f t="shared" si="2"/>
        <v>0.76936702854227279</v>
      </c>
      <c r="P13" s="2" t="s">
        <v>99</v>
      </c>
    </row>
    <row r="14" spans="2:18" ht="12.75" customHeight="1">
      <c r="B14" s="2" t="s">
        <v>36</v>
      </c>
      <c r="C14" s="19">
        <v>178.23</v>
      </c>
      <c r="D14" s="20">
        <v>330</v>
      </c>
      <c r="E14" s="26">
        <f t="shared" si="3"/>
        <v>1.851540144756775</v>
      </c>
      <c r="F14" s="22">
        <v>4.3499999999999996</v>
      </c>
      <c r="G14" s="23">
        <f t="shared" si="5"/>
        <v>-2.732466867218462</v>
      </c>
      <c r="H14" s="23">
        <f t="shared" si="4"/>
        <v>-2.3684668672184621</v>
      </c>
      <c r="I14" s="23">
        <f t="shared" si="0"/>
        <v>-3.1025633599856519</v>
      </c>
      <c r="J14" s="23">
        <f t="shared" si="1"/>
        <v>-0.7340964927671898</v>
      </c>
      <c r="K14" s="23">
        <f t="shared" si="2"/>
        <v>0.53889766069308875</v>
      </c>
      <c r="P14" s="2" t="s">
        <v>100</v>
      </c>
    </row>
    <row r="15" spans="2:18" ht="12.75" customHeight="1">
      <c r="B15" s="2" t="s">
        <v>36</v>
      </c>
      <c r="C15" s="19">
        <v>178.23</v>
      </c>
      <c r="D15" s="20">
        <v>327</v>
      </c>
      <c r="E15" s="26">
        <f t="shared" si="3"/>
        <v>1.8347079616226225</v>
      </c>
      <c r="F15" s="22">
        <v>4.3499999999999996</v>
      </c>
      <c r="G15" s="23">
        <f t="shared" si="5"/>
        <v>-2.7364330544360635</v>
      </c>
      <c r="H15" s="23">
        <f t="shared" si="4"/>
        <v>-2.3724330544360637</v>
      </c>
      <c r="I15" s="23">
        <f t="shared" si="0"/>
        <v>-3.1025633599856519</v>
      </c>
      <c r="J15" s="23">
        <f>I15-H15</f>
        <v>-0.73013030554958824</v>
      </c>
      <c r="K15" s="23">
        <f t="shared" si="2"/>
        <v>0.53309026308193508</v>
      </c>
      <c r="O15" s="2" t="s">
        <v>101</v>
      </c>
      <c r="P15" s="2" t="s">
        <v>102</v>
      </c>
    </row>
    <row r="16" spans="2:18" ht="12.75" customHeight="1">
      <c r="B16" s="14" t="s">
        <v>103</v>
      </c>
      <c r="C16" s="27"/>
      <c r="D16" s="28"/>
      <c r="E16" s="29"/>
      <c r="F16" s="30">
        <v>5.5</v>
      </c>
      <c r="G16" s="16"/>
      <c r="H16" s="16"/>
      <c r="I16" s="31">
        <f t="shared" si="0"/>
        <v>-4.1835633599856523</v>
      </c>
      <c r="J16" s="16"/>
      <c r="K16" s="16"/>
      <c r="P16" s="2" t="s">
        <v>104</v>
      </c>
    </row>
    <row r="17" spans="2:16" ht="12.75" customHeight="1" thickBot="1">
      <c r="G17" s="3"/>
      <c r="H17" s="3"/>
      <c r="I17" s="3"/>
      <c r="J17" s="3"/>
      <c r="K17" s="3"/>
      <c r="P17" s="13"/>
    </row>
    <row r="18" spans="2:16" ht="12.75" customHeight="1" thickBot="1">
      <c r="I18" s="7" t="s">
        <v>105</v>
      </c>
      <c r="J18" s="40">
        <f>SUM(J8:J15)</f>
        <v>7.1054273576010019E-15</v>
      </c>
      <c r="K18" s="32">
        <f>SUM(K8:K15)</f>
        <v>2.8932888433727908</v>
      </c>
      <c r="L18" s="36"/>
    </row>
    <row r="19" spans="2:16" ht="12.75" customHeight="1">
      <c r="K19" s="39">
        <f>SQRT(K18/(COUNT(K8:K15)-1))</f>
        <v>0.64290510779172105</v>
      </c>
      <c r="L19" s="95" t="s">
        <v>106</v>
      </c>
    </row>
    <row r="20" spans="2:16" ht="12.75" customHeight="1">
      <c r="L20" s="36"/>
      <c r="M20" s="3"/>
    </row>
    <row r="21" spans="2:16" ht="12.75" customHeight="1">
      <c r="B21" s="11" t="s">
        <v>83</v>
      </c>
      <c r="C21" s="102" t="s">
        <v>11</v>
      </c>
      <c r="D21" s="102" t="s">
        <v>12</v>
      </c>
      <c r="M21" s="3"/>
    </row>
    <row r="22" spans="2:16" ht="24">
      <c r="B22" s="14"/>
      <c r="C22" s="52" t="s">
        <v>107</v>
      </c>
      <c r="D22" s="52" t="s">
        <v>107</v>
      </c>
      <c r="L22" s="36"/>
      <c r="M22" s="3"/>
    </row>
    <row r="23" spans="2:16">
      <c r="B23" s="8" t="str">
        <f>'Exp EC50s'!L5</f>
        <v>Toluene</v>
      </c>
      <c r="C23" s="23">
        <f>'Exp EC50s'!V5*(-1)</f>
        <v>0.15255800384576734</v>
      </c>
      <c r="D23" s="23">
        <f>'Exp EC50s'!AA5</f>
        <v>0.15257161920951412</v>
      </c>
      <c r="M23" s="3"/>
    </row>
    <row r="24" spans="2:16">
      <c r="B24" s="8" t="str">
        <f>'Exp EC50s'!L6</f>
        <v>Toluene</v>
      </c>
      <c r="C24" s="23">
        <f>'Exp EC50s'!V6*(-1)</f>
        <v>7.6318331616715307E-2</v>
      </c>
      <c r="D24" s="23">
        <f>'Exp EC50s'!AA6</f>
        <v>0.11451092038852884</v>
      </c>
      <c r="M24" s="3"/>
      <c r="O24" s="34"/>
    </row>
    <row r="25" spans="2:16">
      <c r="B25" s="8" t="str">
        <f>'Exp EC50s'!L7</f>
        <v>Naphthalene</v>
      </c>
      <c r="C25" s="23">
        <f>'Exp EC50s'!V7*(-1)</f>
        <v>0.65222660079369232</v>
      </c>
      <c r="D25" s="23">
        <f>'Exp EC50s'!AA7</f>
        <v>0.51758240547038925</v>
      </c>
    </row>
    <row r="26" spans="2:16">
      <c r="B26" s="94" t="s">
        <v>26</v>
      </c>
      <c r="C26" s="93">
        <f>'Exp EC50s'!V8*(-1)</f>
        <v>0.26254822715429471</v>
      </c>
      <c r="D26" s="93">
        <f>'Exp EC50s'!AA8</f>
        <v>0.25108986139113032</v>
      </c>
      <c r="K26" s="35"/>
    </row>
    <row r="27" spans="2:16" ht="13.5" customHeight="1">
      <c r="B27" s="8" t="str">
        <f>'Exp EC50s'!L9</f>
        <v>1-Methylnaphthalene</v>
      </c>
      <c r="C27" s="23">
        <f>'Exp EC50s'!V9*(-1)</f>
        <v>0.40955137390339624</v>
      </c>
      <c r="D27" s="23">
        <f>'Exp EC50s'!AA9</f>
        <v>0.46457491715323096</v>
      </c>
    </row>
    <row r="28" spans="2:16">
      <c r="B28" s="8" t="str">
        <f>'Exp EC50s'!L10</f>
        <v>1-Methylnaphthalene</v>
      </c>
      <c r="C28" s="23">
        <f>'Exp EC50s'!V10*(-1)</f>
        <v>0.46188128816292595</v>
      </c>
      <c r="D28" s="23">
        <f>'Exp EC50s'!AA10</f>
        <v>0.60677364322488225</v>
      </c>
      <c r="K28" s="33"/>
    </row>
    <row r="29" spans="2:16">
      <c r="B29" s="8" t="str">
        <f>'Exp EC50s'!L11</f>
        <v>Phenanthrene</v>
      </c>
      <c r="C29" s="23">
        <f>'Exp EC50s'!V11*(-1)</f>
        <v>9.3632303246820481E-2</v>
      </c>
      <c r="D29" s="23">
        <f>'Exp EC50s'!AA11</f>
        <v>0.11089565922483136</v>
      </c>
      <c r="M29" s="33"/>
    </row>
    <row r="30" spans="2:16">
      <c r="B30" s="45" t="str">
        <f>'Exp EC50s'!L12</f>
        <v>Phenanthrene</v>
      </c>
      <c r="C30" s="31">
        <f>'Exp EC50s'!V12*(-1)</f>
        <v>0.17410363782016747</v>
      </c>
      <c r="D30" s="31">
        <f>'Exp EC50s'!AA12</f>
        <v>0.15383816402971418</v>
      </c>
      <c r="M30" s="33"/>
      <c r="N30" s="34"/>
    </row>
    <row r="31" spans="2:16">
      <c r="M31" s="33"/>
    </row>
    <row r="32" spans="2:16">
      <c r="M32" s="33"/>
    </row>
    <row r="33" spans="2:12">
      <c r="B33" s="11" t="s">
        <v>108</v>
      </c>
      <c r="C33" s="11"/>
      <c r="D33" s="11"/>
    </row>
    <row r="34" spans="2:12" ht="14.25">
      <c r="B34" s="15" t="s">
        <v>109</v>
      </c>
      <c r="C34" s="16" t="s">
        <v>94</v>
      </c>
      <c r="D34" s="16" t="s">
        <v>110</v>
      </c>
    </row>
    <row r="35" spans="2:12">
      <c r="B35" s="71">
        <f>F7</f>
        <v>0.01</v>
      </c>
      <c r="C35" s="72">
        <f>I7-K19</f>
        <v>0.33413153222262637</v>
      </c>
      <c r="D35" s="72">
        <f>I7+K19</f>
        <v>1.6199417478060685</v>
      </c>
    </row>
    <row r="36" spans="2:12">
      <c r="B36" s="73">
        <f>F16</f>
        <v>5.5</v>
      </c>
      <c r="C36" s="74">
        <f>I16-K19</f>
        <v>-4.8264684677773735</v>
      </c>
      <c r="D36" s="74">
        <f>I16+K19</f>
        <v>-3.5406582521939312</v>
      </c>
    </row>
    <row r="38" spans="2:12">
      <c r="B38" s="6"/>
      <c r="D38" s="6"/>
    </row>
    <row r="39" spans="2:12">
      <c r="B39" s="36"/>
      <c r="C39" s="37"/>
      <c r="D39" s="36"/>
    </row>
    <row r="40" spans="2:12">
      <c r="C40" s="37"/>
      <c r="E40" s="37"/>
      <c r="F40" s="37"/>
      <c r="G40" s="37"/>
      <c r="H40" s="37"/>
      <c r="I40" s="37"/>
      <c r="K40" s="37"/>
    </row>
    <row r="41" spans="2:12">
      <c r="B41" s="103" t="s">
        <v>62</v>
      </c>
      <c r="C41" s="103">
        <v>178.2</v>
      </c>
      <c r="D41" s="103">
        <v>35</v>
      </c>
      <c r="E41" s="107">
        <f t="shared" ref="E41:E42" si="6">D41/C41</f>
        <v>0.1964085297418631</v>
      </c>
      <c r="F41" s="104">
        <v>4.3499999999999996</v>
      </c>
      <c r="G41" s="18">
        <f>LOG(E41/1000)</f>
        <v>-3.7068396553505805</v>
      </c>
      <c r="H41" s="37"/>
      <c r="I41" s="37"/>
    </row>
    <row r="42" spans="2:12">
      <c r="B42" s="105" t="s">
        <v>71</v>
      </c>
      <c r="C42" s="105">
        <v>202.2</v>
      </c>
      <c r="D42" s="105">
        <v>84</v>
      </c>
      <c r="E42" s="108">
        <f t="shared" si="6"/>
        <v>0.41543026706231456</v>
      </c>
      <c r="F42" s="106">
        <v>4.93</v>
      </c>
      <c r="G42" s="31">
        <f t="shared" ref="G42" si="7">LOG(E42/1000)</f>
        <v>-3.3815018651931008</v>
      </c>
      <c r="H42" s="37"/>
    </row>
    <row r="43" spans="2:12">
      <c r="C43" s="3"/>
      <c r="E43" s="3"/>
      <c r="F43" s="3"/>
      <c r="J43" s="3"/>
      <c r="K43" s="3"/>
    </row>
    <row r="44" spans="2:12">
      <c r="C44" s="3"/>
      <c r="E44" s="3"/>
      <c r="F44" s="3"/>
      <c r="J44" s="3"/>
      <c r="K44" s="3"/>
      <c r="L44" s="3"/>
    </row>
    <row r="45" spans="2:12">
      <c r="C45" s="3"/>
      <c r="E45" s="3"/>
      <c r="F45" s="3"/>
      <c r="J45" s="3"/>
      <c r="K45" s="3"/>
      <c r="L45" s="5"/>
    </row>
    <row r="46" spans="2:12">
      <c r="C46" s="3"/>
      <c r="E46" s="3"/>
      <c r="F46" s="3"/>
      <c r="J46" s="3"/>
      <c r="K46" s="3"/>
    </row>
    <row r="47" spans="2:12">
      <c r="C47" s="3"/>
      <c r="E47" s="3"/>
      <c r="F47" s="3"/>
      <c r="J47" s="3"/>
      <c r="K47" s="3"/>
    </row>
    <row r="48" spans="2:12">
      <c r="C48" s="3"/>
      <c r="E48" s="3"/>
      <c r="F48" s="3"/>
      <c r="J48" s="3"/>
      <c r="K48" s="3"/>
    </row>
    <row r="49" spans="3:13">
      <c r="C49" s="3"/>
      <c r="E49" s="3"/>
      <c r="F49" s="3"/>
      <c r="J49" s="3"/>
      <c r="K49" s="3"/>
    </row>
    <row r="50" spans="3:13">
      <c r="E50" s="3"/>
      <c r="F50" s="3"/>
      <c r="J50" s="3"/>
      <c r="K50" s="3"/>
    </row>
    <row r="51" spans="3:13">
      <c r="F51" s="3"/>
      <c r="M51" s="3"/>
    </row>
    <row r="52" spans="3:13">
      <c r="J52" s="39"/>
      <c r="K52" s="39"/>
      <c r="L52" s="3"/>
      <c r="M52" s="38"/>
    </row>
    <row r="57" spans="3:13">
      <c r="M57" s="3"/>
    </row>
    <row r="58" spans="3:13">
      <c r="M58" s="3"/>
    </row>
  </sheetData>
  <pageMargins left="0.7" right="0.7" top="0.75" bottom="0.75" header="0.3" footer="0.3"/>
  <pageSetup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E60B3B-8545-4185-9A97-813F12F4F505}"/>
</file>

<file path=customXml/itemProps2.xml><?xml version="1.0" encoding="utf-8"?>
<ds:datastoreItem xmlns:ds="http://schemas.openxmlformats.org/officeDocument/2006/customXml" ds:itemID="{FF9AEEF8-B243-4AAC-B9AA-4611301B5B11}"/>
</file>

<file path=customXml/itemProps3.xml><?xml version="1.0" encoding="utf-8"?>
<ds:datastoreItem xmlns:ds="http://schemas.openxmlformats.org/officeDocument/2006/customXml" ds:itemID="{D093D338-18AF-465A-AA42-DD1DFCD612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 Brinkman</dc:creator>
  <cp:keywords/>
  <dc:description/>
  <cp:lastModifiedBy>Mikaela Nordborg</cp:lastModifiedBy>
  <cp:revision/>
  <dcterms:created xsi:type="dcterms:W3CDTF">2021-05-04T04:31:13Z</dcterms:created>
  <dcterms:modified xsi:type="dcterms:W3CDTF">2023-02-01T00:53:46Z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MediaServiceImageTags">
    <vt:lpwstr/>
  </property>
</Properties>
</file>