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imsgovau.sharepoint.com/sites/Program23-TERA/Shared Documents/General/Projects/3039 Mikaela PhD/Ch 5 Single compound effects on larvae/For repository/"/>
    </mc:Choice>
  </mc:AlternateContent>
  <xr:revisionPtr revIDLastSave="24" documentId="11_3CC2124B36A9333CCC64E265AE820A9D0E7929FA" xr6:coauthVersionLast="47" xr6:coauthVersionMax="47" xr10:uidLastSave="{EE4CC131-3EF9-4372-8FBA-C3A093492685}"/>
  <bookViews>
    <workbookView xWindow="-120" yWindow="-120" windowWidth="29040" windowHeight="15840" tabRatio="633" firstSheet="1" activeTab="1" xr2:uid="{00000000-000D-0000-FFFF-FFFF00000000}"/>
  </bookViews>
  <sheets>
    <sheet name="Exp EC10s" sheetId="6" r:id="rId1"/>
    <sheet name="AM chronic meta. CTLBB (n=8)" sheetId="14" r:id="rId2"/>
  </sheets>
  <definedNames>
    <definedName name="solver_adj" localSheetId="1" hidden="1">'AM chronic meta. CTLBB (n=8)'!$J$3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'AM chronic meta. CTLBB (n=8)'!$J$18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4" l="1"/>
  <c r="I14" i="14"/>
  <c r="E41" i="14"/>
  <c r="E42" i="14"/>
  <c r="G42" i="14"/>
  <c r="G41" i="14"/>
  <c r="E13" i="14"/>
  <c r="G13" i="14" s="1"/>
  <c r="H13" i="14" s="1"/>
  <c r="I13" i="14"/>
  <c r="G14" i="14"/>
  <c r="H14" i="14" s="1"/>
  <c r="I12" i="14"/>
  <c r="J13" i="14" l="1"/>
  <c r="K13" i="14" s="1"/>
  <c r="J14" i="14"/>
  <c r="K14" i="14" s="1"/>
  <c r="I16" i="14"/>
  <c r="I8" i="14"/>
  <c r="I7" i="14"/>
  <c r="D9" i="14" l="1"/>
  <c r="D10" i="14"/>
  <c r="D11" i="14"/>
  <c r="D12" i="14"/>
  <c r="D8" i="14"/>
  <c r="E8" i="14" s="1"/>
  <c r="G8" i="14" s="1"/>
  <c r="B36" i="14" l="1"/>
  <c r="B35" i="14"/>
  <c r="B26" i="14" l="1"/>
  <c r="L3" i="14" l="1"/>
  <c r="B28" i="14" l="1"/>
  <c r="B27" i="14"/>
  <c r="B25" i="14"/>
  <c r="B24" i="14"/>
  <c r="B23" i="14"/>
  <c r="X6" i="6"/>
  <c r="Y6" i="6" s="1"/>
  <c r="Z6" i="6" s="1"/>
  <c r="X7" i="6"/>
  <c r="Y7" i="6" s="1"/>
  <c r="Z7" i="6" s="1"/>
  <c r="X8" i="6"/>
  <c r="Y8" i="6" s="1"/>
  <c r="Z8" i="6" s="1"/>
  <c r="X9" i="6"/>
  <c r="Y9" i="6" s="1"/>
  <c r="Z9" i="6" s="1"/>
  <c r="X10" i="6"/>
  <c r="Y10" i="6" s="1"/>
  <c r="Z10" i="6" s="1"/>
  <c r="X11" i="6"/>
  <c r="Y11" i="6" s="1"/>
  <c r="Z11" i="6" s="1"/>
  <c r="X12" i="6"/>
  <c r="Y12" i="6" s="1"/>
  <c r="Z12" i="6" s="1"/>
  <c r="S6" i="6"/>
  <c r="T6" i="6" s="1"/>
  <c r="U6" i="6" s="1"/>
  <c r="S7" i="6"/>
  <c r="T7" i="6" s="1"/>
  <c r="U7" i="6" s="1"/>
  <c r="S8" i="6"/>
  <c r="T8" i="6" s="1"/>
  <c r="U8" i="6" s="1"/>
  <c r="S9" i="6"/>
  <c r="T9" i="6" s="1"/>
  <c r="U9" i="6" s="1"/>
  <c r="S10" i="6"/>
  <c r="T10" i="6" s="1"/>
  <c r="U10" i="6" s="1"/>
  <c r="S11" i="6"/>
  <c r="T11" i="6" s="1"/>
  <c r="U11" i="6" s="1"/>
  <c r="S12" i="6"/>
  <c r="T12" i="6" s="1"/>
  <c r="U12" i="6" s="1"/>
  <c r="S5" i="6"/>
  <c r="T5" i="6" s="1"/>
  <c r="U5" i="6" s="1"/>
  <c r="X5" i="6"/>
  <c r="Y5" i="6" s="1"/>
  <c r="Z5" i="6" s="1"/>
  <c r="O7" i="6"/>
  <c r="P7" i="6" s="1"/>
  <c r="Q7" i="6" s="1"/>
  <c r="O8" i="6"/>
  <c r="P8" i="6" s="1"/>
  <c r="Q8" i="6" s="1"/>
  <c r="O9" i="6"/>
  <c r="P9" i="6" s="1"/>
  <c r="Q9" i="6" s="1"/>
  <c r="O10" i="6"/>
  <c r="P10" i="6" s="1"/>
  <c r="Q10" i="6" s="1"/>
  <c r="O11" i="6"/>
  <c r="P11" i="6" s="1"/>
  <c r="Q11" i="6" s="1"/>
  <c r="O12" i="6"/>
  <c r="P12" i="6" s="1"/>
  <c r="Q12" i="6" s="1"/>
  <c r="O6" i="6"/>
  <c r="P6" i="6" s="1"/>
  <c r="Q6" i="6" s="1"/>
  <c r="O5" i="6"/>
  <c r="P5" i="6" s="1"/>
  <c r="Q5" i="6" s="1"/>
  <c r="I15" i="14"/>
  <c r="G15" i="14"/>
  <c r="H15" i="14" s="1"/>
  <c r="E12" i="14"/>
  <c r="G12" i="14" s="1"/>
  <c r="H12" i="14" s="1"/>
  <c r="J12" i="14" s="1"/>
  <c r="K12" i="14" s="1"/>
  <c r="I11" i="14"/>
  <c r="E11" i="14"/>
  <c r="G11" i="14" s="1"/>
  <c r="H11" i="14" s="1"/>
  <c r="I10" i="14"/>
  <c r="E10" i="14"/>
  <c r="G10" i="14" s="1"/>
  <c r="H10" i="14" s="1"/>
  <c r="I9" i="14"/>
  <c r="E9" i="14"/>
  <c r="G9" i="14" s="1"/>
  <c r="H9" i="14" s="1"/>
  <c r="H8" i="14"/>
  <c r="AA5" i="6" l="1"/>
  <c r="AA7" i="6"/>
  <c r="AA6" i="6"/>
  <c r="AA9" i="6"/>
  <c r="AA12" i="6"/>
  <c r="V6" i="6"/>
  <c r="V11" i="6"/>
  <c r="V7" i="6"/>
  <c r="AA10" i="6"/>
  <c r="D28" i="14" s="1"/>
  <c r="V9" i="6"/>
  <c r="AA8" i="6"/>
  <c r="V5" i="6"/>
  <c r="V10" i="6"/>
  <c r="C28" i="14" s="1"/>
  <c r="V12" i="6"/>
  <c r="AA11" i="6"/>
  <c r="V8" i="6"/>
  <c r="J8" i="14"/>
  <c r="J11" i="14"/>
  <c r="K11" i="14" s="1"/>
  <c r="J10" i="14"/>
  <c r="K10" i="14" s="1"/>
  <c r="J15" i="14"/>
  <c r="K15" i="14" s="1"/>
  <c r="J9" i="14"/>
  <c r="K9" i="14" s="1"/>
  <c r="D29" i="14" l="1"/>
  <c r="C30" i="14"/>
  <c r="C29" i="14"/>
  <c r="D30" i="14"/>
  <c r="K8" i="14"/>
  <c r="K18" i="14" s="1"/>
  <c r="K19" i="14" s="1"/>
  <c r="J18" i="14"/>
  <c r="D27" i="14"/>
  <c r="D24" i="14"/>
  <c r="C25" i="14"/>
  <c r="D23" i="14"/>
  <c r="C26" i="14"/>
  <c r="D26" i="14"/>
  <c r="C27" i="14"/>
  <c r="C23" i="14"/>
  <c r="C24" i="14"/>
  <c r="D25" i="14"/>
  <c r="C35" i="14" l="1"/>
  <c r="C36" i="14"/>
  <c r="D36" i="14"/>
  <c r="D35" i="14"/>
</calcChain>
</file>

<file path=xl/sharedStrings.xml><?xml version="1.0" encoding="utf-8"?>
<sst xmlns="http://schemas.openxmlformats.org/spreadsheetml/2006/main" count="174" uniqueCount="114">
  <si>
    <t>Compound</t>
  </si>
  <si>
    <t>Year</t>
  </si>
  <si>
    <t>Light regime</t>
  </si>
  <si>
    <t>NEC</t>
  </si>
  <si>
    <r>
      <t>EC</t>
    </r>
    <r>
      <rPr>
        <b/>
        <vertAlign val="subscript"/>
        <sz val="10"/>
        <color rgb="FF000000"/>
        <rFont val="Calibri"/>
        <family val="2"/>
        <scheme val="minor"/>
      </rPr>
      <t>10</t>
    </r>
  </si>
  <si>
    <r>
      <t>EC</t>
    </r>
    <r>
      <rPr>
        <b/>
        <vertAlign val="subscript"/>
        <sz val="10"/>
        <color rgb="FF000000"/>
        <rFont val="Calibri"/>
        <family val="2"/>
        <scheme val="minor"/>
      </rPr>
      <t>50</t>
    </r>
  </si>
  <si>
    <r>
      <t>-fold change (EC</t>
    </r>
    <r>
      <rPr>
        <b/>
        <vertAlign val="subscript"/>
        <sz val="10"/>
        <color rgb="FF000000"/>
        <rFont val="Calibri"/>
        <family val="2"/>
        <scheme val="minor"/>
      </rPr>
      <t>50</t>
    </r>
    <r>
      <rPr>
        <b/>
        <sz val="10"/>
        <color rgb="FF000000"/>
        <rFont val="Calibri"/>
        <family val="2"/>
        <scheme val="minor"/>
      </rPr>
      <t>)</t>
    </r>
  </si>
  <si>
    <t>Green fill = used in CTLBB derivation</t>
  </si>
  <si>
    <t>Compound/substance</t>
  </si>
  <si>
    <t>Molecular weight</t>
  </si>
  <si>
    <t>EC10</t>
  </si>
  <si>
    <t>Lower 95% CI</t>
  </si>
  <si>
    <t>Upper 95% CI</t>
  </si>
  <si>
    <r>
      <t>(μg L</t>
    </r>
    <r>
      <rPr>
        <b/>
        <vertAlign val="superscript"/>
        <sz val="10"/>
        <color rgb="FF000000"/>
        <rFont val="Calibri"/>
        <family val="2"/>
        <scheme val="minor"/>
      </rPr>
      <t>-1</t>
    </r>
    <r>
      <rPr>
        <b/>
        <sz val="10"/>
        <color rgb="FF000000"/>
        <rFont val="Calibri"/>
        <family val="2"/>
        <scheme val="minor"/>
      </rPr>
      <t>)</t>
    </r>
  </si>
  <si>
    <t>(g/mol)</t>
  </si>
  <si>
    <t>(ug/L)</t>
  </si>
  <si>
    <t>(umol/L)</t>
  </si>
  <si>
    <t>Log(mM)</t>
  </si>
  <si>
    <r>
      <t xml:space="preserve">Log(mM) + </t>
    </r>
    <r>
      <rPr>
        <sz val="10"/>
        <color theme="1"/>
        <rFont val="Calibri"/>
        <family val="2"/>
      </rPr>
      <t>∆</t>
    </r>
    <r>
      <rPr>
        <sz val="10"/>
        <color theme="1"/>
        <rFont val="Calibri"/>
        <family val="2"/>
        <scheme val="minor"/>
      </rPr>
      <t>c</t>
    </r>
  </si>
  <si>
    <t>Distance to EC50 (Log(mM) + ∆c)</t>
  </si>
  <si>
    <t>Toluene</t>
  </si>
  <si>
    <t>-UVR</t>
  </si>
  <si>
    <t>(838-11,081)</t>
  </si>
  <si>
    <t>(1,285-9449)</t>
  </si>
  <si>
    <t>(6,168-12,453)</t>
  </si>
  <si>
    <t>+UVR</t>
  </si>
  <si>
    <t>Naphthalene</t>
  </si>
  <si>
    <t>(5,542-10,892)</t>
  </si>
  <si>
    <t>(3,478-10,368)</t>
  </si>
  <si>
    <t>(7,204-11,179)</t>
  </si>
  <si>
    <r>
      <t>-UVR</t>
    </r>
    <r>
      <rPr>
        <sz val="8"/>
        <color theme="1"/>
        <rFont val="Calibri"/>
        <family val="2"/>
        <scheme val="minor"/>
      </rPr>
      <t> </t>
    </r>
  </si>
  <si>
    <t>7.7</t>
  </si>
  <si>
    <r>
      <t xml:space="preserve"> Missed NEC and EC10 - </t>
    </r>
    <r>
      <rPr>
        <sz val="10"/>
        <color theme="1"/>
        <rFont val="Calibri"/>
        <family val="2"/>
        <scheme val="minor"/>
      </rPr>
      <t>min treatment concentration was 37.9 ug/l</t>
    </r>
  </si>
  <si>
    <t>1-Methylnaphthalene</t>
  </si>
  <si>
    <t>(0.3-142)</t>
  </si>
  <si>
    <t>(0.6-235)</t>
  </si>
  <si>
    <t>(44.1-652)</t>
  </si>
  <si>
    <t>Phenanthrene</t>
  </si>
  <si>
    <r>
      <t>26</t>
    </r>
    <r>
      <rPr>
        <sz val="8"/>
        <color theme="1"/>
        <rFont val="Calibri"/>
        <family val="2"/>
        <scheme val="minor"/>
      </rPr>
      <t> </t>
    </r>
    <r>
      <rPr>
        <sz val="10"/>
        <color theme="1"/>
        <rFont val="Calibri"/>
        <family val="2"/>
        <scheme val="minor"/>
      </rPr>
      <t>.8</t>
    </r>
  </si>
  <si>
    <r>
      <t xml:space="preserve"> Missed NEC and EC10 - </t>
    </r>
    <r>
      <rPr>
        <sz val="10"/>
        <color theme="1"/>
        <rFont val="Calibri"/>
        <family val="2"/>
        <scheme val="minor"/>
      </rPr>
      <t>lowest treatment conc was 36.5 ug/L</t>
    </r>
  </si>
  <si>
    <t>(4.6-86.3)</t>
  </si>
  <si>
    <t>(4.7-112)</t>
  </si>
  <si>
    <t>(171-558)</t>
  </si>
  <si>
    <t>1-methylnaphthalene</t>
  </si>
  <si>
    <r>
      <t> </t>
    </r>
    <r>
      <rPr>
        <sz val="10"/>
        <color theme="1"/>
        <rFont val="Calibri"/>
        <family val="2"/>
        <scheme val="minor"/>
      </rPr>
      <t>Lowest treatment concentration = 1.7 ug/L</t>
    </r>
  </si>
  <si>
    <t>(0.2-18.7) </t>
  </si>
  <si>
    <t>(0.5-12.2)</t>
  </si>
  <si>
    <t>(15.5-116)</t>
  </si>
  <si>
    <t>Chemical class</t>
  </si>
  <si>
    <r>
      <rPr>
        <b/>
        <sz val="10"/>
        <color theme="1"/>
        <rFont val="Symbol"/>
        <family val="1"/>
        <charset val="2"/>
      </rPr>
      <t>D</t>
    </r>
    <r>
      <rPr>
        <b/>
        <sz val="10"/>
        <color theme="1"/>
        <rFont val="Calibri"/>
        <family val="2"/>
        <scheme val="minor"/>
      </rPr>
      <t>c</t>
    </r>
  </si>
  <si>
    <t>Ref</t>
  </si>
  <si>
    <t>(0.2-23.4)</t>
  </si>
  <si>
    <t>(0.3-20.8)</t>
  </si>
  <si>
    <t>(8.7-101.9)</t>
  </si>
  <si>
    <t>Monoaromatic hydrocarbons</t>
  </si>
  <si>
    <t>McGrath el al., 2018</t>
  </si>
  <si>
    <t>Di- and polycyclic aromatic hydrocabrons</t>
  </si>
  <si>
    <t>(172-393)</t>
  </si>
  <si>
    <t>(130-367)</t>
  </si>
  <si>
    <t>(266-426)</t>
  </si>
  <si>
    <t>Universal slope</t>
  </si>
  <si>
    <r>
      <t xml:space="preserve">(0.940 </t>
    </r>
    <r>
      <rPr>
        <sz val="10"/>
        <color theme="1"/>
        <rFont val="Calibri"/>
        <family val="2"/>
      </rPr>
      <t>±</t>
    </r>
    <r>
      <rPr>
        <sz val="10"/>
        <color theme="1"/>
        <rFont val="Calibri"/>
        <family val="2"/>
        <scheme val="minor"/>
      </rPr>
      <t xml:space="preserve"> 0.015)</t>
    </r>
  </si>
  <si>
    <t>(109-424)</t>
  </si>
  <si>
    <t>(56.4-373)</t>
  </si>
  <si>
    <t>(219-466)</t>
  </si>
  <si>
    <t>Anthracene</t>
  </si>
  <si>
    <t>2017 (Dec)</t>
  </si>
  <si>
    <t>&gt;35</t>
  </si>
  <si>
    <r>
      <t>1.7</t>
    </r>
    <r>
      <rPr>
        <i/>
        <vertAlign val="superscript"/>
        <sz val="10"/>
        <color theme="1"/>
        <rFont val="Calibri"/>
        <family val="2"/>
        <scheme val="minor"/>
      </rPr>
      <t>*</t>
    </r>
  </si>
  <si>
    <t>(0.1-12.0)</t>
  </si>
  <si>
    <t>(12.0- &gt;35.0)</t>
  </si>
  <si>
    <t>(9.7-17.8)</t>
  </si>
  <si>
    <t>(10.7-18.2)</t>
  </si>
  <si>
    <t>(17.6-23.9)</t>
  </si>
  <si>
    <t>Pyrene</t>
  </si>
  <si>
    <t>&gt;84</t>
  </si>
  <si>
    <r>
      <t>&gt;12.4</t>
    </r>
    <r>
      <rPr>
        <i/>
        <vertAlign val="superscript"/>
        <sz val="10"/>
        <color theme="1"/>
        <rFont val="Calibri"/>
        <family val="2"/>
        <scheme val="minor"/>
      </rPr>
      <t>*</t>
    </r>
  </si>
  <si>
    <t>(0.1-76.6)</t>
  </si>
  <si>
    <t>(2.3-4.6)</t>
  </si>
  <si>
    <t>(3.6—5.9) </t>
  </si>
  <si>
    <t xml:space="preserve">(5.8–8.2) </t>
  </si>
  <si>
    <t>A.millepora</t>
  </si>
  <si>
    <t>Log CTLBB</t>
  </si>
  <si>
    <t>CTLBB</t>
  </si>
  <si>
    <t>CTLBB std error</t>
  </si>
  <si>
    <t>Coral larval metamorphosis success (48h; chronic exposure)</t>
  </si>
  <si>
    <t>Substance</t>
  </si>
  <si>
    <t>Mol Wt</t>
  </si>
  <si>
    <r>
      <t>EC</t>
    </r>
    <r>
      <rPr>
        <vertAlign val="subscript"/>
        <sz val="10"/>
        <color theme="1"/>
        <rFont val="Calibri"/>
        <family val="2"/>
        <scheme val="minor"/>
      </rPr>
      <t>10</t>
    </r>
  </si>
  <si>
    <t>Log</t>
  </si>
  <si>
    <r>
      <t>Log EC</t>
    </r>
    <r>
      <rPr>
        <vertAlign val="subscript"/>
        <sz val="10"/>
        <color theme="1"/>
        <rFont val="Calibri"/>
        <family val="2"/>
        <scheme val="minor"/>
      </rPr>
      <t>10</t>
    </r>
    <r>
      <rPr>
        <sz val="10"/>
        <color theme="1"/>
        <rFont val="Calibri"/>
        <family val="2"/>
        <scheme val="minor"/>
      </rPr>
      <t xml:space="preserve"> (meas)</t>
    </r>
  </si>
  <si>
    <r>
      <t>Log EC</t>
    </r>
    <r>
      <rPr>
        <vertAlign val="subscript"/>
        <sz val="10"/>
        <color theme="1"/>
        <rFont val="Calibri"/>
        <family val="2"/>
        <scheme val="minor"/>
      </rPr>
      <t>10</t>
    </r>
    <r>
      <rPr>
        <sz val="10"/>
        <color theme="1"/>
        <rFont val="Calibri"/>
        <family val="2"/>
        <scheme val="minor"/>
      </rPr>
      <t xml:space="preserve"> + </t>
    </r>
    <r>
      <rPr>
        <sz val="10"/>
        <color theme="1"/>
        <rFont val="Symbol"/>
        <family val="1"/>
        <charset val="2"/>
      </rPr>
      <t>D</t>
    </r>
    <r>
      <rPr>
        <sz val="10"/>
        <color theme="1"/>
        <rFont val="Calibri"/>
        <family val="2"/>
        <scheme val="minor"/>
      </rPr>
      <t>c</t>
    </r>
  </si>
  <si>
    <r>
      <t>Log EC</t>
    </r>
    <r>
      <rPr>
        <vertAlign val="subscript"/>
        <sz val="10"/>
        <color theme="1"/>
        <rFont val="Calibri"/>
        <family val="2"/>
        <scheme val="minor"/>
      </rPr>
      <t>10</t>
    </r>
    <r>
      <rPr>
        <sz val="10"/>
        <color theme="1"/>
        <rFont val="Calibri"/>
        <family val="2"/>
        <scheme val="minor"/>
      </rPr>
      <t xml:space="preserve"> (pred)</t>
    </r>
  </si>
  <si>
    <t>Residual</t>
  </si>
  <si>
    <r>
      <t>K</t>
    </r>
    <r>
      <rPr>
        <vertAlign val="subscript"/>
        <sz val="10"/>
        <color theme="1"/>
        <rFont val="Calibri"/>
        <family val="2"/>
        <scheme val="minor"/>
      </rPr>
      <t>ow</t>
    </r>
  </si>
  <si>
    <t>(mM)</t>
  </si>
  <si>
    <t>Square</t>
  </si>
  <si>
    <t>Lower limit</t>
  </si>
  <si>
    <t>Step 1</t>
  </si>
  <si>
    <t>Enter L/ECx data in column D</t>
  </si>
  <si>
    <t>Step 2</t>
  </si>
  <si>
    <t>Use Goal Seek algorithm</t>
  </si>
  <si>
    <t>to minimise sum of residuals to zero</t>
  </si>
  <si>
    <t>by changing log CTLBB</t>
  </si>
  <si>
    <t>Step 3</t>
  </si>
  <si>
    <t>Spreadsheet plots TLM fit and</t>
  </si>
  <si>
    <t>Upper Limit</t>
  </si>
  <si>
    <r>
      <t>computes CTLBB mean</t>
    </r>
    <r>
      <rPr>
        <sz val="10"/>
        <color theme="1"/>
        <rFont val="Arial"/>
        <family val="2"/>
      </rPr>
      <t>±</t>
    </r>
    <r>
      <rPr>
        <sz val="10"/>
        <color theme="1"/>
        <rFont val="Calibri"/>
        <family val="2"/>
        <scheme val="minor"/>
      </rPr>
      <t>std error</t>
    </r>
  </si>
  <si>
    <t>Sum =</t>
  </si>
  <si>
    <t>RMSE</t>
  </si>
  <si>
    <r>
      <t>Distance to EC10 (Log(mM)+</t>
    </r>
    <r>
      <rPr>
        <sz val="9"/>
        <color theme="1"/>
        <rFont val="Calibri"/>
        <family val="2"/>
      </rPr>
      <t>∆</t>
    </r>
    <r>
      <rPr>
        <sz val="9"/>
        <color theme="1"/>
        <rFont val="Calibri"/>
        <family val="2"/>
        <scheme val="minor"/>
      </rPr>
      <t>c)</t>
    </r>
  </si>
  <si>
    <t>TLM residual standard error band</t>
  </si>
  <si>
    <r>
      <t>Log K</t>
    </r>
    <r>
      <rPr>
        <vertAlign val="subscript"/>
        <sz val="10"/>
        <color theme="1"/>
        <rFont val="Calibri"/>
        <family val="2"/>
        <scheme val="minor"/>
      </rPr>
      <t>ow</t>
    </r>
  </si>
  <si>
    <t>Upper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</si>
</sst>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"/>
    <numFmt numFmtId="167" formatCode="0.00000"/>
  </numFmts>
  <fonts count="26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10"/>
      <color theme="9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1"/>
      <charset val="2"/>
      <scheme val="minor"/>
    </font>
    <font>
      <b/>
      <sz val="10"/>
      <color theme="1"/>
      <name val="Symbol"/>
      <family val="1"/>
      <charset val="2"/>
    </font>
    <font>
      <vertAlign val="subscript"/>
      <sz val="10"/>
      <color theme="1"/>
      <name val="Calibri"/>
      <family val="2"/>
      <scheme val="minor"/>
    </font>
    <font>
      <sz val="10"/>
      <color theme="1"/>
      <name val="Symbol"/>
      <family val="1"/>
      <charset val="2"/>
    </font>
    <font>
      <sz val="1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Maths"/>
    </font>
    <font>
      <i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vertAlign val="superscript"/>
      <sz val="10"/>
      <color rgb="FF000000"/>
      <name val="Calibri"/>
      <family val="2"/>
      <scheme val="minor"/>
    </font>
    <font>
      <b/>
      <vertAlign val="subscript"/>
      <sz val="10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i/>
      <vertAlign val="superscript"/>
      <sz val="10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AEDF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theme="5"/>
      </left>
      <right/>
      <top/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4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center" vertical="center"/>
    </xf>
    <xf numFmtId="0" fontId="4" fillId="0" borderId="0" xfId="0" applyFont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3" xfId="0" applyFont="1" applyBorder="1"/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2" fontId="10" fillId="0" borderId="2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 indent="2"/>
    </xf>
    <xf numFmtId="1" fontId="2" fillId="0" borderId="0" xfId="0" applyNumberFormat="1" applyFont="1" applyAlignment="1">
      <alignment horizontal="right" indent="1"/>
    </xf>
    <xf numFmtId="164" fontId="2" fillId="0" borderId="0" xfId="0" applyNumberFormat="1" applyFont="1" applyAlignment="1">
      <alignment horizontal="right" vertical="center" indent="2"/>
    </xf>
    <xf numFmtId="2" fontId="10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166" fontId="2" fillId="0" borderId="0" xfId="0" applyNumberFormat="1" applyFont="1" applyAlignment="1">
      <alignment horizontal="right" vertical="center" indent="2"/>
    </xf>
    <xf numFmtId="0" fontId="2" fillId="0" borderId="3" xfId="0" applyFont="1" applyBorder="1" applyAlignment="1">
      <alignment horizontal="right" indent="2"/>
    </xf>
    <xf numFmtId="1" fontId="2" fillId="0" borderId="3" xfId="0" applyNumberFormat="1" applyFont="1" applyBorder="1"/>
    <xf numFmtId="164" fontId="2" fillId="0" borderId="3" xfId="0" applyNumberFormat="1" applyFont="1" applyBorder="1" applyAlignment="1">
      <alignment horizontal="right" indent="2"/>
    </xf>
    <xf numFmtId="2" fontId="2" fillId="0" borderId="3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4" fontId="2" fillId="0" borderId="0" xfId="0" applyNumberFormat="1" applyFont="1"/>
    <xf numFmtId="0" fontId="13" fillId="0" borderId="0" xfId="0" applyFont="1"/>
    <xf numFmtId="2" fontId="2" fillId="0" borderId="0" xfId="0" applyNumberFormat="1" applyFont="1"/>
    <xf numFmtId="0" fontId="14" fillId="0" borderId="0" xfId="0" applyFont="1"/>
    <xf numFmtId="0" fontId="2" fillId="0" borderId="0" xfId="0" applyFont="1" applyAlignment="1">
      <alignment horizontal="center" vertical="center"/>
    </xf>
    <xf numFmtId="164" fontId="3" fillId="0" borderId="0" xfId="1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/>
    </xf>
    <xf numFmtId="167" fontId="2" fillId="0" borderId="6" xfId="0" applyNumberFormat="1" applyFont="1" applyBorder="1" applyAlignment="1">
      <alignment horizontal="center"/>
    </xf>
    <xf numFmtId="165" fontId="2" fillId="0" borderId="5" xfId="0" applyNumberFormat="1" applyFont="1" applyBorder="1"/>
    <xf numFmtId="0" fontId="23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5" fillId="0" borderId="1" xfId="0" applyFont="1" applyBorder="1" applyAlignment="1">
      <alignment horizontal="center"/>
    </xf>
    <xf numFmtId="165" fontId="2" fillId="0" borderId="3" xfId="0" applyNumberFormat="1" applyFont="1" applyBorder="1"/>
    <xf numFmtId="0" fontId="2" fillId="0" borderId="13" xfId="0" applyFont="1" applyBorder="1"/>
    <xf numFmtId="164" fontId="2" fillId="0" borderId="14" xfId="0" applyNumberFormat="1" applyFont="1" applyBorder="1" applyAlignment="1">
      <alignment horizontal="center"/>
    </xf>
    <xf numFmtId="0" fontId="2" fillId="0" borderId="11" xfId="0" applyFont="1" applyBorder="1"/>
    <xf numFmtId="164" fontId="2" fillId="0" borderId="15" xfId="0" applyNumberFormat="1" applyFont="1" applyBorder="1" applyAlignment="1">
      <alignment horizontal="center"/>
    </xf>
    <xf numFmtId="0" fontId="2" fillId="0" borderId="12" xfId="0" applyFont="1" applyBorder="1"/>
    <xf numFmtId="164" fontId="2" fillId="0" borderId="16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 wrapText="1"/>
    </xf>
    <xf numFmtId="3" fontId="2" fillId="4" borderId="7" xfId="0" applyNumberFormat="1" applyFont="1" applyFill="1" applyBorder="1" applyAlignment="1">
      <alignment horizontal="center" vertical="center" wrapText="1"/>
    </xf>
    <xf numFmtId="0" fontId="19" fillId="4" borderId="9" xfId="0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0" fontId="19" fillId="4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0" fillId="4" borderId="7" xfId="0" applyFont="1" applyFill="1" applyBorder="1" applyAlignment="1">
      <alignment horizontal="center" vertical="center" wrapText="1"/>
    </xf>
    <xf numFmtId="0" fontId="21" fillId="4" borderId="9" xfId="0" applyFont="1" applyFill="1" applyBorder="1" applyAlignment="1">
      <alignment horizontal="center" vertical="center" wrapText="1"/>
    </xf>
    <xf numFmtId="0" fontId="20" fillId="4" borderId="8" xfId="0" applyFont="1" applyFill="1" applyBorder="1" applyAlignment="1">
      <alignment horizontal="center" vertical="center" wrapText="1"/>
    </xf>
    <xf numFmtId="3" fontId="2" fillId="3" borderId="7" xfId="0" applyNumberFormat="1" applyFont="1" applyFill="1" applyBorder="1" applyAlignment="1">
      <alignment horizontal="center" vertical="center" wrapText="1"/>
    </xf>
    <xf numFmtId="0" fontId="19" fillId="3" borderId="9" xfId="0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0" fontId="19" fillId="3" borderId="8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2" fontId="2" fillId="5" borderId="0" xfId="0" applyNumberFormat="1" applyFont="1" applyFill="1"/>
    <xf numFmtId="165" fontId="2" fillId="5" borderId="0" xfId="0" applyNumberFormat="1" applyFont="1" applyFill="1"/>
    <xf numFmtId="2" fontId="2" fillId="5" borderId="3" xfId="0" applyNumberFormat="1" applyFont="1" applyFill="1" applyBorder="1"/>
    <xf numFmtId="165" fontId="2" fillId="5" borderId="3" xfId="0" applyNumberFormat="1" applyFont="1" applyFill="1" applyBorder="1"/>
    <xf numFmtId="0" fontId="2" fillId="0" borderId="13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2" xfId="0" applyNumberFormat="1" applyFont="1" applyBorder="1"/>
    <xf numFmtId="164" fontId="2" fillId="0" borderId="14" xfId="0" applyNumberFormat="1" applyFont="1" applyBorder="1"/>
    <xf numFmtId="164" fontId="5" fillId="0" borderId="14" xfId="0" applyNumberFormat="1" applyFont="1" applyBorder="1"/>
    <xf numFmtId="0" fontId="2" fillId="0" borderId="11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15" xfId="0" applyNumberFormat="1" applyFont="1" applyBorder="1"/>
    <xf numFmtId="164" fontId="5" fillId="0" borderId="15" xfId="0" applyNumberFormat="1" applyFont="1" applyBorder="1"/>
    <xf numFmtId="0" fontId="2" fillId="0" borderId="12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3" xfId="0" applyNumberFormat="1" applyFont="1" applyBorder="1"/>
    <xf numFmtId="164" fontId="2" fillId="0" borderId="16" xfId="0" applyNumberFormat="1" applyFont="1" applyBorder="1"/>
    <xf numFmtId="164" fontId="5" fillId="0" borderId="16" xfId="0" applyNumberFormat="1" applyFont="1" applyBorder="1"/>
    <xf numFmtId="0" fontId="2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166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 vertical="top"/>
    </xf>
    <xf numFmtId="165" fontId="2" fillId="0" borderId="0" xfId="0" applyNumberFormat="1" applyFont="1" applyAlignment="1">
      <alignment horizontal="left" vertical="top"/>
    </xf>
    <xf numFmtId="0" fontId="14" fillId="0" borderId="0" xfId="0" quotePrefix="1" applyFont="1"/>
    <xf numFmtId="166" fontId="2" fillId="0" borderId="4" xfId="0" applyNumberFormat="1" applyFont="1" applyBorder="1" applyAlignment="1">
      <alignment horizontal="center"/>
    </xf>
    <xf numFmtId="164" fontId="5" fillId="0" borderId="0" xfId="0" applyNumberFormat="1" applyFont="1"/>
    <xf numFmtId="164" fontId="3" fillId="0" borderId="0" xfId="0" applyNumberFormat="1" applyFont="1"/>
    <xf numFmtId="0" fontId="21" fillId="0" borderId="9" xfId="0" applyFont="1" applyBorder="1" applyAlignment="1">
      <alignment horizontal="center"/>
    </xf>
    <xf numFmtId="3" fontId="2" fillId="0" borderId="7" xfId="0" applyNumberFormat="1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3" fontId="2" fillId="0" borderId="8" xfId="0" applyNumberFormat="1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2" fontId="2" fillId="0" borderId="2" xfId="0" applyNumberFormat="1" applyFont="1" applyBorder="1"/>
    <xf numFmtId="2" fontId="2" fillId="0" borderId="3" xfId="0" applyNumberFormat="1" applyFont="1" applyBorder="1"/>
    <xf numFmtId="164" fontId="2" fillId="0" borderId="2" xfId="0" applyNumberFormat="1" applyFont="1" applyBorder="1" applyAlignment="1">
      <alignment horizontal="right" vertical="center" indent="2"/>
    </xf>
    <xf numFmtId="2" fontId="10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right" vertical="center" indent="2"/>
    </xf>
    <xf numFmtId="2" fontId="10" fillId="0" borderId="3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 indent="1"/>
    </xf>
    <xf numFmtId="0" fontId="2" fillId="0" borderId="8" xfId="0" applyFont="1" applyBorder="1" applyAlignment="1">
      <alignment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164" fontId="3" fillId="0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6600"/>
      <color rgb="FF203214"/>
      <color rgb="FF009999"/>
      <color rgb="FF006666"/>
      <color rgb="FFB86E00"/>
      <color rgb="FFFF9900"/>
      <color rgb="FFCC00CC"/>
      <color rgb="FF990000"/>
      <color rgb="FFDE8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13408567487087"/>
          <c:y val="4.5367786305192864E-2"/>
          <c:w val="0.86558084045584049"/>
          <c:h val="0.8378855332956798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solidFill>
                  <a:srgbClr val="006600"/>
                </a:solidFill>
              </a:ln>
            </c:spPr>
          </c:marker>
          <c:dPt>
            <c:idx val="0"/>
            <c:marker>
              <c:spPr>
                <a:solidFill>
                  <a:schemeClr val="accent6">
                    <a:lumMod val="60000"/>
                    <a:lumOff val="40000"/>
                  </a:schemeClr>
                </a:solidFill>
                <a:ln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EC4-4BE0-891A-14CFE98A0627}"/>
              </c:ext>
            </c:extLst>
          </c:dPt>
          <c:dPt>
            <c:idx val="1"/>
            <c:marker>
              <c:spPr>
                <a:solidFill>
                  <a:schemeClr val="accent6">
                    <a:lumMod val="60000"/>
                    <a:lumOff val="40000"/>
                  </a:schemeClr>
                </a:solidFill>
                <a:ln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EC4-4BE0-891A-14CFE98A0627}"/>
              </c:ext>
            </c:extLst>
          </c:dPt>
          <c:dPt>
            <c:idx val="2"/>
            <c:marker>
              <c:spPr>
                <a:solidFill>
                  <a:schemeClr val="accent6">
                    <a:lumMod val="75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EC4-4BE0-891A-14CFE98A0627}"/>
              </c:ext>
            </c:extLst>
          </c:dPt>
          <c:dPt>
            <c:idx val="3"/>
            <c:marker>
              <c:spPr>
                <a:solidFill>
                  <a:schemeClr val="accent6">
                    <a:lumMod val="75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EC4-4BE0-891A-14CFE98A0627}"/>
              </c:ext>
            </c:extLst>
          </c:dPt>
          <c:dPt>
            <c:idx val="4"/>
            <c:marker>
              <c:spPr>
                <a:solidFill>
                  <a:schemeClr val="accent6">
                    <a:lumMod val="50000"/>
                  </a:schemeClr>
                </a:solidFill>
                <a:ln>
                  <a:solidFill>
                    <a:schemeClr val="accent6">
                      <a:lumMod val="50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EC4-4BE0-891A-14CFE98A0627}"/>
              </c:ext>
            </c:extLst>
          </c:dPt>
          <c:dPt>
            <c:idx val="5"/>
            <c:marker>
              <c:spPr>
                <a:solidFill>
                  <a:srgbClr val="006600"/>
                </a:solidFill>
                <a:ln>
                  <a:solidFill>
                    <a:srgbClr val="0066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EC4-4BE0-891A-14CFE98A0627}"/>
              </c:ext>
            </c:extLst>
          </c:dPt>
          <c:dPt>
            <c:idx val="6"/>
            <c:marker>
              <c:spPr>
                <a:solidFill>
                  <a:schemeClr val="tx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3A0-4D93-BD6C-9B77A7CF2731}"/>
              </c:ext>
            </c:extLst>
          </c:dPt>
          <c:dPt>
            <c:idx val="7"/>
            <c:marker>
              <c:spPr>
                <a:solidFill>
                  <a:schemeClr val="tx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01A-4CC6-BCC4-6C205EA0EC52}"/>
              </c:ext>
            </c:extLst>
          </c:dPt>
          <c:errBars>
            <c:errDir val="y"/>
            <c:errBarType val="both"/>
            <c:errValType val="cust"/>
            <c:noEndCap val="1"/>
            <c:plus>
              <c:numRef>
                <c:f>'AM chronic meta. CTLBB (n=8)'!$D$23:$D$30</c:f>
                <c:numCache>
                  <c:formatCode>0.0000</c:formatCode>
                  <c:ptCount val="8"/>
                  <c:pt idx="0">
                    <c:v>0.36515167365507883</c:v>
                  </c:pt>
                  <c:pt idx="1">
                    <c:v>0.17446069302047718</c:v>
                  </c:pt>
                  <c:pt idx="2">
                    <c:v>1.2008061468767788</c:v>
                  </c:pt>
                  <c:pt idx="3">
                    <c:v>0.50639259571100181</c:v>
                  </c:pt>
                  <c:pt idx="4">
                    <c:v>0.6713864827039302</c:v>
                  </c:pt>
                  <c:pt idx="5">
                    <c:v>1.1419720759070802</c:v>
                  </c:pt>
                  <c:pt idx="6">
                    <c:v>0.17373095714871001</c:v>
                  </c:pt>
                  <c:pt idx="7">
                    <c:v>0.29524702763544353</c:v>
                  </c:pt>
                </c:numCache>
              </c:numRef>
            </c:plus>
            <c:minus>
              <c:numRef>
                <c:f>'AM chronic meta. CTLBB (n=8)'!$C$23:$C$30</c:f>
                <c:numCache>
                  <c:formatCode>0.0000</c:formatCode>
                  <c:ptCount val="8"/>
                  <c:pt idx="0">
                    <c:v>0.50133104766707537</c:v>
                  </c:pt>
                  <c:pt idx="1">
                    <c:v>0.29990471783934725</c:v>
                  </c:pt>
                  <c:pt idx="2">
                    <c:v>1.3921104650113141</c:v>
                  </c:pt>
                  <c:pt idx="3">
                    <c:v>0.87072756902346216</c:v>
                  </c:pt>
                  <c:pt idx="4">
                    <c:v>0.71600334363479945</c:v>
                  </c:pt>
                  <c:pt idx="5">
                    <c:v>0.69897000433601875</c:v>
                  </c:pt>
                  <c:pt idx="6">
                    <c:v>0.27699175479654237</c:v>
                  </c:pt>
                  <c:pt idx="7">
                    <c:v>0.5251827001899021</c:v>
                  </c:pt>
                </c:numCache>
              </c:numRef>
            </c:minus>
          </c:errBars>
          <c:xVal>
            <c:numRef>
              <c:f>'AM chronic meta. CTLBB (n=8)'!$F$8:$F$15</c:f>
              <c:numCache>
                <c:formatCode>0.00</c:formatCode>
                <c:ptCount val="8"/>
                <c:pt idx="0">
                  <c:v>2.54</c:v>
                </c:pt>
                <c:pt idx="1">
                  <c:v>2.54</c:v>
                </c:pt>
                <c:pt idx="2">
                  <c:v>3.17</c:v>
                </c:pt>
                <c:pt idx="3">
                  <c:v>3.17</c:v>
                </c:pt>
                <c:pt idx="4">
                  <c:v>3.72</c:v>
                </c:pt>
                <c:pt idx="5">
                  <c:v>3.72</c:v>
                </c:pt>
                <c:pt idx="6">
                  <c:v>4.3499999999999996</c:v>
                </c:pt>
                <c:pt idx="7">
                  <c:v>4.3499999999999996</c:v>
                </c:pt>
              </c:numCache>
            </c:numRef>
          </c:xVal>
          <c:yVal>
            <c:numRef>
              <c:f>'AM chronic meta. CTLBB (n=8)'!$H$8:$H$15</c:f>
              <c:numCache>
                <c:formatCode>0.0000</c:formatCode>
                <c:ptCount val="8"/>
                <c:pt idx="0">
                  <c:v>-1.3290254548624603</c:v>
                </c:pt>
                <c:pt idx="1">
                  <c:v>-1.098025334690808</c:v>
                </c:pt>
                <c:pt idx="2">
                  <c:v>-3.5736263097878411</c:v>
                </c:pt>
                <c:pt idx="3">
                  <c:v>-3.2010625982236189</c:v>
                </c:pt>
                <c:pt idx="4">
                  <c:v>-4.3739262484229293</c:v>
                </c:pt>
                <c:pt idx="5">
                  <c:v>-4.6128083373380662</c:v>
                </c:pt>
                <c:pt idx="6">
                  <c:v>-2.4960456999929703</c:v>
                </c:pt>
                <c:pt idx="7">
                  <c:v>-2.6105190029231053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C4-4BE0-891A-14CFE98A0627}"/>
            </c:ext>
          </c:extLst>
        </c:ser>
        <c:ser>
          <c:idx val="1"/>
          <c:order val="1"/>
          <c:tx>
            <c:v>TLM</c:v>
          </c:tx>
          <c:spPr>
            <a:ln w="22225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trendline>
            <c:spPr>
              <a:ln>
                <a:solidFill>
                  <a:schemeClr val="tx1">
                    <a:lumMod val="65000"/>
                    <a:lumOff val="35000"/>
                  </a:schemeClr>
                </a:solidFill>
                <a:prstDash val="lgDash"/>
              </a:ln>
            </c:spPr>
            <c:trendlineType val="linear"/>
            <c:dispRSqr val="0"/>
            <c:dispEq val="1"/>
            <c:trendlineLbl>
              <c:layout>
                <c:manualLayout>
                  <c:x val="-0.61076851851851854"/>
                  <c:y val="6.4726415094339629E-2"/>
                </c:manualLayout>
              </c:layout>
              <c:numFmt formatCode="#,##0.000" sourceLinked="0"/>
            </c:trendlineLbl>
          </c:trendline>
          <c:xVal>
            <c:numRef>
              <c:f>'AM chronic meta. CTLBB (n=8)'!$F$7:$F$16</c:f>
              <c:numCache>
                <c:formatCode>0.00</c:formatCode>
                <c:ptCount val="10"/>
                <c:pt idx="0">
                  <c:v>0.01</c:v>
                </c:pt>
                <c:pt idx="1">
                  <c:v>2.54</c:v>
                </c:pt>
                <c:pt idx="2">
                  <c:v>2.54</c:v>
                </c:pt>
                <c:pt idx="3">
                  <c:v>3.17</c:v>
                </c:pt>
                <c:pt idx="4">
                  <c:v>3.17</c:v>
                </c:pt>
                <c:pt idx="5">
                  <c:v>3.72</c:v>
                </c:pt>
                <c:pt idx="6">
                  <c:v>3.72</c:v>
                </c:pt>
                <c:pt idx="7">
                  <c:v>4.3499999999999996</c:v>
                </c:pt>
                <c:pt idx="8">
                  <c:v>4.3499999999999996</c:v>
                </c:pt>
                <c:pt idx="9">
                  <c:v>5.5</c:v>
                </c:pt>
              </c:numCache>
            </c:numRef>
          </c:xVal>
          <c:yVal>
            <c:numRef>
              <c:f>'AM chronic meta. CTLBB (n=8)'!$I$7:$I$16</c:f>
              <c:numCache>
                <c:formatCode>0.0000</c:formatCode>
                <c:ptCount val="10"/>
                <c:pt idx="0">
                  <c:v>0.31702012671977509</c:v>
                </c:pt>
                <c:pt idx="1">
                  <c:v>-2.0611798732802247</c:v>
                </c:pt>
                <c:pt idx="2">
                  <c:v>-2.0611798732802247</c:v>
                </c:pt>
                <c:pt idx="3">
                  <c:v>-2.6533798732802243</c:v>
                </c:pt>
                <c:pt idx="4">
                  <c:v>-2.6533798732802243</c:v>
                </c:pt>
                <c:pt idx="5">
                  <c:v>-3.1703798732802246</c:v>
                </c:pt>
                <c:pt idx="6">
                  <c:v>-3.1703798732802246</c:v>
                </c:pt>
                <c:pt idx="7">
                  <c:v>-3.7625798732802243</c:v>
                </c:pt>
                <c:pt idx="8">
                  <c:v>-3.7625798732802243</c:v>
                </c:pt>
                <c:pt idx="9">
                  <c:v>-4.8435798732802251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EC4-4BE0-891A-14CFE98A0627}"/>
            </c:ext>
          </c:extLst>
        </c:ser>
        <c:ser>
          <c:idx val="6"/>
          <c:order val="2"/>
          <c:tx>
            <c:v>CTLBB SE lower</c:v>
          </c:tx>
          <c:spPr>
            <a:ln w="1270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xVal>
            <c:numRef>
              <c:f>'AM chronic meta. CTLBB (n=8)'!$B$35:$B$36</c:f>
              <c:numCache>
                <c:formatCode>0.00</c:formatCode>
                <c:ptCount val="2"/>
                <c:pt idx="0">
                  <c:v>0.01</c:v>
                </c:pt>
                <c:pt idx="1">
                  <c:v>5.5</c:v>
                </c:pt>
              </c:numCache>
            </c:numRef>
          </c:xVal>
          <c:yVal>
            <c:numRef>
              <c:f>'AM chronic meta. CTLBB (n=8)'!$C$35:$C$36</c:f>
              <c:numCache>
                <c:formatCode>0.0000</c:formatCode>
                <c:ptCount val="2"/>
                <c:pt idx="0">
                  <c:v>-0.82133730151219131</c:v>
                </c:pt>
                <c:pt idx="1">
                  <c:v>-5.9819373015121915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FAE-49A2-A47D-0EF9B3D4A977}"/>
            </c:ext>
          </c:extLst>
        </c:ser>
        <c:ser>
          <c:idx val="7"/>
          <c:order val="3"/>
          <c:tx>
            <c:v>CTLBB SE upper</c:v>
          </c:tx>
          <c:spPr>
            <a:ln w="1270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xVal>
            <c:numRef>
              <c:f>'AM chronic meta. CTLBB (n=8)'!$B$35:$B$36</c:f>
              <c:numCache>
                <c:formatCode>0.00</c:formatCode>
                <c:ptCount val="2"/>
                <c:pt idx="0">
                  <c:v>0.01</c:v>
                </c:pt>
                <c:pt idx="1">
                  <c:v>5.5</c:v>
                </c:pt>
              </c:numCache>
            </c:numRef>
          </c:xVal>
          <c:yVal>
            <c:numRef>
              <c:f>'AM chronic meta. CTLBB (n=8)'!$D$35:$D$36</c:f>
              <c:numCache>
                <c:formatCode>0.0000</c:formatCode>
                <c:ptCount val="2"/>
                <c:pt idx="0">
                  <c:v>1.4553775549517414</c:v>
                </c:pt>
                <c:pt idx="1">
                  <c:v>-3.7052224450482587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FAE-49A2-A47D-0EF9B3D4A977}"/>
            </c:ext>
          </c:extLst>
        </c:ser>
        <c:ser>
          <c:idx val="2"/>
          <c:order val="4"/>
          <c:tx>
            <c:v>Anthracene &amp; pyrene</c:v>
          </c:tx>
          <c:spPr>
            <a:ln w="19050">
              <a:noFill/>
            </a:ln>
          </c:spPr>
          <c:marker>
            <c:symbol val="circle"/>
            <c:size val="7"/>
            <c:spPr>
              <a:noFill/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xVal>
            <c:numRef>
              <c:f>'AM chronic meta. CTLBB (n=8)'!$F$41:$F$42</c:f>
              <c:numCache>
                <c:formatCode>0.00</c:formatCode>
                <c:ptCount val="2"/>
                <c:pt idx="0">
                  <c:v>4.3499999999999996</c:v>
                </c:pt>
                <c:pt idx="1">
                  <c:v>4.93</c:v>
                </c:pt>
              </c:numCache>
            </c:numRef>
          </c:xVal>
          <c:yVal>
            <c:numRef>
              <c:f>'AM chronic meta. CTLBB (n=8)'!$G$41:$G$42</c:f>
              <c:numCache>
                <c:formatCode>0.0000</c:formatCode>
                <c:ptCount val="2"/>
                <c:pt idx="0">
                  <c:v>-4.5607116196723423</c:v>
                </c:pt>
                <c:pt idx="1">
                  <c:v>-4.5064406018014003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01A-4CC6-BCC4-6C205EA0E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927032"/>
        <c:axId val="542926248"/>
      </c:scatterChart>
      <c:valAx>
        <c:axId val="542927032"/>
        <c:scaling>
          <c:orientation val="minMax"/>
          <c:max val="5.5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 sz="1050" b="0"/>
                </a:pPr>
                <a:r>
                  <a:rPr lang="en-US" sz="1050" b="0"/>
                  <a:t>Log Kow</a:t>
                </a:r>
              </a:p>
            </c:rich>
          </c:tx>
          <c:overlay val="0"/>
        </c:title>
        <c:numFmt formatCode="0.0" sourceLinked="0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542926248"/>
        <c:crossesAt val="-7"/>
        <c:crossBetween val="midCat"/>
        <c:majorUnit val="0.5"/>
        <c:minorUnit val="0.5"/>
      </c:valAx>
      <c:valAx>
        <c:axId val="542926248"/>
        <c:scaling>
          <c:orientation val="minMax"/>
          <c:max val="1"/>
          <c:min val="-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50" b="0"/>
                </a:pPr>
                <a:r>
                  <a:rPr lang="en-US" sz="1050" b="0"/>
                  <a:t> Log EC</a:t>
                </a:r>
                <a:r>
                  <a:rPr lang="en-US" sz="1050" b="0" baseline="-25000"/>
                  <a:t>10</a:t>
                </a:r>
                <a:r>
                  <a:rPr lang="en-US" sz="1050" b="0"/>
                  <a:t> (mM)</a:t>
                </a:r>
              </a:p>
            </c:rich>
          </c:tx>
          <c:layout>
            <c:manualLayout>
              <c:xMode val="edge"/>
              <c:yMode val="edge"/>
              <c:x val="9.0804311533237304E-3"/>
              <c:y val="0.30614048243969505"/>
            </c:manualLayout>
          </c:layout>
          <c:overlay val="0"/>
        </c:title>
        <c:numFmt formatCode="0" sourceLinked="0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542927032"/>
        <c:crossesAt val="1.0000000000000002E-2"/>
        <c:crossBetween val="midCat"/>
        <c:majorUnit val="1"/>
        <c:minorUnit val="0.5"/>
      </c:valAx>
    </c:plotArea>
    <c:plotVisOnly val="1"/>
    <c:dispBlanksAs val="gap"/>
    <c:showDLblsOverMax val="0"/>
  </c:chart>
  <c:spPr>
    <a:solidFill>
      <a:schemeClr val="bg1"/>
    </a:solidFill>
    <a:ln>
      <a:solidFill>
        <a:sysClr val="windowText" lastClr="000000"/>
      </a:solidFill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338640</xdr:colOff>
      <xdr:row>19</xdr:row>
      <xdr:rowOff>152959</xdr:rowOff>
    </xdr:from>
    <xdr:to>
      <xdr:col>14</xdr:col>
      <xdr:colOff>480940</xdr:colOff>
      <xdr:row>44</xdr:row>
      <xdr:rowOff>209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733985</xdr:colOff>
      <xdr:row>21</xdr:row>
      <xdr:rowOff>65815</xdr:rowOff>
    </xdr:from>
    <xdr:to>
      <xdr:col>14</xdr:col>
      <xdr:colOff>683433</xdr:colOff>
      <xdr:row>26</xdr:row>
      <xdr:rowOff>2695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10754285" y="3485290"/>
          <a:ext cx="1473448" cy="746505"/>
          <a:chOff x="11267355" y="3439373"/>
          <a:chExt cx="1518261" cy="740064"/>
        </a:xfrm>
      </xdr:grpSpPr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GrpSpPr/>
        </xdr:nvGrpSpPr>
        <xdr:grpSpPr>
          <a:xfrm>
            <a:off x="11267355" y="3439373"/>
            <a:ext cx="1516605" cy="575106"/>
            <a:chOff x="0" y="0"/>
            <a:chExt cx="1280043" cy="465629"/>
          </a:xfrm>
        </xdr:grpSpPr>
        <xdr:grpSp>
          <xdr:nvGrpSpPr>
            <xdr:cNvPr id="9" name="Group 8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GrpSpPr/>
          </xdr:nvGrpSpPr>
          <xdr:grpSpPr>
            <a:xfrm>
              <a:off x="0" y="56424"/>
              <a:ext cx="71171" cy="340729"/>
              <a:chOff x="0" y="56424"/>
              <a:chExt cx="70002" cy="357290"/>
            </a:xfrm>
          </xdr:grpSpPr>
          <xdr:sp macro="" textlink="">
            <xdr:nvSpPr>
              <xdr:cNvPr id="15" name="Oval 14">
                <a:extLst>
                  <a:ext uri="{FF2B5EF4-FFF2-40B4-BE49-F238E27FC236}">
                    <a16:creationId xmlns:a16="http://schemas.microsoft.com/office/drawing/2014/main" id="{00000000-0008-0000-0200-00000F000000}"/>
                  </a:ext>
                </a:extLst>
              </xdr:cNvPr>
              <xdr:cNvSpPr/>
            </xdr:nvSpPr>
            <xdr:spPr>
              <a:xfrm>
                <a:off x="0" y="56424"/>
                <a:ext cx="68958" cy="76086"/>
              </a:xfrm>
              <a:prstGeom prst="ellipse">
                <a:avLst/>
              </a:prstGeom>
              <a:solidFill>
                <a:schemeClr val="accent6">
                  <a:lumMod val="60000"/>
                  <a:lumOff val="40000"/>
                </a:schemeClr>
              </a:solidFill>
              <a:ln w="6350">
                <a:solidFill>
                  <a:schemeClr val="accent6">
                    <a:lumMod val="60000"/>
                    <a:lumOff val="4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t" anchorCtr="0" forceAA="0" compatLnSpc="1">
                <a:prstTxWarp prst="textNoShape">
                  <a:avLst/>
                </a:prstTxWarp>
                <a:noAutofit/>
              </a:bodyPr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en-AU" sz="1100"/>
              </a:p>
            </xdr:txBody>
          </xdr:sp>
          <xdr:sp macro="" textlink="">
            <xdr:nvSpPr>
              <xdr:cNvPr id="16" name="Oval 15">
                <a:extLst>
                  <a:ext uri="{FF2B5EF4-FFF2-40B4-BE49-F238E27FC236}">
                    <a16:creationId xmlns:a16="http://schemas.microsoft.com/office/drawing/2014/main" id="{00000000-0008-0000-0200-000010000000}"/>
                  </a:ext>
                </a:extLst>
              </xdr:cNvPr>
              <xdr:cNvSpPr/>
            </xdr:nvSpPr>
            <xdr:spPr>
              <a:xfrm>
                <a:off x="304" y="199044"/>
                <a:ext cx="68958" cy="76086"/>
              </a:xfrm>
              <a:prstGeom prst="ellipse">
                <a:avLst/>
              </a:prstGeom>
              <a:solidFill>
                <a:schemeClr val="accent6">
                  <a:lumMod val="75000"/>
                </a:schemeClr>
              </a:solidFill>
              <a:ln w="6350"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t" anchorCtr="0" forceAA="0" compatLnSpc="1">
                <a:prstTxWarp prst="textNoShape">
                  <a:avLst/>
                </a:prstTxWarp>
                <a:noAutofit/>
              </a:bodyPr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en-AU" sz="1100"/>
              </a:p>
            </xdr:txBody>
          </xdr:sp>
          <xdr:sp macro="" textlink="">
            <xdr:nvSpPr>
              <xdr:cNvPr id="17" name="Oval 16">
                <a:extLst>
                  <a:ext uri="{FF2B5EF4-FFF2-40B4-BE49-F238E27FC236}">
                    <a16:creationId xmlns:a16="http://schemas.microsoft.com/office/drawing/2014/main" id="{00000000-0008-0000-0200-000011000000}"/>
                  </a:ext>
                </a:extLst>
              </xdr:cNvPr>
              <xdr:cNvSpPr/>
            </xdr:nvSpPr>
            <xdr:spPr>
              <a:xfrm>
                <a:off x="1044" y="337628"/>
                <a:ext cx="68958" cy="76086"/>
              </a:xfrm>
              <a:prstGeom prst="ellipse">
                <a:avLst/>
              </a:prstGeom>
              <a:solidFill>
                <a:schemeClr val="accent6">
                  <a:lumMod val="50000"/>
                </a:schemeClr>
              </a:solidFill>
              <a:ln w="6350">
                <a:solidFill>
                  <a:schemeClr val="accent6">
                    <a:lumMod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t" anchorCtr="0" forceAA="0" compatLnSpc="1">
                <a:prstTxWarp prst="textNoShape">
                  <a:avLst/>
                </a:prstTxWarp>
                <a:noAutofit/>
              </a:bodyPr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en-AU" sz="1100"/>
              </a:p>
            </xdr:txBody>
          </xdr:sp>
        </xdr:grpSp>
        <xdr:grpSp>
          <xdr:nvGrpSpPr>
            <xdr:cNvPr id="11" name="Group 10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GrpSpPr/>
          </xdr:nvGrpSpPr>
          <xdr:grpSpPr>
            <a:xfrm>
              <a:off x="59294" y="0"/>
              <a:ext cx="1220749" cy="465629"/>
              <a:chOff x="59294" y="0"/>
              <a:chExt cx="1200743" cy="488268"/>
            </a:xfrm>
          </xdr:grpSpPr>
          <xdr:sp macro="" textlink="">
            <xdr:nvSpPr>
              <xdr:cNvPr id="12" name="TextBox 11">
                <a:extLst>
                  <a:ext uri="{FF2B5EF4-FFF2-40B4-BE49-F238E27FC236}">
                    <a16:creationId xmlns:a16="http://schemas.microsoft.com/office/drawing/2014/main" id="{00000000-0008-0000-0200-00000C000000}"/>
                  </a:ext>
                </a:extLst>
              </xdr:cNvPr>
              <xdr:cNvSpPr txBox="1"/>
            </xdr:nvSpPr>
            <xdr:spPr>
              <a:xfrm>
                <a:off x="59294" y="0"/>
                <a:ext cx="542514" cy="20269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wrap="square" rtlCol="0" anchor="t">
                <a:noAutofit/>
              </a:bodyPr>
              <a:lstStyle>
                <a:lvl1pPr marL="0" indent="0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en-AU" sz="900">
                    <a:latin typeface="Arial" panose="020B0604020202020204" pitchFamily="34" charset="0"/>
                    <a:cs typeface="Arial" panose="020B0604020202020204" pitchFamily="34" charset="0"/>
                  </a:rPr>
                  <a:t>Toluene</a:t>
                </a:r>
              </a:p>
            </xdr:txBody>
          </xdr:sp>
          <xdr:sp macro="" textlink="">
            <xdr:nvSpPr>
              <xdr:cNvPr id="13" name="TextBox 12">
                <a:extLst>
                  <a:ext uri="{FF2B5EF4-FFF2-40B4-BE49-F238E27FC236}">
                    <a16:creationId xmlns:a16="http://schemas.microsoft.com/office/drawing/2014/main" id="{00000000-0008-0000-0200-00000D000000}"/>
                  </a:ext>
                </a:extLst>
              </xdr:cNvPr>
              <xdr:cNvSpPr txBox="1"/>
            </xdr:nvSpPr>
            <xdr:spPr>
              <a:xfrm>
                <a:off x="59294" y="134733"/>
                <a:ext cx="773360" cy="20269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wrap="square" rtlCol="0" anchor="t">
                <a:noAutofit/>
              </a:bodyPr>
              <a:lstStyle>
                <a:lvl1pPr marL="0" indent="0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en-AU" sz="900">
                    <a:latin typeface="Arial" panose="020B0604020202020204" pitchFamily="34" charset="0"/>
                    <a:cs typeface="Arial" panose="020B0604020202020204" pitchFamily="34" charset="0"/>
                  </a:rPr>
                  <a:t>Naphthalene</a:t>
                </a:r>
              </a:p>
            </xdr:txBody>
          </xdr:sp>
          <xdr:sp macro="" textlink="">
            <xdr:nvSpPr>
              <xdr:cNvPr id="14" name="TextBox 13">
                <a:extLst>
                  <a:ext uri="{FF2B5EF4-FFF2-40B4-BE49-F238E27FC236}">
                    <a16:creationId xmlns:a16="http://schemas.microsoft.com/office/drawing/2014/main" id="{00000000-0008-0000-0200-00000E000000}"/>
                  </a:ext>
                </a:extLst>
              </xdr:cNvPr>
              <xdr:cNvSpPr txBox="1"/>
            </xdr:nvSpPr>
            <xdr:spPr>
              <a:xfrm>
                <a:off x="59294" y="285571"/>
                <a:ext cx="1200743" cy="20269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wrap="square" rtlCol="0" anchor="t">
                <a:noAutofit/>
              </a:bodyPr>
              <a:lstStyle>
                <a:lvl1pPr marL="0" indent="0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en-AU" sz="900">
                    <a:latin typeface="Arial" panose="020B0604020202020204" pitchFamily="34" charset="0"/>
                    <a:cs typeface="Arial" panose="020B0604020202020204" pitchFamily="34" charset="0"/>
                  </a:rPr>
                  <a:t>1-methylnaphthalene</a:t>
                </a:r>
              </a:p>
            </xdr:txBody>
          </xdr:sp>
        </xdr:grpSp>
      </xdr:grp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 txBox="1"/>
        </xdr:nvSpPr>
        <xdr:spPr>
          <a:xfrm>
            <a:off x="11339073" y="3940629"/>
            <a:ext cx="1446543" cy="23880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AU" sz="900">
                <a:latin typeface="Arial" panose="020B0604020202020204" pitchFamily="34" charset="0"/>
                <a:cs typeface="Arial" panose="020B0604020202020204" pitchFamily="34" charset="0"/>
              </a:rPr>
              <a:t>Phenanthrene</a:t>
            </a:r>
          </a:p>
        </xdr:txBody>
      </xdr:sp>
      <xdr:sp macro="" textlink="">
        <xdr:nvSpPr>
          <xdr:cNvPr id="19" name="Oval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SpPr/>
        </xdr:nvSpPr>
        <xdr:spPr>
          <a:xfrm>
            <a:off x="11267355" y="4002610"/>
            <a:ext cx="82841" cy="89482"/>
          </a:xfrm>
          <a:prstGeom prst="ellipse">
            <a:avLst/>
          </a:prstGeom>
          <a:solidFill>
            <a:schemeClr val="tx1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AU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0"/>
  <sheetViews>
    <sheetView topLeftCell="C1" workbookViewId="0">
      <selection activeCell="L33" sqref="L33"/>
    </sheetView>
  </sheetViews>
  <sheetFormatPr defaultRowHeight="15"/>
  <cols>
    <col min="2" max="2" width="18.28515625" customWidth="1"/>
    <col min="3" max="3" width="8.140625" customWidth="1"/>
    <col min="5" max="5" width="11.7109375" customWidth="1"/>
    <col min="6" max="6" width="11.42578125" customWidth="1"/>
    <col min="7" max="7" width="12.140625" customWidth="1"/>
    <col min="10" max="10" width="23.5703125" customWidth="1"/>
    <col min="11" max="11" width="18.42578125" customWidth="1"/>
    <col min="12" max="12" width="20.5703125" customWidth="1"/>
    <col min="13" max="13" width="10.28515625" customWidth="1"/>
    <col min="14" max="14" width="12.140625" bestFit="1" customWidth="1"/>
    <col min="15" max="15" width="12" bestFit="1" customWidth="1"/>
    <col min="16" max="17" width="12" customWidth="1"/>
    <col min="18" max="18" width="12.140625" bestFit="1" customWidth="1"/>
    <col min="21" max="21" width="12.28515625" bestFit="1" customWidth="1"/>
    <col min="22" max="22" width="15.42578125" customWidth="1"/>
    <col min="26" max="26" width="12.140625" bestFit="1" customWidth="1"/>
    <col min="27" max="27" width="15.28515625" customWidth="1"/>
  </cols>
  <sheetData>
    <row r="2" spans="2:27" ht="15.75" thickBot="1"/>
    <row r="3" spans="2:27" ht="28.9" customHeight="1">
      <c r="B3" s="120" t="s">
        <v>0</v>
      </c>
      <c r="C3" s="122" t="s">
        <v>1</v>
      </c>
      <c r="D3" s="124" t="s">
        <v>2</v>
      </c>
      <c r="E3" s="108" t="s">
        <v>3</v>
      </c>
      <c r="F3" s="108" t="s">
        <v>4</v>
      </c>
      <c r="G3" s="108" t="s">
        <v>5</v>
      </c>
      <c r="H3" s="124" t="s">
        <v>6</v>
      </c>
      <c r="J3" s="69" t="s">
        <v>7</v>
      </c>
      <c r="L3" s="45" t="s">
        <v>8</v>
      </c>
      <c r="M3" s="88" t="s">
        <v>9</v>
      </c>
      <c r="N3" s="140" t="s">
        <v>10</v>
      </c>
      <c r="O3" s="140"/>
      <c r="P3" s="140"/>
      <c r="Q3" s="140"/>
      <c r="R3" s="140" t="s">
        <v>11</v>
      </c>
      <c r="S3" s="140"/>
      <c r="T3" s="140"/>
      <c r="U3" s="140"/>
      <c r="V3" s="140"/>
      <c r="W3" s="140" t="s">
        <v>12</v>
      </c>
      <c r="X3" s="140"/>
      <c r="Y3" s="140"/>
      <c r="Z3" s="140"/>
      <c r="AA3" s="141"/>
    </row>
    <row r="4" spans="2:27" ht="31.5" customHeight="1">
      <c r="B4" s="121"/>
      <c r="C4" s="123"/>
      <c r="D4" s="125"/>
      <c r="E4" s="109" t="s">
        <v>13</v>
      </c>
      <c r="F4" s="109" t="s">
        <v>13</v>
      </c>
      <c r="G4" s="109" t="s">
        <v>13</v>
      </c>
      <c r="H4" s="125"/>
      <c r="L4" s="49"/>
      <c r="M4" s="15" t="s">
        <v>14</v>
      </c>
      <c r="N4" s="16" t="s">
        <v>15</v>
      </c>
      <c r="O4" s="16" t="s">
        <v>16</v>
      </c>
      <c r="P4" s="16" t="s">
        <v>17</v>
      </c>
      <c r="Q4" s="16" t="s">
        <v>18</v>
      </c>
      <c r="R4" s="16" t="s">
        <v>15</v>
      </c>
      <c r="S4" s="16" t="s">
        <v>16</v>
      </c>
      <c r="T4" s="16" t="s">
        <v>17</v>
      </c>
      <c r="U4" s="16" t="s">
        <v>18</v>
      </c>
      <c r="V4" s="89" t="s">
        <v>19</v>
      </c>
      <c r="W4" s="16" t="s">
        <v>15</v>
      </c>
      <c r="X4" s="16" t="s">
        <v>16</v>
      </c>
      <c r="Y4" s="16" t="s">
        <v>17</v>
      </c>
      <c r="Z4" s="16" t="s">
        <v>18</v>
      </c>
      <c r="AA4" s="90" t="s">
        <v>19</v>
      </c>
    </row>
    <row r="5" spans="2:27">
      <c r="B5" s="126" t="s">
        <v>20</v>
      </c>
      <c r="C5" s="127">
        <v>2019</v>
      </c>
      <c r="D5" s="128" t="s">
        <v>21</v>
      </c>
      <c r="E5" s="52">
        <v>6295</v>
      </c>
      <c r="F5" s="60">
        <v>4076</v>
      </c>
      <c r="G5" s="99">
        <v>8764</v>
      </c>
      <c r="H5" s="130">
        <v>1</v>
      </c>
      <c r="L5" s="45" t="s">
        <v>20</v>
      </c>
      <c r="M5" s="46">
        <v>92.1</v>
      </c>
      <c r="N5" s="74">
        <v>4076</v>
      </c>
      <c r="O5" s="75">
        <f>N5/M5</f>
        <v>44.256243213897939</v>
      </c>
      <c r="P5" s="76">
        <f>LOG(O5/1000)</f>
        <v>-1.3540254548624602</v>
      </c>
      <c r="Q5" s="77">
        <f>P5+$M$17</f>
        <v>-1.3290254548624603</v>
      </c>
      <c r="R5" s="45">
        <v>1285</v>
      </c>
      <c r="S5" s="76">
        <f>R5/M5</f>
        <v>13.952225841476656</v>
      </c>
      <c r="T5" s="76">
        <f>LOG(S5/1000)</f>
        <v>-1.8553565025295355</v>
      </c>
      <c r="U5" s="32">
        <f>T5+$M$17</f>
        <v>-1.8303565025295356</v>
      </c>
      <c r="V5" s="78">
        <f>U5-Q5</f>
        <v>-0.50133104766707537</v>
      </c>
      <c r="W5" s="45">
        <v>9449</v>
      </c>
      <c r="X5" s="76">
        <f>W5/M5</f>
        <v>102.59500542888166</v>
      </c>
      <c r="Y5" s="76">
        <f>LOG(X5/1000)</f>
        <v>-0.98887378120738145</v>
      </c>
      <c r="Z5" s="76">
        <f>Y5+$M$17</f>
        <v>-0.96387378120738143</v>
      </c>
      <c r="AA5" s="78">
        <f>Z5-Q5</f>
        <v>0.36515167365507883</v>
      </c>
    </row>
    <row r="6" spans="2:27">
      <c r="B6" s="126"/>
      <c r="C6" s="127"/>
      <c r="D6" s="129"/>
      <c r="E6" s="53" t="s">
        <v>22</v>
      </c>
      <c r="F6" s="61" t="s">
        <v>23</v>
      </c>
      <c r="G6" s="100" t="s">
        <v>24</v>
      </c>
      <c r="H6" s="130"/>
      <c r="L6" s="47" t="s">
        <v>20</v>
      </c>
      <c r="M6" s="48">
        <v>92.1</v>
      </c>
      <c r="N6" s="79">
        <v>6938</v>
      </c>
      <c r="O6" s="80">
        <f>N6/M6</f>
        <v>75.331161780673185</v>
      </c>
      <c r="P6" s="32">
        <f t="shared" ref="P6:P12" si="0">LOG(O6/1000)</f>
        <v>-1.1230253346908079</v>
      </c>
      <c r="Q6" s="81">
        <f>P6+$M$17</f>
        <v>-1.098025334690808</v>
      </c>
      <c r="R6" s="47">
        <v>3478</v>
      </c>
      <c r="S6" s="32">
        <f t="shared" ref="S6:S12" si="1">R6/M6</f>
        <v>37.763300760043435</v>
      </c>
      <c r="T6" s="32">
        <f t="shared" ref="T6:T12" si="2">LOG(S6/1000)</f>
        <v>-1.4229300525301551</v>
      </c>
      <c r="U6" s="32">
        <f>T6+$M$17</f>
        <v>-1.3979300525301552</v>
      </c>
      <c r="V6" s="82">
        <f>U6-Q6</f>
        <v>-0.29990471783934725</v>
      </c>
      <c r="W6" s="47">
        <v>10368</v>
      </c>
      <c r="X6" s="32">
        <f t="shared" ref="X6:X12" si="3">W6/M6</f>
        <v>112.57328990228014</v>
      </c>
      <c r="Y6" s="32">
        <f t="shared" ref="Y6:Y12" si="4">LOG(X6/1000)</f>
        <v>-0.94856464167033083</v>
      </c>
      <c r="Z6" s="32">
        <f>Y6+$M$17</f>
        <v>-0.92356464167033081</v>
      </c>
      <c r="AA6" s="82">
        <f>Z6-Q6</f>
        <v>0.17446069302047718</v>
      </c>
    </row>
    <row r="7" spans="2:27">
      <c r="B7" s="126"/>
      <c r="C7" s="127"/>
      <c r="D7" s="131" t="s">
        <v>25</v>
      </c>
      <c r="E7" s="54">
        <v>7383</v>
      </c>
      <c r="F7" s="62">
        <v>6938</v>
      </c>
      <c r="G7" s="101">
        <v>8588</v>
      </c>
      <c r="H7" s="130"/>
      <c r="L7" s="47" t="s">
        <v>26</v>
      </c>
      <c r="M7" s="48">
        <v>128.19999999999999</v>
      </c>
      <c r="N7" s="79">
        <v>14.8</v>
      </c>
      <c r="O7" s="80">
        <f t="shared" ref="O7:O12" si="5">N7/M7</f>
        <v>0.11544461778471141</v>
      </c>
      <c r="P7" s="32">
        <f t="shared" si="0"/>
        <v>-3.937626309787841</v>
      </c>
      <c r="Q7" s="81">
        <f t="shared" ref="Q7:Q12" si="6">P7+$M$18</f>
        <v>-3.5736263097878411</v>
      </c>
      <c r="R7" s="47">
        <v>0.6</v>
      </c>
      <c r="S7" s="32">
        <f t="shared" si="1"/>
        <v>4.6801872074882997E-3</v>
      </c>
      <c r="T7" s="32">
        <f t="shared" si="2"/>
        <v>-5.3297367747991551</v>
      </c>
      <c r="U7" s="32">
        <f t="shared" ref="U7:U12" si="7">T7+$M$18</f>
        <v>-4.9657367747991552</v>
      </c>
      <c r="V7" s="82">
        <f t="shared" ref="V7:V12" si="8">U7-Q7</f>
        <v>-1.3921104650113141</v>
      </c>
      <c r="W7" s="47">
        <v>235</v>
      </c>
      <c r="X7" s="32">
        <f t="shared" si="3"/>
        <v>1.8330733229329175</v>
      </c>
      <c r="Y7" s="32">
        <f t="shared" si="4"/>
        <v>-2.7368201629110622</v>
      </c>
      <c r="Z7" s="32">
        <f t="shared" ref="Z7:Z12" si="9">Y7+$M$18</f>
        <v>-2.3728201629110623</v>
      </c>
      <c r="AA7" s="82">
        <f>Z7-Q7</f>
        <v>1.2008061468767788</v>
      </c>
    </row>
    <row r="8" spans="2:27">
      <c r="B8" s="126"/>
      <c r="C8" s="127"/>
      <c r="D8" s="131"/>
      <c r="E8" s="55" t="s">
        <v>27</v>
      </c>
      <c r="F8" s="63" t="s">
        <v>28</v>
      </c>
      <c r="G8" s="102" t="s">
        <v>29</v>
      </c>
      <c r="H8" s="130"/>
      <c r="L8" s="47" t="s">
        <v>26</v>
      </c>
      <c r="M8" s="48">
        <v>128.19999999999999</v>
      </c>
      <c r="N8" s="79">
        <v>34.9</v>
      </c>
      <c r="O8" s="80">
        <f t="shared" si="5"/>
        <v>0.27223088923556943</v>
      </c>
      <c r="P8" s="32">
        <f t="shared" si="0"/>
        <v>-3.5650625982236188</v>
      </c>
      <c r="Q8" s="81">
        <f t="shared" si="6"/>
        <v>-3.2010625982236189</v>
      </c>
      <c r="R8" s="47">
        <v>4.7</v>
      </c>
      <c r="S8" s="32">
        <f t="shared" si="1"/>
        <v>3.6661466458658351E-2</v>
      </c>
      <c r="T8" s="32">
        <f t="shared" si="2"/>
        <v>-4.435790167247081</v>
      </c>
      <c r="U8" s="32">
        <f t="shared" si="7"/>
        <v>-4.0717901672470811</v>
      </c>
      <c r="V8" s="82">
        <f t="shared" si="8"/>
        <v>-0.87072756902346216</v>
      </c>
      <c r="W8" s="47">
        <v>112</v>
      </c>
      <c r="X8" s="32">
        <f t="shared" si="3"/>
        <v>0.87363494539781594</v>
      </c>
      <c r="Y8" s="32">
        <f t="shared" si="4"/>
        <v>-3.058670002512617</v>
      </c>
      <c r="Z8" s="32">
        <f t="shared" si="9"/>
        <v>-2.6946700025126171</v>
      </c>
      <c r="AA8" s="82">
        <f t="shared" ref="AA8:AA12" si="10">Z8-Q8</f>
        <v>0.50639259571100181</v>
      </c>
    </row>
    <row r="9" spans="2:27">
      <c r="B9" s="132" t="s">
        <v>26</v>
      </c>
      <c r="C9" s="133">
        <v>2018</v>
      </c>
      <c r="D9" s="128" t="s">
        <v>30</v>
      </c>
      <c r="E9" s="110" t="s">
        <v>31</v>
      </c>
      <c r="F9" s="64">
        <v>14.8</v>
      </c>
      <c r="G9" s="103">
        <v>198</v>
      </c>
      <c r="H9" s="135">
        <v>0.6</v>
      </c>
      <c r="I9" s="42" t="s">
        <v>32</v>
      </c>
      <c r="L9" s="47" t="s">
        <v>33</v>
      </c>
      <c r="M9" s="48">
        <v>142.19999999999999</v>
      </c>
      <c r="N9" s="79">
        <v>2.6</v>
      </c>
      <c r="O9" s="80">
        <f t="shared" si="5"/>
        <v>1.8284106891701832E-2</v>
      </c>
      <c r="P9" s="32">
        <f t="shared" si="0"/>
        <v>-4.7379262484229292</v>
      </c>
      <c r="Q9" s="81">
        <f t="shared" si="6"/>
        <v>-4.3739262484229293</v>
      </c>
      <c r="R9" s="47">
        <v>0.5</v>
      </c>
      <c r="S9" s="32">
        <f t="shared" si="1"/>
        <v>3.5161744022503519E-3</v>
      </c>
      <c r="T9" s="32">
        <f t="shared" si="2"/>
        <v>-5.4539295920577286</v>
      </c>
      <c r="U9" s="32">
        <f t="shared" si="7"/>
        <v>-5.0899295920577288</v>
      </c>
      <c r="V9" s="82">
        <f t="shared" si="8"/>
        <v>-0.71600334363479945</v>
      </c>
      <c r="W9" s="47">
        <v>12.2</v>
      </c>
      <c r="X9" s="32">
        <f t="shared" si="3"/>
        <v>8.5794655414908577E-2</v>
      </c>
      <c r="Y9" s="32">
        <f>LOG(X9/1000)</f>
        <v>-4.066539765718999</v>
      </c>
      <c r="Z9" s="32">
        <f t="shared" si="9"/>
        <v>-3.7025397657189991</v>
      </c>
      <c r="AA9" s="82">
        <f t="shared" si="10"/>
        <v>0.6713864827039302</v>
      </c>
    </row>
    <row r="10" spans="2:27">
      <c r="B10" s="126"/>
      <c r="C10" s="127"/>
      <c r="D10" s="129"/>
      <c r="E10" s="53" t="s">
        <v>34</v>
      </c>
      <c r="F10" s="61" t="s">
        <v>35</v>
      </c>
      <c r="G10" s="100" t="s">
        <v>36</v>
      </c>
      <c r="H10" s="130"/>
      <c r="L10" s="47" t="s">
        <v>33</v>
      </c>
      <c r="M10" s="48">
        <v>142.19999999999999</v>
      </c>
      <c r="N10" s="79">
        <v>1.5</v>
      </c>
      <c r="O10" s="80">
        <f t="shared" si="5"/>
        <v>1.0548523206751056E-2</v>
      </c>
      <c r="P10" s="32">
        <f t="shared" si="0"/>
        <v>-4.976808337338066</v>
      </c>
      <c r="Q10" s="81">
        <f t="shared" si="6"/>
        <v>-4.6128083373380662</v>
      </c>
      <c r="R10" s="47">
        <v>0.3</v>
      </c>
      <c r="S10" s="32">
        <f t="shared" si="1"/>
        <v>2.1097046413502112E-3</v>
      </c>
      <c r="T10" s="32">
        <f t="shared" si="2"/>
        <v>-5.6757783416740848</v>
      </c>
      <c r="U10" s="32">
        <f t="shared" si="7"/>
        <v>-5.3117783416740849</v>
      </c>
      <c r="V10" s="82">
        <f t="shared" si="8"/>
        <v>-0.69897000433601875</v>
      </c>
      <c r="W10" s="47">
        <v>20.8</v>
      </c>
      <c r="X10" s="32">
        <f t="shared" si="3"/>
        <v>0.14627285513361465</v>
      </c>
      <c r="Y10" s="32">
        <f t="shared" si="4"/>
        <v>-3.8348362614309859</v>
      </c>
      <c r="Z10" s="32">
        <f t="shared" si="9"/>
        <v>-3.470836261430986</v>
      </c>
      <c r="AA10" s="82">
        <f t="shared" si="10"/>
        <v>1.1419720759070802</v>
      </c>
    </row>
    <row r="11" spans="2:27">
      <c r="B11" s="119"/>
      <c r="C11" s="127"/>
      <c r="D11" s="104"/>
      <c r="E11" s="55"/>
      <c r="F11" s="63"/>
      <c r="G11" s="102"/>
      <c r="H11" s="130"/>
      <c r="L11" s="47" t="s">
        <v>37</v>
      </c>
      <c r="M11" s="48">
        <v>178.23</v>
      </c>
      <c r="N11" s="79">
        <v>246</v>
      </c>
      <c r="O11" s="80">
        <f t="shared" si="5"/>
        <v>1.380239017000505</v>
      </c>
      <c r="P11" s="32">
        <f t="shared" si="0"/>
        <v>-2.8600456999929702</v>
      </c>
      <c r="Q11" s="81">
        <f t="shared" si="6"/>
        <v>-2.4960456999929703</v>
      </c>
      <c r="R11" s="47">
        <v>130</v>
      </c>
      <c r="S11" s="32">
        <f t="shared" si="1"/>
        <v>0.7293946024799417</v>
      </c>
      <c r="T11" s="32">
        <f t="shared" si="2"/>
        <v>-3.1370374547895126</v>
      </c>
      <c r="U11" s="32">
        <f t="shared" si="7"/>
        <v>-2.7730374547895127</v>
      </c>
      <c r="V11" s="82">
        <f t="shared" si="8"/>
        <v>-0.27699175479654237</v>
      </c>
      <c r="W11" s="47">
        <v>367</v>
      </c>
      <c r="X11" s="32">
        <f t="shared" si="3"/>
        <v>2.0591370700779894</v>
      </c>
      <c r="Y11" s="32">
        <f t="shared" si="4"/>
        <v>-2.6863147428442602</v>
      </c>
      <c r="Z11" s="32">
        <f t="shared" si="9"/>
        <v>-2.3223147428442603</v>
      </c>
      <c r="AA11" s="82">
        <f t="shared" si="10"/>
        <v>0.17373095714871001</v>
      </c>
    </row>
    <row r="12" spans="2:27">
      <c r="B12" s="126"/>
      <c r="C12" s="127"/>
      <c r="D12" s="131" t="s">
        <v>25</v>
      </c>
      <c r="E12" s="56" t="s">
        <v>38</v>
      </c>
      <c r="F12" s="65">
        <v>34.9</v>
      </c>
      <c r="G12" s="104">
        <v>313</v>
      </c>
      <c r="H12" s="130"/>
      <c r="I12" s="42" t="s">
        <v>39</v>
      </c>
      <c r="L12" s="49" t="s">
        <v>37</v>
      </c>
      <c r="M12" s="50">
        <v>178.23</v>
      </c>
      <c r="N12" s="83">
        <v>189</v>
      </c>
      <c r="O12" s="84">
        <f t="shared" si="5"/>
        <v>1.0604275374516074</v>
      </c>
      <c r="P12" s="85">
        <f t="shared" si="0"/>
        <v>-2.9745190029231052</v>
      </c>
      <c r="Q12" s="86">
        <f t="shared" si="6"/>
        <v>-2.6105190029231053</v>
      </c>
      <c r="R12" s="49">
        <v>56.4</v>
      </c>
      <c r="S12" s="85">
        <f t="shared" si="1"/>
        <v>0.31644504292206699</v>
      </c>
      <c r="T12" s="85">
        <f t="shared" si="2"/>
        <v>-3.4997017031130073</v>
      </c>
      <c r="U12" s="85">
        <f t="shared" si="7"/>
        <v>-3.1357017031130074</v>
      </c>
      <c r="V12" s="87">
        <f t="shared" si="8"/>
        <v>-0.5251827001899021</v>
      </c>
      <c r="W12" s="49">
        <v>373</v>
      </c>
      <c r="X12" s="85">
        <f t="shared" si="3"/>
        <v>2.0928014363462943</v>
      </c>
      <c r="Y12" s="85">
        <f t="shared" si="4"/>
        <v>-2.6792719752876617</v>
      </c>
      <c r="Z12" s="85">
        <f t="shared" si="9"/>
        <v>-2.3152719752876618</v>
      </c>
      <c r="AA12" s="87">
        <f t="shared" si="10"/>
        <v>0.29524702763544353</v>
      </c>
    </row>
    <row r="13" spans="2:27">
      <c r="B13" s="137"/>
      <c r="C13" s="134"/>
      <c r="D13" s="129"/>
      <c r="E13" s="53" t="s">
        <v>40</v>
      </c>
      <c r="F13" s="61" t="s">
        <v>41</v>
      </c>
      <c r="G13" s="100" t="s">
        <v>42</v>
      </c>
      <c r="H13" s="136"/>
    </row>
    <row r="14" spans="2:27" ht="22.5" customHeight="1">
      <c r="B14" s="132" t="s">
        <v>43</v>
      </c>
      <c r="C14" s="133">
        <v>2019</v>
      </c>
      <c r="D14" s="128" t="s">
        <v>21</v>
      </c>
      <c r="E14" s="57">
        <v>1.3</v>
      </c>
      <c r="F14" s="66">
        <v>2.6</v>
      </c>
      <c r="G14" s="105">
        <v>39.799999999999997</v>
      </c>
      <c r="H14" s="135">
        <v>1.6</v>
      </c>
      <c r="I14" s="42" t="s">
        <v>44</v>
      </c>
    </row>
    <row r="15" spans="2:27">
      <c r="B15" s="126"/>
      <c r="C15" s="127"/>
      <c r="D15" s="129"/>
      <c r="E15" s="58" t="s">
        <v>45</v>
      </c>
      <c r="F15" s="67" t="s">
        <v>46</v>
      </c>
      <c r="G15" s="106" t="s">
        <v>47</v>
      </c>
      <c r="H15" s="130"/>
    </row>
    <row r="16" spans="2:27">
      <c r="B16" s="126"/>
      <c r="C16" s="127"/>
      <c r="D16" s="131" t="s">
        <v>25</v>
      </c>
      <c r="E16" s="59">
        <v>1.3</v>
      </c>
      <c r="F16" s="68">
        <v>1.5</v>
      </c>
      <c r="G16" s="107">
        <v>25.2</v>
      </c>
      <c r="H16" s="130"/>
      <c r="L16" s="9" t="s">
        <v>48</v>
      </c>
      <c r="M16" s="10" t="s">
        <v>49</v>
      </c>
      <c r="N16" s="43" t="s">
        <v>50</v>
      </c>
    </row>
    <row r="17" spans="2:14">
      <c r="B17" s="137"/>
      <c r="C17" s="134"/>
      <c r="D17" s="129"/>
      <c r="E17" s="58" t="s">
        <v>51</v>
      </c>
      <c r="F17" s="67" t="s">
        <v>52</v>
      </c>
      <c r="G17" s="106" t="s">
        <v>53</v>
      </c>
      <c r="H17" s="136"/>
      <c r="L17" s="25" t="s">
        <v>54</v>
      </c>
      <c r="M17" s="111">
        <v>2.5000000000000001E-2</v>
      </c>
      <c r="N17" s="11" t="s">
        <v>55</v>
      </c>
    </row>
    <row r="18" spans="2:14">
      <c r="B18" s="126" t="s">
        <v>37</v>
      </c>
      <c r="C18" s="142">
        <v>2018</v>
      </c>
      <c r="D18" s="128" t="s">
        <v>21</v>
      </c>
      <c r="E18" s="110">
        <v>265</v>
      </c>
      <c r="F18" s="64">
        <v>246</v>
      </c>
      <c r="G18" s="110">
        <v>330</v>
      </c>
      <c r="H18" s="130">
        <v>1</v>
      </c>
      <c r="L18" s="13" t="s">
        <v>56</v>
      </c>
      <c r="M18" s="3">
        <v>0.36399999999999999</v>
      </c>
      <c r="N18" s="2"/>
    </row>
    <row r="19" spans="2:14">
      <c r="B19" s="126"/>
      <c r="C19" s="142"/>
      <c r="D19" s="129"/>
      <c r="E19" s="53" t="s">
        <v>57</v>
      </c>
      <c r="F19" s="61" t="s">
        <v>58</v>
      </c>
      <c r="G19" s="53" t="s">
        <v>59</v>
      </c>
      <c r="H19" s="130"/>
      <c r="L19" s="13" t="s">
        <v>60</v>
      </c>
      <c r="M19" s="91">
        <v>0.94</v>
      </c>
      <c r="N19" s="2"/>
    </row>
    <row r="20" spans="2:14">
      <c r="B20" s="126"/>
      <c r="C20" s="142"/>
      <c r="D20" s="131" t="s">
        <v>25</v>
      </c>
      <c r="E20" s="56">
        <v>222</v>
      </c>
      <c r="F20" s="65">
        <v>189</v>
      </c>
      <c r="G20" s="56">
        <v>327</v>
      </c>
      <c r="H20" s="130"/>
      <c r="L20" s="24" t="s">
        <v>61</v>
      </c>
      <c r="M20" s="14"/>
      <c r="N20" s="14"/>
    </row>
    <row r="21" spans="2:14">
      <c r="B21" s="137"/>
      <c r="C21" s="143"/>
      <c r="D21" s="129"/>
      <c r="E21" s="53" t="s">
        <v>62</v>
      </c>
      <c r="F21" s="61" t="s">
        <v>63</v>
      </c>
      <c r="G21" s="53" t="s">
        <v>64</v>
      </c>
      <c r="H21" s="136"/>
    </row>
    <row r="22" spans="2:14" ht="16.5" customHeight="1">
      <c r="B22" s="126" t="s">
        <v>65</v>
      </c>
      <c r="C22" s="128" t="s">
        <v>66</v>
      </c>
      <c r="D22" s="128" t="s">
        <v>21</v>
      </c>
      <c r="E22" s="110">
        <v>4.9000000000000004</v>
      </c>
      <c r="F22" s="110">
        <v>29</v>
      </c>
      <c r="G22" s="138" t="s">
        <v>67</v>
      </c>
      <c r="H22" s="130" t="s">
        <v>68</v>
      </c>
    </row>
    <row r="23" spans="2:14" ht="14.25" customHeight="1">
      <c r="B23" s="126"/>
      <c r="C23" s="131"/>
      <c r="D23" s="129"/>
      <c r="E23" s="53" t="s">
        <v>69</v>
      </c>
      <c r="F23" s="53" t="s">
        <v>70</v>
      </c>
      <c r="G23" s="139"/>
      <c r="H23" s="130"/>
    </row>
    <row r="24" spans="2:14">
      <c r="B24" s="126"/>
      <c r="C24" s="131"/>
      <c r="D24" s="131" t="s">
        <v>25</v>
      </c>
      <c r="E24" s="56">
        <v>13.4</v>
      </c>
      <c r="F24" s="56">
        <v>14.6</v>
      </c>
      <c r="G24" s="56">
        <v>20.399999999999999</v>
      </c>
      <c r="H24" s="130"/>
    </row>
    <row r="25" spans="2:14">
      <c r="B25" s="137"/>
      <c r="C25" s="129"/>
      <c r="D25" s="129"/>
      <c r="E25" s="53" t="s">
        <v>71</v>
      </c>
      <c r="F25" s="53" t="s">
        <v>72</v>
      </c>
      <c r="G25" s="53" t="s">
        <v>73</v>
      </c>
      <c r="H25" s="136"/>
    </row>
    <row r="26" spans="2:14">
      <c r="B26" s="132" t="s">
        <v>74</v>
      </c>
      <c r="C26" s="133">
        <v>2017</v>
      </c>
      <c r="D26" s="128" t="s">
        <v>21</v>
      </c>
      <c r="E26" s="110">
        <v>6.3</v>
      </c>
      <c r="F26" s="138" t="s">
        <v>75</v>
      </c>
      <c r="G26" s="138" t="s">
        <v>75</v>
      </c>
      <c r="H26" s="130" t="s">
        <v>76</v>
      </c>
    </row>
    <row r="27" spans="2:14">
      <c r="B27" s="126"/>
      <c r="C27" s="127"/>
      <c r="D27" s="129"/>
      <c r="E27" s="53" t="s">
        <v>77</v>
      </c>
      <c r="F27" s="139"/>
      <c r="G27" s="139"/>
      <c r="H27" s="130"/>
    </row>
    <row r="28" spans="2:14">
      <c r="B28" s="126"/>
      <c r="C28" s="127"/>
      <c r="D28" s="131" t="s">
        <v>25</v>
      </c>
      <c r="E28" s="56">
        <v>3.5</v>
      </c>
      <c r="F28" s="56">
        <v>4.8</v>
      </c>
      <c r="G28" s="56">
        <v>6.8</v>
      </c>
      <c r="H28" s="130"/>
    </row>
    <row r="29" spans="2:14">
      <c r="B29" s="137"/>
      <c r="C29" s="134"/>
      <c r="D29" s="129"/>
      <c r="E29" s="53" t="s">
        <v>78</v>
      </c>
      <c r="F29" s="98" t="s">
        <v>79</v>
      </c>
      <c r="G29" s="53" t="s">
        <v>80</v>
      </c>
      <c r="H29" s="136"/>
    </row>
    <row r="30" spans="2:14">
      <c r="B30" s="41"/>
    </row>
  </sheetData>
  <mergeCells count="46">
    <mergeCell ref="N3:Q3"/>
    <mergeCell ref="W3:AA3"/>
    <mergeCell ref="R3:V3"/>
    <mergeCell ref="C22:C25"/>
    <mergeCell ref="B18:B19"/>
    <mergeCell ref="C18:C21"/>
    <mergeCell ref="D18:D19"/>
    <mergeCell ref="H18:H21"/>
    <mergeCell ref="B20:B21"/>
    <mergeCell ref="D20:D21"/>
    <mergeCell ref="B14:B15"/>
    <mergeCell ref="C14:C17"/>
    <mergeCell ref="D14:D15"/>
    <mergeCell ref="H14:H17"/>
    <mergeCell ref="B16:B17"/>
    <mergeCell ref="D16:D17"/>
    <mergeCell ref="H26:H29"/>
    <mergeCell ref="B28:B29"/>
    <mergeCell ref="D28:D29"/>
    <mergeCell ref="B22:B23"/>
    <mergeCell ref="D22:D23"/>
    <mergeCell ref="G22:G23"/>
    <mergeCell ref="H22:H25"/>
    <mergeCell ref="B24:B25"/>
    <mergeCell ref="D24:D25"/>
    <mergeCell ref="B26:B27"/>
    <mergeCell ref="C26:C29"/>
    <mergeCell ref="D26:D27"/>
    <mergeCell ref="F26:F27"/>
    <mergeCell ref="G26:G27"/>
    <mergeCell ref="B9:B10"/>
    <mergeCell ref="C9:C13"/>
    <mergeCell ref="D9:D10"/>
    <mergeCell ref="H9:H13"/>
    <mergeCell ref="B12:B13"/>
    <mergeCell ref="D12:D13"/>
    <mergeCell ref="B3:B4"/>
    <mergeCell ref="C3:C4"/>
    <mergeCell ref="D3:D4"/>
    <mergeCell ref="H3:H4"/>
    <mergeCell ref="B5:B6"/>
    <mergeCell ref="C5:C8"/>
    <mergeCell ref="D5:D6"/>
    <mergeCell ref="H5:H8"/>
    <mergeCell ref="B7:B8"/>
    <mergeCell ref="D7:D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U55"/>
  <sheetViews>
    <sheetView tabSelected="1" zoomScaleNormal="100" workbookViewId="0">
      <selection activeCell="G47" sqref="G47"/>
    </sheetView>
  </sheetViews>
  <sheetFormatPr defaultRowHeight="12.75" customHeight="1"/>
  <cols>
    <col min="1" max="1" width="9.140625" style="2"/>
    <col min="2" max="2" width="23" style="2" customWidth="1"/>
    <col min="3" max="4" width="14.7109375" style="2" customWidth="1"/>
    <col min="5" max="5" width="10.5703125" style="2" customWidth="1"/>
    <col min="6" max="6" width="10.140625" style="2" customWidth="1"/>
    <col min="7" max="7" width="12.7109375" style="2" customWidth="1"/>
    <col min="8" max="8" width="12.28515625" style="2" customWidth="1"/>
    <col min="9" max="9" width="12.5703125" style="2" customWidth="1"/>
    <col min="10" max="12" width="10.140625" style="2" customWidth="1"/>
    <col min="13" max="13" width="12.85546875" style="2" bestFit="1" customWidth="1"/>
    <col min="14" max="15" width="10.140625" style="2" customWidth="1"/>
    <col min="16" max="16" width="33.28515625" style="2" bestFit="1" customWidth="1"/>
    <col min="17" max="17" width="7.28515625" style="2" customWidth="1"/>
    <col min="18" max="18" width="21" style="2" bestFit="1" customWidth="1"/>
    <col min="19" max="21" width="8.85546875" style="2"/>
  </cols>
  <sheetData>
    <row r="2" spans="2:21" ht="12.75" customHeight="1" thickBot="1">
      <c r="B2" s="1" t="s">
        <v>81</v>
      </c>
      <c r="J2" s="2" t="s">
        <v>82</v>
      </c>
      <c r="L2" s="3" t="s">
        <v>83</v>
      </c>
      <c r="M2" s="3" t="s">
        <v>84</v>
      </c>
      <c r="N2" s="3"/>
      <c r="U2"/>
    </row>
    <row r="3" spans="2:21" ht="12.75" customHeight="1" thickBot="1">
      <c r="B3" s="2" t="s">
        <v>85</v>
      </c>
      <c r="J3" s="40">
        <v>0.32642012671977511</v>
      </c>
      <c r="K3" s="4"/>
      <c r="L3" s="5">
        <f>10^J3</f>
        <v>2.120411381715765</v>
      </c>
      <c r="M3" s="97">
        <f>EXP($J$3*2.303)*(EXP(2*(2.303*$K$19)^2)-EXP((2.303*$K$19)^2))^0.5</f>
        <v>2047.1604691915518</v>
      </c>
      <c r="N3" s="35"/>
      <c r="P3" s="32"/>
      <c r="U3"/>
    </row>
    <row r="4" spans="2:21" ht="12.75" customHeight="1">
      <c r="B4" s="6"/>
      <c r="D4" s="6"/>
      <c r="L4" s="7"/>
      <c r="M4" s="32"/>
      <c r="N4" s="35"/>
      <c r="P4" s="96"/>
      <c r="U4"/>
    </row>
    <row r="5" spans="2:21" ht="12.75" customHeight="1">
      <c r="B5" s="11" t="s">
        <v>86</v>
      </c>
      <c r="C5" s="12" t="s">
        <v>87</v>
      </c>
      <c r="D5" s="12" t="s">
        <v>88</v>
      </c>
      <c r="E5" s="12" t="s">
        <v>88</v>
      </c>
      <c r="F5" s="12" t="s">
        <v>89</v>
      </c>
      <c r="G5" s="12" t="s">
        <v>90</v>
      </c>
      <c r="H5" s="12" t="s">
        <v>91</v>
      </c>
      <c r="I5" s="12" t="s">
        <v>92</v>
      </c>
      <c r="J5" s="111" t="s">
        <v>93</v>
      </c>
      <c r="K5" s="111" t="s">
        <v>93</v>
      </c>
      <c r="L5" s="7"/>
      <c r="M5" s="144"/>
      <c r="P5" s="9" t="s">
        <v>48</v>
      </c>
      <c r="Q5" s="10" t="s">
        <v>49</v>
      </c>
      <c r="R5" s="43" t="s">
        <v>50</v>
      </c>
    </row>
    <row r="6" spans="2:21" ht="14.25" customHeight="1">
      <c r="B6" s="14"/>
      <c r="C6" s="15" t="s">
        <v>14</v>
      </c>
      <c r="D6" s="15" t="s">
        <v>15</v>
      </c>
      <c r="E6" s="15" t="s">
        <v>16</v>
      </c>
      <c r="F6" s="15" t="s">
        <v>94</v>
      </c>
      <c r="G6" s="15" t="s">
        <v>95</v>
      </c>
      <c r="H6" s="15" t="s">
        <v>95</v>
      </c>
      <c r="I6" s="15" t="s">
        <v>95</v>
      </c>
      <c r="J6" s="14"/>
      <c r="K6" s="16" t="s">
        <v>96</v>
      </c>
      <c r="P6" s="25" t="s">
        <v>54</v>
      </c>
      <c r="Q6" s="111">
        <v>2.5000000000000001E-2</v>
      </c>
      <c r="R6" s="11" t="s">
        <v>55</v>
      </c>
    </row>
    <row r="7" spans="2:21" ht="12.75" customHeight="1">
      <c r="B7" s="11" t="s">
        <v>97</v>
      </c>
      <c r="C7" s="12"/>
      <c r="D7" s="11"/>
      <c r="E7" s="12"/>
      <c r="F7" s="17">
        <v>0.01</v>
      </c>
      <c r="G7" s="111"/>
      <c r="H7" s="12"/>
      <c r="I7" s="18">
        <f t="shared" ref="I7:I16" si="0">$J$3-$Q$8*F7</f>
        <v>0.31702012671977509</v>
      </c>
      <c r="J7" s="111"/>
      <c r="K7" s="111"/>
      <c r="P7" s="13" t="s">
        <v>56</v>
      </c>
      <c r="Q7" s="3">
        <v>0.36399999999999999</v>
      </c>
    </row>
    <row r="8" spans="2:21" ht="12.75" customHeight="1">
      <c r="B8" s="2" t="s">
        <v>20</v>
      </c>
      <c r="C8" s="19">
        <v>92.1</v>
      </c>
      <c r="D8" s="20">
        <f>'Exp EC10s'!N5</f>
        <v>4076</v>
      </c>
      <c r="E8" s="21">
        <f>D8/C8</f>
        <v>44.256243213897939</v>
      </c>
      <c r="F8" s="22">
        <v>2.54</v>
      </c>
      <c r="G8" s="23">
        <f>LOG(E8/1000)</f>
        <v>-1.3540254548624602</v>
      </c>
      <c r="H8" s="23">
        <f>G8+$Q$6</f>
        <v>-1.3290254548624603</v>
      </c>
      <c r="I8" s="23">
        <f t="shared" si="0"/>
        <v>-2.0611798732802247</v>
      </c>
      <c r="J8" s="23">
        <f t="shared" ref="J8:J15" si="1">I8-H8</f>
        <v>-0.73215441841776441</v>
      </c>
      <c r="K8" s="23">
        <f>J8^2</f>
        <v>0.53605009240865487</v>
      </c>
      <c r="P8" s="13" t="s">
        <v>60</v>
      </c>
      <c r="Q8" s="91">
        <v>0.94</v>
      </c>
    </row>
    <row r="9" spans="2:21" ht="12.75" customHeight="1">
      <c r="B9" s="2" t="s">
        <v>20</v>
      </c>
      <c r="C9" s="19">
        <v>92.1</v>
      </c>
      <c r="D9" s="20">
        <f>'Exp EC10s'!N6</f>
        <v>6938</v>
      </c>
      <c r="E9" s="21">
        <f t="shared" ref="E9:E12" si="2">D9/C9</f>
        <v>75.331161780673185</v>
      </c>
      <c r="F9" s="22">
        <v>2.54</v>
      </c>
      <c r="G9" s="23">
        <f t="shared" ref="G9:G15" si="3">LOG(E9/1000)</f>
        <v>-1.1230253346908079</v>
      </c>
      <c r="H9" s="23">
        <f>G9+$Q$6</f>
        <v>-1.098025334690808</v>
      </c>
      <c r="I9" s="23">
        <f t="shared" si="0"/>
        <v>-2.0611798732802247</v>
      </c>
      <c r="J9" s="23">
        <f t="shared" si="1"/>
        <v>-0.96315453858941669</v>
      </c>
      <c r="K9" s="23">
        <f t="shared" ref="K9:K15" si="4">J9^2</f>
        <v>0.9276666652053922</v>
      </c>
      <c r="P9" s="24" t="s">
        <v>61</v>
      </c>
      <c r="Q9" s="14"/>
      <c r="R9" s="14"/>
    </row>
    <row r="10" spans="2:21" ht="12.75" customHeight="1">
      <c r="B10" s="2" t="s">
        <v>26</v>
      </c>
      <c r="C10" s="19">
        <v>128.19999999999999</v>
      </c>
      <c r="D10" s="118">
        <f>'Exp EC10s'!N7</f>
        <v>14.8</v>
      </c>
      <c r="E10" s="26">
        <f t="shared" si="2"/>
        <v>0.11544461778471141</v>
      </c>
      <c r="F10" s="22">
        <v>3.17</v>
      </c>
      <c r="G10" s="23">
        <f t="shared" si="3"/>
        <v>-3.937626309787841</v>
      </c>
      <c r="H10" s="23">
        <f>G10+$Q$7</f>
        <v>-3.5736263097878411</v>
      </c>
      <c r="I10" s="23">
        <f t="shared" si="0"/>
        <v>-2.6533798732802243</v>
      </c>
      <c r="J10" s="23">
        <f t="shared" si="1"/>
        <v>0.92024643650761684</v>
      </c>
      <c r="K10" s="23">
        <f t="shared" si="4"/>
        <v>0.84685350390496728</v>
      </c>
      <c r="P10" s="13"/>
    </row>
    <row r="11" spans="2:21" ht="12.75" customHeight="1">
      <c r="B11" s="2" t="s">
        <v>26</v>
      </c>
      <c r="C11" s="19">
        <v>128.19999999999999</v>
      </c>
      <c r="D11" s="118">
        <f>'Exp EC10s'!N8</f>
        <v>34.9</v>
      </c>
      <c r="E11" s="26">
        <f t="shared" si="2"/>
        <v>0.27223088923556943</v>
      </c>
      <c r="F11" s="22">
        <v>3.17</v>
      </c>
      <c r="G11" s="23">
        <f t="shared" si="3"/>
        <v>-3.5650625982236188</v>
      </c>
      <c r="H11" s="23">
        <f>G11+$Q$7</f>
        <v>-3.2010625982236189</v>
      </c>
      <c r="I11" s="23">
        <f t="shared" si="0"/>
        <v>-2.6533798732802243</v>
      </c>
      <c r="J11" s="23">
        <f t="shared" si="1"/>
        <v>0.54768272494339465</v>
      </c>
      <c r="K11" s="23">
        <f t="shared" si="4"/>
        <v>0.2999563672014221</v>
      </c>
      <c r="O11" s="2" t="s">
        <v>98</v>
      </c>
      <c r="P11" s="2" t="s">
        <v>99</v>
      </c>
    </row>
    <row r="12" spans="2:21" ht="12.75" customHeight="1">
      <c r="B12" s="2" t="s">
        <v>33</v>
      </c>
      <c r="C12" s="19">
        <v>142.19999999999999</v>
      </c>
      <c r="D12" s="118">
        <f>'Exp EC10s'!N9</f>
        <v>2.6</v>
      </c>
      <c r="E12" s="26">
        <f t="shared" si="2"/>
        <v>1.8284106891701832E-2</v>
      </c>
      <c r="F12" s="22">
        <v>3.72</v>
      </c>
      <c r="G12" s="23">
        <f>LOG(E12/1000)</f>
        <v>-4.7379262484229292</v>
      </c>
      <c r="H12" s="23">
        <f>G12+$Q$7</f>
        <v>-4.3739262484229293</v>
      </c>
      <c r="I12" s="23">
        <f>$J$3-$Q$8*F12</f>
        <v>-3.1703798732802246</v>
      </c>
      <c r="J12" s="23">
        <f>I12-H12</f>
        <v>1.2035463751427047</v>
      </c>
      <c r="K12" s="23">
        <f>J12^2</f>
        <v>1.448523877119144</v>
      </c>
      <c r="O12" s="2" t="s">
        <v>100</v>
      </c>
      <c r="P12" s="2" t="s">
        <v>101</v>
      </c>
    </row>
    <row r="13" spans="2:21" ht="12.75" customHeight="1">
      <c r="B13" s="2" t="s">
        <v>33</v>
      </c>
      <c r="C13" s="19">
        <v>142.19999999999999</v>
      </c>
      <c r="D13" s="118">
        <v>1.5</v>
      </c>
      <c r="E13" s="26">
        <f t="shared" ref="E13" si="5">D13/C13</f>
        <v>1.0548523206751056E-2</v>
      </c>
      <c r="F13" s="22">
        <v>3.72</v>
      </c>
      <c r="G13" s="23">
        <f t="shared" ref="G13:G14" si="6">LOG(E13/1000)</f>
        <v>-4.976808337338066</v>
      </c>
      <c r="H13" s="23">
        <f t="shared" ref="H13" si="7">G13+$Q$7</f>
        <v>-4.6128083373380662</v>
      </c>
      <c r="I13" s="23">
        <f t="shared" ref="I13" si="8">$J$3-$Q$8*F13</f>
        <v>-3.1703798732802246</v>
      </c>
      <c r="J13" s="23">
        <f t="shared" ref="J13:J14" si="9">I13-H13</f>
        <v>1.4424284640578415</v>
      </c>
      <c r="K13" s="23">
        <f t="shared" ref="K13:K14" si="10">J13^2</f>
        <v>2.0805998739242639</v>
      </c>
      <c r="P13" s="2" t="s">
        <v>102</v>
      </c>
    </row>
    <row r="14" spans="2:21" ht="12.75" customHeight="1">
      <c r="B14" s="2" t="s">
        <v>37</v>
      </c>
      <c r="C14" s="19">
        <v>178.23</v>
      </c>
      <c r="D14" s="20">
        <v>246</v>
      </c>
      <c r="E14" s="26">
        <v>1.380239017000505</v>
      </c>
      <c r="F14" s="22">
        <v>4.3499999999999996</v>
      </c>
      <c r="G14" s="23">
        <f t="shared" si="6"/>
        <v>-2.8600456999929702</v>
      </c>
      <c r="H14" s="23">
        <f>G14+$Q$7</f>
        <v>-2.4960456999929703</v>
      </c>
      <c r="I14" s="23">
        <f>$J$3-$Q$8*F14</f>
        <v>-3.7625798732802243</v>
      </c>
      <c r="J14" s="23">
        <f t="shared" si="9"/>
        <v>-1.2665341732872539</v>
      </c>
      <c r="K14" s="23">
        <f t="shared" si="10"/>
        <v>1.6041088121044278</v>
      </c>
      <c r="P14" s="2" t="s">
        <v>103</v>
      </c>
    </row>
    <row r="15" spans="2:21" ht="12.75" customHeight="1">
      <c r="B15" s="2" t="s">
        <v>37</v>
      </c>
      <c r="C15" s="19">
        <v>178.23</v>
      </c>
      <c r="D15" s="20">
        <v>189</v>
      </c>
      <c r="E15" s="26">
        <v>1.0604275374516074</v>
      </c>
      <c r="F15" s="22">
        <v>4.3499999999999996</v>
      </c>
      <c r="G15" s="23">
        <f t="shared" si="3"/>
        <v>-2.9745190029231052</v>
      </c>
      <c r="H15" s="23">
        <f>G15+$Q$7</f>
        <v>-2.6105190029231053</v>
      </c>
      <c r="I15" s="23">
        <f t="shared" si="0"/>
        <v>-3.7625798732802243</v>
      </c>
      <c r="J15" s="23">
        <f t="shared" si="1"/>
        <v>-1.1520608703571189</v>
      </c>
      <c r="K15" s="23">
        <f t="shared" si="4"/>
        <v>1.3272442490080023</v>
      </c>
      <c r="O15" s="2" t="s">
        <v>104</v>
      </c>
      <c r="P15" s="2" t="s">
        <v>105</v>
      </c>
    </row>
    <row r="16" spans="2:21" ht="12.75" customHeight="1">
      <c r="B16" s="14" t="s">
        <v>106</v>
      </c>
      <c r="C16" s="27"/>
      <c r="D16" s="28"/>
      <c r="E16" s="29"/>
      <c r="F16" s="30">
        <v>5.5</v>
      </c>
      <c r="G16" s="16"/>
      <c r="H16" s="16"/>
      <c r="I16" s="31">
        <f t="shared" si="0"/>
        <v>-4.8435798732802251</v>
      </c>
      <c r="J16" s="16"/>
      <c r="K16" s="16"/>
      <c r="P16" s="2" t="s">
        <v>107</v>
      </c>
    </row>
    <row r="17" spans="2:16" ht="12.75" customHeight="1" thickBot="1">
      <c r="G17" s="3"/>
      <c r="H17" s="3"/>
      <c r="I17" s="3"/>
      <c r="J17" s="3"/>
      <c r="K17" s="3"/>
    </row>
    <row r="18" spans="2:16" ht="12.75" customHeight="1" thickBot="1">
      <c r="I18" s="7" t="s">
        <v>108</v>
      </c>
      <c r="J18" s="39">
        <f>SUM(J8:J15)</f>
        <v>3.9968028886505635E-15</v>
      </c>
      <c r="K18" s="95">
        <f>SUM(K8:K15)</f>
        <v>9.0710034408762734</v>
      </c>
      <c r="L18" s="35"/>
    </row>
    <row r="19" spans="2:16" ht="12.75" customHeight="1">
      <c r="K19" s="91">
        <f>SQRT(K18/(COUNT(K8:K15)-1))</f>
        <v>1.1383574282319664</v>
      </c>
      <c r="L19" s="94" t="s">
        <v>109</v>
      </c>
      <c r="P19" s="13"/>
    </row>
    <row r="20" spans="2:16" ht="12.75" customHeight="1">
      <c r="K20" s="91"/>
      <c r="L20" s="35"/>
      <c r="M20" s="3"/>
    </row>
    <row r="21" spans="2:16" ht="12.75" customHeight="1">
      <c r="B21" s="11" t="s">
        <v>86</v>
      </c>
      <c r="C21" s="111" t="s">
        <v>11</v>
      </c>
      <c r="D21" s="111" t="s">
        <v>12</v>
      </c>
    </row>
    <row r="22" spans="2:16" ht="12.75" customHeight="1">
      <c r="B22" s="14"/>
      <c r="C22" s="51" t="s">
        <v>110</v>
      </c>
      <c r="D22" s="51" t="s">
        <v>110</v>
      </c>
    </row>
    <row r="23" spans="2:16" ht="12.75" customHeight="1">
      <c r="B23" s="8" t="str">
        <f>'Exp EC10s'!L5</f>
        <v>Toluene</v>
      </c>
      <c r="C23" s="23">
        <f>'Exp EC10s'!V5*(-1)</f>
        <v>0.50133104766707537</v>
      </c>
      <c r="D23" s="23">
        <f>'Exp EC10s'!AA5</f>
        <v>0.36515167365507883</v>
      </c>
      <c r="K23" s="34"/>
    </row>
    <row r="24" spans="2:16" ht="12.75" customHeight="1">
      <c r="B24" s="8" t="str">
        <f>'Exp EC10s'!L6</f>
        <v>Toluene</v>
      </c>
      <c r="C24" s="23">
        <f>'Exp EC10s'!V6*(-1)</f>
        <v>0.29990471783934725</v>
      </c>
      <c r="D24" s="23">
        <f>'Exp EC10s'!AA6</f>
        <v>0.17446069302047718</v>
      </c>
      <c r="M24" s="32"/>
    </row>
    <row r="25" spans="2:16" ht="12.75" customHeight="1">
      <c r="B25" s="8" t="str">
        <f>'Exp EC10s'!L7</f>
        <v>Naphthalene</v>
      </c>
      <c r="C25" s="23">
        <f>'Exp EC10s'!V7*(-1)</f>
        <v>1.3921104650113141</v>
      </c>
      <c r="D25" s="23">
        <f>'Exp EC10s'!AA7</f>
        <v>1.2008061468767788</v>
      </c>
      <c r="K25" s="32"/>
      <c r="M25" s="32"/>
    </row>
    <row r="26" spans="2:16" ht="12.75" customHeight="1">
      <c r="B26" s="93" t="str">
        <f>'Exp EC10s'!L8</f>
        <v>Naphthalene</v>
      </c>
      <c r="C26" s="92">
        <f>'Exp EC10s'!V8*(-1)</f>
        <v>0.87072756902346216</v>
      </c>
      <c r="D26" s="92">
        <f>'Exp EC10s'!AA8</f>
        <v>0.50639259571100181</v>
      </c>
      <c r="M26" s="32"/>
      <c r="O26" s="33"/>
    </row>
    <row r="27" spans="2:16" ht="12.75" customHeight="1">
      <c r="B27" s="8" t="str">
        <f>'Exp EC10s'!L9</f>
        <v>1-Methylnaphthalene</v>
      </c>
      <c r="C27" s="23">
        <f>'Exp EC10s'!V9*(-1)</f>
        <v>0.71600334363479945</v>
      </c>
      <c r="D27" s="23">
        <f>'Exp EC10s'!AA9</f>
        <v>0.6713864827039302</v>
      </c>
      <c r="M27" s="32"/>
    </row>
    <row r="28" spans="2:16" ht="12.75" customHeight="1">
      <c r="B28" s="8" t="str">
        <f>'Exp EC10s'!L10</f>
        <v>1-Methylnaphthalene</v>
      </c>
      <c r="C28" s="23">
        <f>'Exp EC10s'!V10*(-1)</f>
        <v>0.69897000433601875</v>
      </c>
      <c r="D28" s="23">
        <f>'Exp EC10s'!AA10</f>
        <v>1.1419720759070802</v>
      </c>
    </row>
    <row r="29" spans="2:16" ht="12.75" customHeight="1">
      <c r="B29" s="8" t="s">
        <v>37</v>
      </c>
      <c r="C29" s="23">
        <f>'Exp EC10s'!V11*(-1)</f>
        <v>0.27699175479654237</v>
      </c>
      <c r="D29" s="23">
        <f>'Exp EC10s'!AA11</f>
        <v>0.17373095714871001</v>
      </c>
    </row>
    <row r="30" spans="2:16" ht="12.75" customHeight="1">
      <c r="B30" s="44" t="s">
        <v>37</v>
      </c>
      <c r="C30" s="31">
        <f>'Exp EC10s'!V12*(-1)</f>
        <v>0.5251827001899021</v>
      </c>
      <c r="D30" s="31">
        <f>'Exp EC10s'!AA12</f>
        <v>0.29524702763544353</v>
      </c>
    </row>
    <row r="33" spans="2:14" ht="12.75" customHeight="1">
      <c r="B33" s="11" t="s">
        <v>111</v>
      </c>
      <c r="C33" s="11"/>
      <c r="D33" s="11"/>
    </row>
    <row r="34" spans="2:14" ht="12.75" customHeight="1">
      <c r="B34" s="15" t="s">
        <v>112</v>
      </c>
      <c r="C34" s="16" t="s">
        <v>97</v>
      </c>
      <c r="D34" s="16" t="s">
        <v>113</v>
      </c>
      <c r="N34" s="33"/>
    </row>
    <row r="35" spans="2:14" ht="12.75" customHeight="1">
      <c r="B35" s="70">
        <f>F7</f>
        <v>0.01</v>
      </c>
      <c r="C35" s="71">
        <f>I7-K19</f>
        <v>-0.82133730151219131</v>
      </c>
      <c r="D35" s="71">
        <f>I7+K19</f>
        <v>1.4553775549517414</v>
      </c>
    </row>
    <row r="36" spans="2:14" ht="12.75" customHeight="1">
      <c r="B36" s="72">
        <f>F16</f>
        <v>5.5</v>
      </c>
      <c r="C36" s="73">
        <f>I16-K19</f>
        <v>-5.9819373015121915</v>
      </c>
      <c r="D36" s="73">
        <f>I16+K19</f>
        <v>-3.7052224450482587</v>
      </c>
    </row>
    <row r="37" spans="2:14" ht="12.75" customHeight="1">
      <c r="B37" s="34"/>
      <c r="C37" s="8"/>
      <c r="D37" s="8"/>
    </row>
    <row r="38" spans="2:14" ht="12.75" customHeight="1">
      <c r="B38" s="6"/>
      <c r="D38" s="6"/>
    </row>
    <row r="39" spans="2:14" ht="12.75" customHeight="1">
      <c r="E39" s="36"/>
      <c r="F39" s="36"/>
      <c r="G39" s="36"/>
      <c r="H39" s="36"/>
      <c r="I39" s="36"/>
      <c r="K39" s="36"/>
    </row>
    <row r="40" spans="2:14" ht="12.75" customHeight="1">
      <c r="B40" s="36"/>
      <c r="E40" s="36"/>
      <c r="F40" s="36"/>
      <c r="G40" s="36"/>
      <c r="H40" s="36"/>
      <c r="I40" s="36"/>
    </row>
    <row r="41" spans="2:14" ht="12.75" customHeight="1">
      <c r="B41" s="112" t="s">
        <v>65</v>
      </c>
      <c r="C41" s="76">
        <v>178.2</v>
      </c>
      <c r="D41" s="76">
        <v>4.9000000000000004</v>
      </c>
      <c r="E41" s="114">
        <f>D41/C41</f>
        <v>2.7497194163860834E-2</v>
      </c>
      <c r="F41" s="115">
        <v>4.3499999999999996</v>
      </c>
      <c r="G41" s="18">
        <f>LOG(E41/1000)</f>
        <v>-4.5607116196723423</v>
      </c>
      <c r="H41" s="36"/>
    </row>
    <row r="42" spans="2:14" ht="12.75" customHeight="1">
      <c r="B42" s="113" t="s">
        <v>74</v>
      </c>
      <c r="C42" s="85">
        <v>202.2</v>
      </c>
      <c r="D42" s="85">
        <v>6.3</v>
      </c>
      <c r="E42" s="116">
        <f>D42/C42</f>
        <v>3.1157270029673591E-2</v>
      </c>
      <c r="F42" s="117">
        <v>4.93</v>
      </c>
      <c r="G42" s="31">
        <f>LOG(E42/1000)</f>
        <v>-4.5064406018014003</v>
      </c>
      <c r="J42" s="3"/>
      <c r="K42" s="3"/>
    </row>
    <row r="43" spans="2:14" ht="12.75" customHeight="1">
      <c r="C43" s="3"/>
      <c r="E43" s="3"/>
      <c r="F43" s="3"/>
      <c r="J43" s="3"/>
      <c r="K43" s="3"/>
      <c r="L43" s="3"/>
    </row>
    <row r="44" spans="2:14" ht="12.75" customHeight="1">
      <c r="C44" s="3"/>
      <c r="E44" s="3"/>
      <c r="F44" s="3"/>
      <c r="J44" s="3"/>
      <c r="K44" s="3"/>
      <c r="L44" s="5"/>
    </row>
    <row r="45" spans="2:14" ht="12.75" customHeight="1">
      <c r="E45" s="3"/>
      <c r="F45" s="3"/>
      <c r="J45" s="3"/>
      <c r="K45" s="3"/>
    </row>
    <row r="46" spans="2:14" ht="12.75" customHeight="1">
      <c r="E46" s="3"/>
      <c r="F46" s="3"/>
      <c r="J46" s="3"/>
      <c r="K46" s="3"/>
    </row>
    <row r="47" spans="2:14" ht="12.75" customHeight="1">
      <c r="E47" s="3"/>
      <c r="F47" s="3"/>
      <c r="J47" s="3"/>
      <c r="K47" s="3"/>
    </row>
    <row r="48" spans="2:14" ht="12.75" customHeight="1">
      <c r="E48" s="3"/>
      <c r="F48" s="3"/>
      <c r="J48" s="3"/>
      <c r="K48" s="3"/>
      <c r="M48" s="3"/>
    </row>
    <row r="49" spans="2:13" ht="12.75" customHeight="1">
      <c r="C49" s="3"/>
      <c r="E49" s="3"/>
      <c r="F49" s="3"/>
      <c r="J49" s="3"/>
      <c r="K49" s="3"/>
      <c r="M49" s="37"/>
    </row>
    <row r="50" spans="2:13" ht="12.75" customHeight="1">
      <c r="F50" s="3"/>
    </row>
    <row r="51" spans="2:13" ht="12.75" customHeight="1">
      <c r="B51" s="36"/>
      <c r="J51" s="38"/>
      <c r="K51" s="38"/>
      <c r="L51" s="3"/>
    </row>
    <row r="52" spans="2:13" ht="12.75" customHeight="1">
      <c r="B52" s="34"/>
      <c r="C52" s="8"/>
      <c r="D52" s="8"/>
    </row>
    <row r="53" spans="2:13" ht="12.75" customHeight="1">
      <c r="B53" s="34"/>
      <c r="C53" s="8"/>
      <c r="D53" s="8"/>
    </row>
    <row r="54" spans="2:13" ht="12.75" customHeight="1">
      <c r="M54" s="3"/>
    </row>
    <row r="55" spans="2:13" ht="12.75" customHeight="1">
      <c r="M55" s="3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1CB327F02E1F4FBABDB3250476254F" ma:contentTypeVersion="12" ma:contentTypeDescription="Create a new document." ma:contentTypeScope="" ma:versionID="cf8da775a1938f3b114050456624fa0b">
  <xsd:schema xmlns:xsd="http://www.w3.org/2001/XMLSchema" xmlns:xs="http://www.w3.org/2001/XMLSchema" xmlns:p="http://schemas.microsoft.com/office/2006/metadata/properties" xmlns:ns2="38634c6e-5066-41b9-8829-99a09a52d3c6" xmlns:ns3="6a35b569-a019-4b8c-a8a9-e4ce7a22034d" targetNamespace="http://schemas.microsoft.com/office/2006/metadata/properties" ma:root="true" ma:fieldsID="a7c7d8005305b9c2102307c6c64ba6d4" ns2:_="" ns3:_="">
    <xsd:import namespace="38634c6e-5066-41b9-8829-99a09a52d3c6"/>
    <xsd:import namespace="6a35b569-a019-4b8c-a8a9-e4ce7a2203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634c6e-5066-41b9-8829-99a09a52d3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c089e0dd-8629-4c26-8437-796d002b5b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35b569-a019-4b8c-a8a9-e4ce7a22034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e2787a1-e9ee-4f4b-883d-c2fba49cc199}" ma:internalName="TaxCatchAll" ma:showField="CatchAllData" ma:web="6a35b569-a019-4b8c-a8a9-e4ce7a2203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8634c6e-5066-41b9-8829-99a09a52d3c6">
      <Terms xmlns="http://schemas.microsoft.com/office/infopath/2007/PartnerControls"/>
    </lcf76f155ced4ddcb4097134ff3c332f>
    <TaxCatchAll xmlns="6a35b569-a019-4b8c-a8a9-e4ce7a22034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7C1674-7B6B-490A-9405-5DB12E8C57BC}"/>
</file>

<file path=customXml/itemProps2.xml><?xml version="1.0" encoding="utf-8"?>
<ds:datastoreItem xmlns:ds="http://schemas.openxmlformats.org/officeDocument/2006/customXml" ds:itemID="{FF9AEEF8-B243-4AAC-B9AA-4611301B5B11}"/>
</file>

<file path=customXml/itemProps3.xml><?xml version="1.0" encoding="utf-8"?>
<ds:datastoreItem xmlns:ds="http://schemas.openxmlformats.org/officeDocument/2006/customXml" ds:itemID="{D093D338-18AF-465A-AA42-DD1DFCD612B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Diane Brinkman</dc:creator>
  <cp:keywords/>
  <dc:description/>
  <cp:lastModifiedBy>Mikaela Nordborg</cp:lastModifiedBy>
  <cp:revision/>
  <dcterms:created xsi:type="dcterms:W3CDTF">2021-05-04T04:31:13Z</dcterms:created>
  <dcterms:modified xsi:type="dcterms:W3CDTF">2023-02-01T00:53:06Z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0x010100221CB327F02E1F4FBABDB3250476254F</vt:lpwstr>
  </property>
  <property fmtid="{D5CDD505-2E9C-101B-9397-08002B2CF9AE}" pid="3" name="MediaServiceImageTags">
    <vt:lpwstr/>
  </property>
</Properties>
</file>