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1"/>
  <workbookPr codeName="ThisWorkbook"/>
  <mc:AlternateContent xmlns:mc="http://schemas.openxmlformats.org/markup-compatibility/2006">
    <mc:Choice Requires="x15">
      <x15ac:absPath xmlns:x15ac="http://schemas.microsoft.com/office/spreadsheetml/2010/11/ac" url="C:\Users\Moose\OneDrive\Desktop\TATA Power Project\"/>
    </mc:Choice>
  </mc:AlternateContent>
  <xr:revisionPtr revIDLastSave="0" documentId="13_ncr:1_{C0EDE520-6430-4681-A45F-35520FEB163F}" xr6:coauthVersionLast="47" xr6:coauthVersionMax="47" xr10:uidLastSave="{00000000-0000-0000-0000-000000000000}"/>
  <bookViews>
    <workbookView xWindow="-120" yWindow="-120" windowWidth="29040" windowHeight="16440" firstSheet="8" activeTab="9" xr2:uid="{33CF136E-2E9B-4B17-8A83-D649DF6C0DF8}"/>
  </bookViews>
  <sheets>
    <sheet name="Profit &amp; Loss" sheetId="1" r:id="rId1"/>
    <sheet name="Quarters" sheetId="3" r:id="rId2"/>
    <sheet name="Balance Sheet" sheetId="2" r:id="rId3"/>
    <sheet name="Cash Flow" sheetId="4" r:id="rId4"/>
    <sheet name="Customization" sheetId="5" r:id="rId5"/>
    <sheet name="Data Sheet" sheetId="6" r:id="rId6"/>
    <sheet name="Peer Company Database" sheetId="33" r:id="rId7"/>
    <sheet name="Financials -&gt;" sheetId="10" r:id="rId8"/>
    <sheet name="Historical Financial Statements" sheetId="11" r:id="rId9"/>
    <sheet name="Ratio Analysis" sheetId="12" r:id="rId10"/>
    <sheet name="Common Size Statement" sheetId="24" r:id="rId11"/>
    <sheet name="DCF -&gt;" sheetId="23" r:id="rId12"/>
    <sheet name="Beta Regression Historical Data" sheetId="26" r:id="rId13"/>
    <sheet name="Value at Risk (VaR)" sheetId="32" r:id="rId14"/>
    <sheet name="Valuation Drivers" sheetId="25" r:id="rId15"/>
    <sheet name="WACC" sheetId="15" r:id="rId16"/>
    <sheet name="DCF Assumptions" sheetId="16" r:id="rId17"/>
    <sheet name="DCF Model" sheetId="17" r:id="rId18"/>
    <sheet name="Peer Multiples Valuation" sheetId="21" r:id="rId19"/>
    <sheet name="Reg-Based Relative Valuation" sheetId="35" r:id="rId20"/>
    <sheet name="Reports-&gt;" sheetId="38" r:id="rId21"/>
    <sheet name="Football Field Analysis" sheetId="34" r:id="rId22"/>
    <sheet name="DuPont ROE Analysis" sheetId="18" r:id="rId23"/>
    <sheet name="Altman Z-Score (Credit Risk)" sheetId="36" r:id="rId24"/>
    <sheet name="Company Profile" sheetId="19" r:id="rId25"/>
    <sheet name="Utility Credit QualityScorecard" sheetId="40" r:id="rId26"/>
  </sheets>
  <externalReferences>
    <externalReference r:id="rId27"/>
    <externalReference r:id="rId28"/>
  </externalReferences>
  <definedNames>
    <definedName name="_xlnm._FilterDatabase" localSheetId="6" hidden="1">'Peer Company Database'!$B$2:$E$5443</definedName>
    <definedName name="_xlchart.v1.0" hidden="1">'Value at Risk (VaR)'!$V$43:$V$10042</definedName>
    <definedName name="_xlchart.v1.1" hidden="1">'Value at Risk (VaR)'!$S$7:$S$110</definedName>
    <definedName name="Confidence_Interval">'Value at Risk (VaR)'!$AB$23</definedName>
    <definedName name="Covariance" localSheetId="25">'[1]Value at Risk (VaR)'!$V$27</definedName>
    <definedName name="Covariance">'Value at Risk (VaR)'!$V$27</definedName>
    <definedName name="Days" localSheetId="25">'[1]Value at Risk (VaR)'!$AB$21</definedName>
    <definedName name="Days">'Value at Risk (VaR)'!$AB$21</definedName>
    <definedName name="Expected_Return" localSheetId="25">'[1]Value at Risk (VaR)'!$V$21</definedName>
    <definedName name="Expected_Return">'Value at Risk (VaR)'!$V$21</definedName>
    <definedName name="Portfolio_St._dev." localSheetId="25">'[1]Value at Risk (VaR)'!$Y$26</definedName>
    <definedName name="Portfolio_St._dev.">'Value at Risk (VaR)'!$Y$26</definedName>
    <definedName name="Portfolio_Value" localSheetId="25">'[1]Value at Risk (VaR)'!$Y$21</definedName>
    <definedName name="Portfolio_Value">'Value at Risk (VaR)'!$Y$21</definedName>
    <definedName name="Portfolio_Variance">'Value at Risk (VaR)'!$Y$25</definedName>
    <definedName name="_xlnm.Print_Area" localSheetId="23">'Altman Z-Score (Credit Risk)'!$B$2:$L$64</definedName>
    <definedName name="_xlnm.Print_Area" localSheetId="10">'Common Size Statement'!$B$2:$L$65</definedName>
    <definedName name="_xlnm.Print_Area" localSheetId="24">'Company Profile'!$B$3:$N$79</definedName>
    <definedName name="_xlnm.Print_Area" localSheetId="22">'DuPont ROE Analysis'!$A$2:$L$71</definedName>
    <definedName name="_xlnm.Print_Area" localSheetId="21">'Football Field Analysis'!$B$1:$J$30</definedName>
    <definedName name="_xlnm.Print_Area" localSheetId="9">'Ratio Analysis'!$B$2:$O$43</definedName>
    <definedName name="_xlnm.Print_Area" localSheetId="25">'Utility Credit QualityScorecard'!$B$2:$M$51</definedName>
    <definedName name="_xlnm.Print_Area" localSheetId="13">'Value at Risk (VaR)'!$B$1:$AC$38</definedName>
    <definedName name="St._dev." localSheetId="25">'[1]Value at Risk (VaR)'!$V$26</definedName>
    <definedName name="St._dev.">'Value at Risk (VaR)'!$V$26</definedName>
    <definedName name="St._dev._nifty" localSheetId="25">'[1]Value at Risk (VaR)'!$V$22</definedName>
    <definedName name="St._dev._nifty">'Value at Risk (VaR)'!$V$22</definedName>
    <definedName name="UPDATE" localSheetId="10">'[2]Data Sheet'!$E$1</definedName>
    <definedName name="UPDATE" localSheetId="25">'[1]Data Sheet'!$E$1</definedName>
    <definedName name="UPDATE">'Data Sheet'!$E$1</definedName>
    <definedName name="Weight_of_Nifty_50" localSheetId="25">'[1]Value at Risk (VaR)'!$Y$22</definedName>
    <definedName name="Weight_of_Nifty_50">'Value at Risk (VaR)'!$Y$22</definedName>
    <definedName name="Weight_of_Tata_Power_Ltd." localSheetId="25">'[1]Value at Risk (VaR)'!$Y$23</definedName>
    <definedName name="Weight_of_Tata_Power_Ltd.">'Value at Risk (VaR)'!$Y$23</definedName>
    <definedName name="Z.score" localSheetId="25">'[1]Value at Risk (VaR)'!$AB$24</definedName>
    <definedName name="Z.score">'Value at Risk (VaR)'!$AB$24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20" i="40" l="1"/>
  <c r="D21" i="40" s="1"/>
  <c r="E20" i="40"/>
  <c r="E21" i="40" s="1"/>
  <c r="F20" i="40"/>
  <c r="F21" i="40" s="1"/>
  <c r="G20" i="40"/>
  <c r="G21" i="40" s="1"/>
  <c r="H20" i="40"/>
  <c r="H21" i="40" s="1"/>
  <c r="I20" i="40"/>
  <c r="I21" i="40" s="1"/>
  <c r="J20" i="40"/>
  <c r="J21" i="40" s="1"/>
  <c r="K20" i="40"/>
  <c r="K21" i="40" s="1"/>
  <c r="L20" i="40"/>
  <c r="L21" i="40" s="1"/>
  <c r="M20" i="40"/>
  <c r="M21" i="40" s="1"/>
  <c r="C42" i="12"/>
  <c r="D42" i="12"/>
  <c r="E42" i="12"/>
  <c r="F42" i="12"/>
  <c r="G42" i="12"/>
  <c r="H42" i="12"/>
  <c r="I42" i="12"/>
  <c r="J42" i="12"/>
  <c r="K42" i="12"/>
  <c r="L42" i="12"/>
  <c r="K13" i="15"/>
  <c r="K14" i="15"/>
  <c r="K15" i="15"/>
  <c r="K16" i="15"/>
  <c r="J8" i="15"/>
  <c r="J9" i="15"/>
  <c r="J10" i="15"/>
  <c r="J11" i="15"/>
  <c r="J7" i="15"/>
  <c r="I8" i="15"/>
  <c r="I9" i="15"/>
  <c r="I10" i="15"/>
  <c r="I11" i="15"/>
  <c r="I7" i="15"/>
  <c r="B4" i="36"/>
  <c r="B4" i="18"/>
  <c r="D54" i="17"/>
  <c r="B2" i="12"/>
  <c r="B2" i="11"/>
  <c r="B3" i="19"/>
  <c r="C43" i="36"/>
  <c r="D29" i="40" s="1"/>
  <c r="D30" i="40" s="1"/>
  <c r="D43" i="36"/>
  <c r="E29" i="40" s="1"/>
  <c r="E30" i="40" s="1"/>
  <c r="E43" i="36"/>
  <c r="F29" i="40" s="1"/>
  <c r="F30" i="40" s="1"/>
  <c r="F43" i="36"/>
  <c r="G29" i="40" s="1"/>
  <c r="G30" i="40" s="1"/>
  <c r="G43" i="36"/>
  <c r="H29" i="40" s="1"/>
  <c r="H30" i="40" s="1"/>
  <c r="H43" i="36"/>
  <c r="I29" i="40" s="1"/>
  <c r="I30" i="40" s="1"/>
  <c r="I43" i="36"/>
  <c r="J29" i="40" s="1"/>
  <c r="J30" i="40" s="1"/>
  <c r="J43" i="36"/>
  <c r="K29" i="40" s="1"/>
  <c r="K30" i="40" s="1"/>
  <c r="K43" i="36"/>
  <c r="L29" i="40" s="1"/>
  <c r="L30" i="40" s="1"/>
  <c r="L43" i="36"/>
  <c r="M29" i="40" s="1"/>
  <c r="M30" i="40" s="1"/>
  <c r="G11" i="21"/>
  <c r="G12" i="21"/>
  <c r="G13" i="21"/>
  <c r="G14" i="21"/>
  <c r="G16" i="21"/>
  <c r="G17" i="21"/>
  <c r="G18" i="21"/>
  <c r="J18" i="21" s="1"/>
  <c r="G19" i="21"/>
  <c r="J19" i="21" s="1"/>
  <c r="Q19" i="21" s="1"/>
  <c r="G20" i="21"/>
  <c r="G21" i="21"/>
  <c r="G22" i="21"/>
  <c r="G23" i="21"/>
  <c r="G24" i="21"/>
  <c r="G25" i="21"/>
  <c r="G26" i="21"/>
  <c r="G27" i="21"/>
  <c r="G28" i="21"/>
  <c r="G29" i="21"/>
  <c r="G30" i="21"/>
  <c r="G31" i="21"/>
  <c r="G32" i="21"/>
  <c r="G33" i="21"/>
  <c r="G10" i="21"/>
  <c r="C36" i="15"/>
  <c r="N68" i="19"/>
  <c r="N66" i="19"/>
  <c r="N63" i="19"/>
  <c r="E15" i="21"/>
  <c r="G15" i="21" s="1"/>
  <c r="J15" i="21" s="1"/>
  <c r="E13" i="35"/>
  <c r="D59" i="17"/>
  <c r="G51" i="19"/>
  <c r="G52" i="19"/>
  <c r="G53" i="19"/>
  <c r="I53" i="19" s="1"/>
  <c r="G54" i="19"/>
  <c r="I54" i="19" s="1"/>
  <c r="G55" i="19"/>
  <c r="I55" i="19" s="1"/>
  <c r="G56" i="19"/>
  <c r="I56" i="19" s="1"/>
  <c r="G57" i="19"/>
  <c r="I57" i="19" s="1"/>
  <c r="G58" i="19"/>
  <c r="I58" i="19" s="1"/>
  <c r="G59" i="19"/>
  <c r="I59" i="19" s="1"/>
  <c r="G50" i="19"/>
  <c r="I50" i="19" s="1"/>
  <c r="G46" i="19"/>
  <c r="I46" i="19" s="1"/>
  <c r="G45" i="19"/>
  <c r="I45" i="19" s="1"/>
  <c r="G44" i="19"/>
  <c r="I44" i="19" s="1"/>
  <c r="G43" i="19"/>
  <c r="I43" i="19" s="1"/>
  <c r="G42" i="19"/>
  <c r="I42" i="19" s="1"/>
  <c r="G41" i="19"/>
  <c r="I41" i="19" s="1"/>
  <c r="G40" i="19"/>
  <c r="I40" i="19" s="1"/>
  <c r="G39" i="19"/>
  <c r="I39" i="19" s="1"/>
  <c r="G38" i="19"/>
  <c r="I38" i="19" s="1"/>
  <c r="G37" i="19"/>
  <c r="I37" i="19" s="1"/>
  <c r="E30" i="19"/>
  <c r="F30" i="19"/>
  <c r="G30" i="19"/>
  <c r="H30" i="19"/>
  <c r="I30" i="19"/>
  <c r="D30" i="19"/>
  <c r="E24" i="19"/>
  <c r="F24" i="19"/>
  <c r="G24" i="19"/>
  <c r="H24" i="19"/>
  <c r="I24" i="19"/>
  <c r="D24" i="19"/>
  <c r="E23" i="19"/>
  <c r="F23" i="19"/>
  <c r="G23" i="19"/>
  <c r="H23" i="19"/>
  <c r="I23" i="19"/>
  <c r="D23" i="19"/>
  <c r="B16" i="19"/>
  <c r="B51" i="36"/>
  <c r="B45" i="36"/>
  <c r="B39" i="36"/>
  <c r="B33" i="36"/>
  <c r="B27" i="36"/>
  <c r="D22" i="19"/>
  <c r="D25" i="19" s="1"/>
  <c r="E22" i="19"/>
  <c r="E25" i="19" s="1"/>
  <c r="F22" i="19"/>
  <c r="F25" i="19" s="1"/>
  <c r="G22" i="19"/>
  <c r="G25" i="19" s="1"/>
  <c r="H22" i="19"/>
  <c r="H25" i="19" s="1"/>
  <c r="I22" i="19"/>
  <c r="D44" i="36"/>
  <c r="E44" i="36"/>
  <c r="F44" i="36"/>
  <c r="G44" i="36"/>
  <c r="H44" i="36"/>
  <c r="I44" i="36"/>
  <c r="J44" i="36"/>
  <c r="K44" i="36"/>
  <c r="L44" i="36"/>
  <c r="C44" i="36"/>
  <c r="B2" i="36"/>
  <c r="B3" i="36" s="1"/>
  <c r="AB40" i="32"/>
  <c r="V27" i="32"/>
  <c r="V10" i="32"/>
  <c r="S7" i="32" s="1"/>
  <c r="AB35" i="32"/>
  <c r="V21" i="32"/>
  <c r="L26" i="18"/>
  <c r="L40" i="18" s="1"/>
  <c r="Y35" i="32"/>
  <c r="V26" i="32"/>
  <c r="V22" i="32"/>
  <c r="Y23" i="32"/>
  <c r="AB24" i="32"/>
  <c r="U24" i="32"/>
  <c r="U36" i="32" s="1"/>
  <c r="Q111" i="32"/>
  <c r="V38" i="32" s="1"/>
  <c r="H111" i="32"/>
  <c r="S48" i="21"/>
  <c r="S45" i="21"/>
  <c r="S46" i="21"/>
  <c r="S42" i="21"/>
  <c r="I13" i="35"/>
  <c r="I9" i="35"/>
  <c r="K9" i="35" s="1"/>
  <c r="I10" i="35"/>
  <c r="K10" i="35" s="1"/>
  <c r="I11" i="35"/>
  <c r="K11" i="35" s="1"/>
  <c r="I12" i="35"/>
  <c r="K12" i="35" s="1"/>
  <c r="I14" i="35"/>
  <c r="K14" i="35" s="1"/>
  <c r="I15" i="35"/>
  <c r="K15" i="35" s="1"/>
  <c r="I16" i="35"/>
  <c r="K16" i="35" s="1"/>
  <c r="I17" i="35"/>
  <c r="K17" i="35" s="1"/>
  <c r="I18" i="35"/>
  <c r="K18" i="35" s="1"/>
  <c r="I19" i="35"/>
  <c r="K19" i="35" s="1"/>
  <c r="I20" i="35"/>
  <c r="K20" i="35" s="1"/>
  <c r="I21" i="35"/>
  <c r="K21" i="35" s="1"/>
  <c r="I22" i="35"/>
  <c r="K22" i="35" s="1"/>
  <c r="I23" i="35"/>
  <c r="K23" i="35" s="1"/>
  <c r="I24" i="35"/>
  <c r="K24" i="35" s="1"/>
  <c r="I25" i="35"/>
  <c r="K25" i="35" s="1"/>
  <c r="I26" i="35"/>
  <c r="K26" i="35" s="1"/>
  <c r="I27" i="35"/>
  <c r="K27" i="35" s="1"/>
  <c r="I28" i="35"/>
  <c r="K28" i="35" s="1"/>
  <c r="I29" i="35"/>
  <c r="K29" i="35" s="1"/>
  <c r="I30" i="35"/>
  <c r="K30" i="35" s="1"/>
  <c r="I8" i="35"/>
  <c r="K8" i="35" s="1"/>
  <c r="B2" i="18"/>
  <c r="D26" i="18"/>
  <c r="D40" i="18" s="1"/>
  <c r="E26" i="18"/>
  <c r="E40" i="18" s="1"/>
  <c r="F26" i="18"/>
  <c r="F40" i="18" s="1"/>
  <c r="G26" i="18"/>
  <c r="G40" i="18" s="1"/>
  <c r="H26" i="18"/>
  <c r="H40" i="18" s="1"/>
  <c r="I26" i="18"/>
  <c r="I40" i="18" s="1"/>
  <c r="J26" i="18"/>
  <c r="J40" i="18" s="1"/>
  <c r="K26" i="18"/>
  <c r="K40" i="18" s="1"/>
  <c r="C26" i="18"/>
  <c r="G10" i="34"/>
  <c r="E10" i="34"/>
  <c r="F7" i="34"/>
  <c r="E7" i="34" s="1"/>
  <c r="H7" i="34"/>
  <c r="G7" i="34" s="1"/>
  <c r="F9" i="34"/>
  <c r="E9" i="34" s="1"/>
  <c r="H9" i="34"/>
  <c r="G9" i="34" s="1"/>
  <c r="H8" i="34"/>
  <c r="G8" i="34" s="1"/>
  <c r="F8" i="34"/>
  <c r="E8" i="34" s="1"/>
  <c r="I21" i="15"/>
  <c r="D34" i="17"/>
  <c r="Q48" i="21"/>
  <c r="Q46" i="21"/>
  <c r="R46" i="21"/>
  <c r="P46" i="21"/>
  <c r="P45" i="21"/>
  <c r="Q45" i="21"/>
  <c r="R45" i="21"/>
  <c r="I35" i="21"/>
  <c r="I36" i="21"/>
  <c r="I37" i="21"/>
  <c r="I38" i="21"/>
  <c r="I39" i="21"/>
  <c r="I40" i="21"/>
  <c r="R48" i="21"/>
  <c r="P48" i="21"/>
  <c r="M39" i="21"/>
  <c r="M36" i="21"/>
  <c r="M37" i="21"/>
  <c r="O40" i="21"/>
  <c r="N40" i="21"/>
  <c r="M40" i="21"/>
  <c r="O39" i="21"/>
  <c r="N39" i="21"/>
  <c r="O38" i="21"/>
  <c r="N38" i="21"/>
  <c r="M38" i="21"/>
  <c r="O37" i="21"/>
  <c r="N37" i="21"/>
  <c r="O36" i="21"/>
  <c r="N36" i="21"/>
  <c r="O35" i="21"/>
  <c r="N35" i="21"/>
  <c r="M35" i="21"/>
  <c r="F35" i="21"/>
  <c r="H35" i="21"/>
  <c r="F36" i="21"/>
  <c r="H36" i="21"/>
  <c r="F37" i="21"/>
  <c r="H37" i="21"/>
  <c r="F38" i="21"/>
  <c r="H38" i="21"/>
  <c r="F39" i="21"/>
  <c r="H39" i="21"/>
  <c r="F40" i="21"/>
  <c r="H40" i="21"/>
  <c r="E40" i="21"/>
  <c r="E39" i="21"/>
  <c r="E38" i="21"/>
  <c r="E37" i="21"/>
  <c r="E36" i="21"/>
  <c r="E35" i="21"/>
  <c r="J20" i="21"/>
  <c r="J11" i="21"/>
  <c r="J12" i="21"/>
  <c r="Q12" i="21" s="1"/>
  <c r="J13" i="21"/>
  <c r="J14" i="21"/>
  <c r="J16" i="21"/>
  <c r="J17" i="21"/>
  <c r="Q17" i="21" s="1"/>
  <c r="G19" i="17"/>
  <c r="H19" i="17" s="1"/>
  <c r="I19" i="17" s="1"/>
  <c r="J19" i="17" s="1"/>
  <c r="K19" i="17" s="1"/>
  <c r="D53" i="17"/>
  <c r="N67" i="19" s="1"/>
  <c r="D52" i="17"/>
  <c r="E44" i="16"/>
  <c r="F44" i="16"/>
  <c r="G44" i="16"/>
  <c r="H44" i="16"/>
  <c r="I44" i="16"/>
  <c r="J44" i="16"/>
  <c r="K44" i="16"/>
  <c r="L44" i="16"/>
  <c r="M44" i="16"/>
  <c r="D44" i="16"/>
  <c r="E33" i="16"/>
  <c r="F33" i="16"/>
  <c r="G33" i="16"/>
  <c r="H33" i="16"/>
  <c r="I33" i="16"/>
  <c r="J33" i="16"/>
  <c r="K33" i="16"/>
  <c r="L33" i="16"/>
  <c r="M33" i="16"/>
  <c r="D33" i="16"/>
  <c r="M31" i="16"/>
  <c r="L31" i="16"/>
  <c r="K31" i="16"/>
  <c r="J31" i="16"/>
  <c r="I31" i="16"/>
  <c r="H31" i="16"/>
  <c r="G31" i="16"/>
  <c r="F31" i="16"/>
  <c r="E31" i="16"/>
  <c r="M30" i="16"/>
  <c r="L30" i="16"/>
  <c r="K30" i="16"/>
  <c r="J30" i="16"/>
  <c r="I30" i="16"/>
  <c r="H30" i="16"/>
  <c r="G30" i="16"/>
  <c r="F30" i="16"/>
  <c r="E30" i="16"/>
  <c r="M29" i="16"/>
  <c r="L29" i="16"/>
  <c r="K29" i="16"/>
  <c r="J29" i="16"/>
  <c r="I29" i="16"/>
  <c r="H29" i="16"/>
  <c r="G29" i="16"/>
  <c r="F29" i="16"/>
  <c r="E29" i="16"/>
  <c r="M28" i="16"/>
  <c r="L28" i="16"/>
  <c r="K28" i="16"/>
  <c r="J28" i="16"/>
  <c r="I28" i="16"/>
  <c r="H28" i="16"/>
  <c r="G28" i="16"/>
  <c r="F28" i="16"/>
  <c r="E28" i="16"/>
  <c r="M27" i="16"/>
  <c r="L27" i="16"/>
  <c r="K27" i="16"/>
  <c r="J27" i="16"/>
  <c r="I27" i="16"/>
  <c r="H27" i="16"/>
  <c r="G27" i="16"/>
  <c r="F27" i="16"/>
  <c r="E27" i="16"/>
  <c r="M26" i="16"/>
  <c r="L26" i="16"/>
  <c r="K26" i="16"/>
  <c r="J26" i="16"/>
  <c r="I26" i="16"/>
  <c r="H26" i="16"/>
  <c r="G26" i="16"/>
  <c r="F26" i="16"/>
  <c r="E26" i="16"/>
  <c r="M25" i="16"/>
  <c r="L25" i="16"/>
  <c r="K25" i="16"/>
  <c r="J25" i="16"/>
  <c r="I25" i="16"/>
  <c r="H25" i="16"/>
  <c r="G25" i="16"/>
  <c r="F25" i="16"/>
  <c r="E25" i="16"/>
  <c r="M24" i="16"/>
  <c r="L24" i="16"/>
  <c r="K24" i="16"/>
  <c r="J24" i="16"/>
  <c r="I24" i="16"/>
  <c r="H24" i="16"/>
  <c r="G24" i="16"/>
  <c r="F24" i="16"/>
  <c r="E24" i="16"/>
  <c r="M23" i="16"/>
  <c r="L23" i="16"/>
  <c r="K23" i="16"/>
  <c r="J23" i="16"/>
  <c r="I23" i="16"/>
  <c r="H23" i="16"/>
  <c r="G23" i="16"/>
  <c r="F23" i="16"/>
  <c r="E23" i="16"/>
  <c r="D24" i="16"/>
  <c r="D25" i="16"/>
  <c r="D26" i="16"/>
  <c r="D27" i="16"/>
  <c r="D28" i="16"/>
  <c r="D29" i="16"/>
  <c r="D30" i="16"/>
  <c r="D31" i="16"/>
  <c r="D23" i="16"/>
  <c r="E14" i="16"/>
  <c r="F14" i="16"/>
  <c r="G14" i="16"/>
  <c r="H14" i="16"/>
  <c r="I14" i="16"/>
  <c r="J14" i="16"/>
  <c r="K14" i="16"/>
  <c r="L14" i="16"/>
  <c r="M14" i="16"/>
  <c r="E15" i="16"/>
  <c r="F15" i="16"/>
  <c r="G15" i="16"/>
  <c r="H15" i="16"/>
  <c r="I15" i="16"/>
  <c r="J15" i="16"/>
  <c r="K15" i="16"/>
  <c r="L15" i="16"/>
  <c r="M15" i="16"/>
  <c r="E16" i="16"/>
  <c r="F16" i="16"/>
  <c r="G16" i="16"/>
  <c r="H16" i="16"/>
  <c r="I16" i="16"/>
  <c r="J16" i="16"/>
  <c r="K16" i="16"/>
  <c r="L16" i="16"/>
  <c r="M16" i="16"/>
  <c r="D15" i="16"/>
  <c r="D16" i="16"/>
  <c r="D14" i="16"/>
  <c r="E7" i="16"/>
  <c r="F7" i="16"/>
  <c r="G7" i="16"/>
  <c r="H7" i="16"/>
  <c r="I7" i="16"/>
  <c r="J7" i="16"/>
  <c r="K7" i="16"/>
  <c r="L7" i="16"/>
  <c r="M7" i="16"/>
  <c r="E8" i="16"/>
  <c r="F8" i="16"/>
  <c r="G8" i="16"/>
  <c r="H8" i="16"/>
  <c r="I8" i="16"/>
  <c r="J8" i="16"/>
  <c r="K8" i="16"/>
  <c r="L8" i="16"/>
  <c r="M8" i="16"/>
  <c r="E9" i="16"/>
  <c r="F9" i="16"/>
  <c r="G9" i="16"/>
  <c r="H9" i="16"/>
  <c r="I9" i="16"/>
  <c r="J9" i="16"/>
  <c r="K9" i="16"/>
  <c r="L9" i="16"/>
  <c r="M9" i="16"/>
  <c r="E10" i="16"/>
  <c r="F10" i="16"/>
  <c r="G10" i="16"/>
  <c r="H10" i="16"/>
  <c r="I10" i="16"/>
  <c r="J10" i="16"/>
  <c r="K10" i="16"/>
  <c r="L10" i="16"/>
  <c r="M10" i="16"/>
  <c r="D8" i="16"/>
  <c r="D9" i="16"/>
  <c r="D10" i="16"/>
  <c r="D7" i="16"/>
  <c r="D40" i="12"/>
  <c r="E40" i="12"/>
  <c r="F40" i="12"/>
  <c r="G40" i="12"/>
  <c r="H40" i="12"/>
  <c r="I40" i="12"/>
  <c r="J40" i="12"/>
  <c r="K40" i="12"/>
  <c r="L40" i="12"/>
  <c r="C40" i="12"/>
  <c r="J21" i="21" l="1"/>
  <c r="S21" i="21"/>
  <c r="J22" i="21"/>
  <c r="S22" i="21"/>
  <c r="J23" i="21"/>
  <c r="S23" i="21"/>
  <c r="J24" i="21"/>
  <c r="S24" i="21"/>
  <c r="J26" i="21"/>
  <c r="S26" i="21"/>
  <c r="J27" i="21"/>
  <c r="S27" i="21"/>
  <c r="J29" i="21"/>
  <c r="S29" i="21"/>
  <c r="J30" i="21"/>
  <c r="S30" i="21"/>
  <c r="J31" i="21"/>
  <c r="S31" i="21"/>
  <c r="J33" i="21"/>
  <c r="S33" i="21"/>
  <c r="N42" i="12"/>
  <c r="O42" i="12"/>
  <c r="Q22" i="21"/>
  <c r="R22" i="21"/>
  <c r="J13" i="15"/>
  <c r="J14" i="15"/>
  <c r="J15" i="15"/>
  <c r="J16" i="15"/>
  <c r="I13" i="15"/>
  <c r="I14" i="15"/>
  <c r="I15" i="15"/>
  <c r="I16" i="15"/>
  <c r="L45" i="36"/>
  <c r="Q24" i="21"/>
  <c r="R24" i="21"/>
  <c r="N65" i="19"/>
  <c r="N69" i="19" s="1"/>
  <c r="I25" i="19"/>
  <c r="I52" i="19"/>
  <c r="I51" i="19"/>
  <c r="K45" i="36"/>
  <c r="J45" i="36"/>
  <c r="I45" i="36"/>
  <c r="H45" i="36"/>
  <c r="G45" i="36"/>
  <c r="F45" i="36"/>
  <c r="E45" i="36"/>
  <c r="D45" i="36"/>
  <c r="V39" i="32"/>
  <c r="V34" i="32"/>
  <c r="S97" i="32"/>
  <c r="S94" i="32"/>
  <c r="S92" i="32"/>
  <c r="S90" i="32"/>
  <c r="S88" i="32"/>
  <c r="S86" i="32"/>
  <c r="S84" i="32"/>
  <c r="S82" i="32"/>
  <c r="S80" i="32"/>
  <c r="S78" i="32"/>
  <c r="S76" i="32"/>
  <c r="S74" i="32"/>
  <c r="S72" i="32"/>
  <c r="S70" i="32"/>
  <c r="S68" i="32"/>
  <c r="S66" i="32"/>
  <c r="S64" i="32"/>
  <c r="S62" i="32"/>
  <c r="S59" i="32"/>
  <c r="S57" i="32"/>
  <c r="S55" i="32"/>
  <c r="S53" i="32"/>
  <c r="S51" i="32"/>
  <c r="S48" i="32"/>
  <c r="S46" i="32"/>
  <c r="S44" i="32"/>
  <c r="S41" i="32"/>
  <c r="S39" i="32"/>
  <c r="S37" i="32"/>
  <c r="S35" i="32"/>
  <c r="S33" i="32"/>
  <c r="S31" i="32"/>
  <c r="S29" i="32"/>
  <c r="S27" i="32"/>
  <c r="S25" i="32"/>
  <c r="S23" i="32"/>
  <c r="S21" i="32"/>
  <c r="S20" i="32"/>
  <c r="S18" i="32"/>
  <c r="S15" i="32"/>
  <c r="S14" i="32"/>
  <c r="S12" i="32"/>
  <c r="S10" i="32"/>
  <c r="S8" i="32"/>
  <c r="S110" i="32"/>
  <c r="S109" i="32"/>
  <c r="S108" i="32"/>
  <c r="S107" i="32"/>
  <c r="S106" i="32"/>
  <c r="S105" i="32"/>
  <c r="S104" i="32"/>
  <c r="S103" i="32"/>
  <c r="S102" i="32"/>
  <c r="S101" i="32"/>
  <c r="S100" i="32"/>
  <c r="S99" i="32"/>
  <c r="S98" i="32"/>
  <c r="S96" i="32"/>
  <c r="S95" i="32"/>
  <c r="S93" i="32"/>
  <c r="S91" i="32"/>
  <c r="S89" i="32"/>
  <c r="S87" i="32"/>
  <c r="S85" i="32"/>
  <c r="S83" i="32"/>
  <c r="S81" i="32"/>
  <c r="S79" i="32"/>
  <c r="S77" i="32"/>
  <c r="S75" i="32"/>
  <c r="S73" i="32"/>
  <c r="S71" i="32"/>
  <c r="S69" i="32"/>
  <c r="S67" i="32"/>
  <c r="S65" i="32"/>
  <c r="S63" i="32"/>
  <c r="S61" i="32"/>
  <c r="S60" i="32"/>
  <c r="S58" i="32"/>
  <c r="S56" i="32"/>
  <c r="S54" i="32"/>
  <c r="S52" i="32"/>
  <c r="S50" i="32"/>
  <c r="S49" i="32"/>
  <c r="S47" i="32"/>
  <c r="S45" i="32"/>
  <c r="S43" i="32"/>
  <c r="S42" i="32"/>
  <c r="S40" i="32"/>
  <c r="S38" i="32"/>
  <c r="S36" i="32"/>
  <c r="S34" i="32"/>
  <c r="S32" i="32"/>
  <c r="S30" i="32"/>
  <c r="S28" i="32"/>
  <c r="S26" i="32"/>
  <c r="S24" i="32"/>
  <c r="S22" i="32"/>
  <c r="S19" i="32"/>
  <c r="S17" i="32"/>
  <c r="S16" i="32"/>
  <c r="S13" i="32"/>
  <c r="S11" i="32"/>
  <c r="S9" i="32"/>
  <c r="V33" i="32"/>
  <c r="AB34" i="32" s="1"/>
  <c r="AB22" i="32"/>
  <c r="B3" i="18"/>
  <c r="B42" i="21"/>
  <c r="Y37" i="32"/>
  <c r="Y38" i="32" s="1"/>
  <c r="Y25" i="32"/>
  <c r="Y26" i="32" s="1"/>
  <c r="Q23" i="21"/>
  <c r="R23" i="21"/>
  <c r="J25" i="21"/>
  <c r="S25" i="21"/>
  <c r="J28" i="21"/>
  <c r="S28" i="21"/>
  <c r="R30" i="21"/>
  <c r="Q30" i="21"/>
  <c r="J32" i="21"/>
  <c r="S32" i="21"/>
  <c r="Q21" i="21"/>
  <c r="R21" i="21"/>
  <c r="Q26" i="21"/>
  <c r="R26" i="21"/>
  <c r="Q27" i="21"/>
  <c r="R27" i="21"/>
  <c r="R29" i="21"/>
  <c r="Q29" i="21"/>
  <c r="Q31" i="21"/>
  <c r="R31" i="21"/>
  <c r="Q33" i="21"/>
  <c r="R33" i="21"/>
  <c r="Q20" i="21"/>
  <c r="Q13" i="21"/>
  <c r="Q16" i="21"/>
  <c r="R18" i="21"/>
  <c r="Q11" i="21"/>
  <c r="S11" i="21"/>
  <c r="R14" i="21"/>
  <c r="Q14" i="21"/>
  <c r="Q15" i="21"/>
  <c r="R15" i="21"/>
  <c r="R19" i="21"/>
  <c r="Q18" i="21"/>
  <c r="S12" i="21"/>
  <c r="G39" i="21"/>
  <c r="G36" i="21"/>
  <c r="S16" i="21"/>
  <c r="R11" i="21"/>
  <c r="S17" i="21"/>
  <c r="R16" i="21"/>
  <c r="S13" i="21"/>
  <c r="R12" i="21"/>
  <c r="S20" i="21"/>
  <c r="S18" i="21"/>
  <c r="R17" i="21"/>
  <c r="S14" i="21"/>
  <c r="R13" i="21"/>
  <c r="R20" i="21"/>
  <c r="S19" i="21"/>
  <c r="S15" i="21"/>
  <c r="C45" i="36" l="1"/>
  <c r="AB27" i="32"/>
  <c r="V13" i="32"/>
  <c r="V14" i="32"/>
  <c r="AB37" i="32"/>
  <c r="V42" i="32" s="1"/>
  <c r="Q25" i="21"/>
  <c r="R25" i="21"/>
  <c r="J39" i="21"/>
  <c r="J36" i="21"/>
  <c r="Q28" i="21"/>
  <c r="R28" i="21"/>
  <c r="Q32" i="21"/>
  <c r="R32" i="21"/>
  <c r="S39" i="21"/>
  <c r="S36" i="21"/>
  <c r="Q36" i="21" l="1"/>
  <c r="Q39" i="21"/>
  <c r="R39" i="21"/>
  <c r="R36" i="21"/>
  <c r="L63" i="11"/>
  <c r="K63" i="11"/>
  <c r="J63" i="11"/>
  <c r="I63" i="11"/>
  <c r="H63" i="11"/>
  <c r="G63" i="11"/>
  <c r="F63" i="11"/>
  <c r="E63" i="11"/>
  <c r="D63" i="11"/>
  <c r="C63" i="11"/>
  <c r="L69" i="11"/>
  <c r="K69" i="11"/>
  <c r="J69" i="11"/>
  <c r="I69" i="11"/>
  <c r="H69" i="11"/>
  <c r="G69" i="11"/>
  <c r="F69" i="11"/>
  <c r="E69" i="11"/>
  <c r="D69" i="11"/>
  <c r="C69" i="11"/>
  <c r="L79" i="11"/>
  <c r="K79" i="11"/>
  <c r="J79" i="11"/>
  <c r="K23" i="40" s="1"/>
  <c r="K24" i="40" s="1"/>
  <c r="I79" i="11"/>
  <c r="H79" i="11"/>
  <c r="G79" i="11"/>
  <c r="F79" i="11"/>
  <c r="E79" i="11"/>
  <c r="D79" i="11"/>
  <c r="C79" i="11"/>
  <c r="L91" i="11"/>
  <c r="K91" i="11"/>
  <c r="J91" i="11"/>
  <c r="I91" i="11"/>
  <c r="H91" i="11"/>
  <c r="G91" i="11"/>
  <c r="F91" i="11"/>
  <c r="E91" i="11"/>
  <c r="D91" i="11"/>
  <c r="C91" i="11"/>
  <c r="J23" i="40" l="1"/>
  <c r="J24" i="40" s="1"/>
  <c r="I23" i="40"/>
  <c r="I24" i="40" s="1"/>
  <c r="H23" i="40"/>
  <c r="H24" i="40" s="1"/>
  <c r="G23" i="40"/>
  <c r="G24" i="40" s="1"/>
  <c r="F23" i="40"/>
  <c r="F24" i="40" s="1"/>
  <c r="D23" i="40"/>
  <c r="D24" i="40" s="1"/>
  <c r="M23" i="40"/>
  <c r="M24" i="40" s="1"/>
  <c r="L23" i="40"/>
  <c r="L24" i="40" s="1"/>
  <c r="E23" i="40"/>
  <c r="E24" i="40" s="1"/>
  <c r="L71" i="11"/>
  <c r="J71" i="11"/>
  <c r="H71" i="11"/>
  <c r="F71" i="11"/>
  <c r="D71" i="11"/>
  <c r="K71" i="11"/>
  <c r="K36" i="24"/>
  <c r="I71" i="11"/>
  <c r="I36" i="24" s="1"/>
  <c r="G71" i="11"/>
  <c r="G36" i="24" s="1"/>
  <c r="E71" i="11"/>
  <c r="E36" i="24" s="1"/>
  <c r="C71" i="11"/>
  <c r="C36" i="24" s="1"/>
  <c r="L98" i="11"/>
  <c r="L26" i="36" s="1"/>
  <c r="K98" i="11"/>
  <c r="K46" i="24"/>
  <c r="J98" i="11"/>
  <c r="J46" i="24" s="1"/>
  <c r="I98" i="11"/>
  <c r="I26" i="36" s="1"/>
  <c r="H98" i="11"/>
  <c r="H46" i="24"/>
  <c r="G98" i="11"/>
  <c r="G46" i="24"/>
  <c r="F98" i="11"/>
  <c r="F26" i="36" s="1"/>
  <c r="E98" i="11"/>
  <c r="E26" i="36" s="1"/>
  <c r="D98" i="11"/>
  <c r="D26" i="36" s="1"/>
  <c r="C98" i="11"/>
  <c r="C26" i="36" s="1"/>
  <c r="L93" i="11"/>
  <c r="L60" i="24" s="1"/>
  <c r="L58" i="24"/>
  <c r="K93" i="11"/>
  <c r="K60" i="24" s="1"/>
  <c r="K58" i="24"/>
  <c r="J93" i="11"/>
  <c r="J60" i="24" s="1"/>
  <c r="J58" i="24"/>
  <c r="I93" i="11"/>
  <c r="I60" i="24" s="1"/>
  <c r="I58" i="24"/>
  <c r="H93" i="11"/>
  <c r="H60" i="24" s="1"/>
  <c r="H58" i="24"/>
  <c r="G58" i="24"/>
  <c r="G93" i="11"/>
  <c r="G60" i="24" s="1"/>
  <c r="F58" i="24"/>
  <c r="F93" i="11"/>
  <c r="F60" i="24" s="1"/>
  <c r="E58" i="24"/>
  <c r="E93" i="11"/>
  <c r="E60" i="24" s="1"/>
  <c r="D58" i="24"/>
  <c r="D93" i="11"/>
  <c r="D60" i="24" s="1"/>
  <c r="C93" i="11"/>
  <c r="C60" i="24" s="1"/>
  <c r="C58" i="24"/>
  <c r="C35" i="15"/>
  <c r="J21" i="15"/>
  <c r="L34" i="15"/>
  <c r="L26" i="15"/>
  <c r="C30" i="25"/>
  <c r="C31" i="25"/>
  <c r="L27" i="15" s="1"/>
  <c r="H108" i="26"/>
  <c r="C27" i="25" s="1"/>
  <c r="C32" i="25" s="1"/>
  <c r="T8" i="26"/>
  <c r="T7" i="26"/>
  <c r="C29" i="25" s="1"/>
  <c r="L33" i="15" s="1"/>
  <c r="K21" i="15" s="1"/>
  <c r="J13" i="35" s="1"/>
  <c r="K13" i="35" s="1"/>
  <c r="S47" i="21" s="1"/>
  <c r="Q108" i="26"/>
  <c r="B23" i="24"/>
  <c r="L20" i="24"/>
  <c r="K20" i="24"/>
  <c r="J20" i="24"/>
  <c r="I20" i="24"/>
  <c r="H20" i="24"/>
  <c r="G20" i="24"/>
  <c r="F20" i="24"/>
  <c r="E20" i="24"/>
  <c r="D20" i="24"/>
  <c r="C20" i="24"/>
  <c r="B20" i="24"/>
  <c r="L19" i="24"/>
  <c r="K19" i="24"/>
  <c r="J19" i="24"/>
  <c r="I19" i="24"/>
  <c r="H19" i="24"/>
  <c r="G19" i="24"/>
  <c r="F19" i="24"/>
  <c r="E19" i="24"/>
  <c r="D19" i="24"/>
  <c r="C19" i="24"/>
  <c r="B19" i="24"/>
  <c r="L18" i="24"/>
  <c r="K18" i="24"/>
  <c r="J18" i="24"/>
  <c r="I18" i="24"/>
  <c r="H18" i="24"/>
  <c r="G18" i="24"/>
  <c r="F18" i="24"/>
  <c r="E18" i="24"/>
  <c r="D18" i="24"/>
  <c r="C18" i="24"/>
  <c r="B18" i="24"/>
  <c r="L17" i="24"/>
  <c r="K17" i="24"/>
  <c r="J17" i="24"/>
  <c r="I17" i="24"/>
  <c r="H17" i="24"/>
  <c r="G17" i="24"/>
  <c r="F17" i="24"/>
  <c r="E17" i="24"/>
  <c r="D17" i="24"/>
  <c r="C17" i="24"/>
  <c r="B17" i="24"/>
  <c r="L16" i="24"/>
  <c r="K16" i="24"/>
  <c r="J16" i="24"/>
  <c r="I16" i="24"/>
  <c r="H16" i="24"/>
  <c r="G16" i="24"/>
  <c r="F16" i="24"/>
  <c r="E16" i="24"/>
  <c r="D16" i="24"/>
  <c r="C16" i="24"/>
  <c r="B16" i="24"/>
  <c r="L15" i="24"/>
  <c r="K15" i="24"/>
  <c r="J15" i="24"/>
  <c r="I15" i="24"/>
  <c r="H15" i="24"/>
  <c r="G15" i="24"/>
  <c r="F15" i="24"/>
  <c r="E15" i="24"/>
  <c r="D15" i="24"/>
  <c r="C15" i="24"/>
  <c r="B15" i="24"/>
  <c r="L14" i="24"/>
  <c r="K14" i="24"/>
  <c r="J14" i="24"/>
  <c r="I14" i="24"/>
  <c r="H14" i="24"/>
  <c r="G14" i="24"/>
  <c r="F14" i="24"/>
  <c r="E14" i="24"/>
  <c r="D14" i="24"/>
  <c r="C14" i="24"/>
  <c r="B14" i="24"/>
  <c r="L13" i="24"/>
  <c r="K13" i="24"/>
  <c r="J13" i="24"/>
  <c r="I13" i="24"/>
  <c r="H13" i="24"/>
  <c r="G13" i="24"/>
  <c r="F13" i="24"/>
  <c r="E13" i="24"/>
  <c r="D13" i="24"/>
  <c r="C13" i="24"/>
  <c r="B13" i="24"/>
  <c r="L12" i="24"/>
  <c r="K12" i="24"/>
  <c r="J12" i="24"/>
  <c r="I12" i="24"/>
  <c r="H12" i="24"/>
  <c r="G12" i="24"/>
  <c r="F12" i="24"/>
  <c r="E12" i="24"/>
  <c r="D12" i="24"/>
  <c r="C12" i="24"/>
  <c r="B12" i="24"/>
  <c r="L11" i="24"/>
  <c r="K11" i="24"/>
  <c r="J11" i="24"/>
  <c r="I11" i="24"/>
  <c r="H11" i="24"/>
  <c r="G11" i="24"/>
  <c r="F11" i="24"/>
  <c r="E11" i="24"/>
  <c r="D11" i="24"/>
  <c r="C11" i="24"/>
  <c r="B11" i="24"/>
  <c r="L10" i="24"/>
  <c r="K10" i="24"/>
  <c r="J10" i="24"/>
  <c r="I10" i="24"/>
  <c r="H10" i="24"/>
  <c r="G10" i="24"/>
  <c r="F10" i="24"/>
  <c r="E10" i="24"/>
  <c r="D10" i="24"/>
  <c r="C10" i="24"/>
  <c r="B10" i="24"/>
  <c r="L9" i="24"/>
  <c r="K9" i="24"/>
  <c r="J9" i="24"/>
  <c r="I9" i="24"/>
  <c r="H9" i="24"/>
  <c r="G9" i="24"/>
  <c r="F9" i="24"/>
  <c r="E9" i="24"/>
  <c r="D9" i="24"/>
  <c r="C9" i="24"/>
  <c r="B9" i="24"/>
  <c r="L8" i="24"/>
  <c r="K8" i="24"/>
  <c r="J8" i="24"/>
  <c r="I8" i="24"/>
  <c r="H8" i="24"/>
  <c r="G8" i="24"/>
  <c r="F8" i="24"/>
  <c r="E8" i="24"/>
  <c r="D8" i="24"/>
  <c r="C8" i="24"/>
  <c r="B8" i="24"/>
  <c r="L7" i="24"/>
  <c r="K7" i="24"/>
  <c r="J7" i="24"/>
  <c r="I7" i="24"/>
  <c r="H7" i="24"/>
  <c r="G7" i="24"/>
  <c r="F7" i="24"/>
  <c r="E7" i="24"/>
  <c r="D7" i="24"/>
  <c r="C7" i="24"/>
  <c r="B7" i="24"/>
  <c r="L6" i="24"/>
  <c r="K6" i="24"/>
  <c r="J6" i="24"/>
  <c r="I6" i="24"/>
  <c r="H6" i="24"/>
  <c r="G6" i="24"/>
  <c r="F6" i="24"/>
  <c r="E6" i="24"/>
  <c r="D6" i="24"/>
  <c r="C6" i="24"/>
  <c r="B6" i="24"/>
  <c r="L4" i="24"/>
  <c r="K4" i="24"/>
  <c r="J4" i="24"/>
  <c r="I4" i="24"/>
  <c r="H4" i="24"/>
  <c r="G4" i="24"/>
  <c r="F4" i="24"/>
  <c r="E4" i="24"/>
  <c r="D4" i="24"/>
  <c r="C4" i="24"/>
  <c r="B2" i="24"/>
  <c r="C40" i="18"/>
  <c r="D41" i="17"/>
  <c r="G28" i="17"/>
  <c r="H28" i="17" s="1"/>
  <c r="I28" i="17" s="1"/>
  <c r="J28" i="17" s="1"/>
  <c r="K28" i="17" s="1"/>
  <c r="M17" i="16"/>
  <c r="L17" i="16"/>
  <c r="K17" i="16"/>
  <c r="J17" i="16"/>
  <c r="I17" i="16"/>
  <c r="H17" i="16"/>
  <c r="G17" i="16"/>
  <c r="F17" i="16"/>
  <c r="E17" i="16"/>
  <c r="D17" i="16"/>
  <c r="M11" i="16"/>
  <c r="L11" i="16"/>
  <c r="K11" i="16"/>
  <c r="J11" i="16"/>
  <c r="I11" i="16"/>
  <c r="I19" i="16" s="1"/>
  <c r="H25" i="36" s="1"/>
  <c r="H11" i="16"/>
  <c r="G11" i="16"/>
  <c r="F11" i="16"/>
  <c r="D3" i="11"/>
  <c r="E3" i="11"/>
  <c r="F3" i="11"/>
  <c r="G3" i="11"/>
  <c r="D7" i="19" s="1"/>
  <c r="D20" i="19" s="1"/>
  <c r="H3" i="11"/>
  <c r="E7" i="19" s="1"/>
  <c r="E20" i="19" s="1"/>
  <c r="I3" i="11"/>
  <c r="F7" i="19" s="1"/>
  <c r="F20" i="19" s="1"/>
  <c r="J3" i="11"/>
  <c r="G7" i="19" s="1"/>
  <c r="K3" i="11"/>
  <c r="H7" i="19" s="1"/>
  <c r="L3" i="11"/>
  <c r="I7" i="19" s="1"/>
  <c r="C3" i="11"/>
  <c r="D6" i="11"/>
  <c r="E6" i="11"/>
  <c r="F6" i="11"/>
  <c r="G6" i="11"/>
  <c r="H6" i="11"/>
  <c r="I6" i="11"/>
  <c r="J6" i="11"/>
  <c r="K6" i="11"/>
  <c r="L6" i="11"/>
  <c r="D9" i="11"/>
  <c r="E9" i="11"/>
  <c r="F9" i="11"/>
  <c r="G9" i="11"/>
  <c r="H9" i="11"/>
  <c r="I9" i="11"/>
  <c r="J9" i="11"/>
  <c r="K9" i="11"/>
  <c r="L9" i="11"/>
  <c r="D15" i="11"/>
  <c r="E15" i="11"/>
  <c r="F15" i="11"/>
  <c r="G15" i="11"/>
  <c r="H15" i="11"/>
  <c r="I15" i="11"/>
  <c r="J15" i="11"/>
  <c r="K15" i="11"/>
  <c r="L15" i="11"/>
  <c r="D21" i="11"/>
  <c r="E21" i="11"/>
  <c r="F21" i="11"/>
  <c r="G21" i="11"/>
  <c r="H21" i="11"/>
  <c r="I21" i="11"/>
  <c r="J21" i="11"/>
  <c r="K21" i="11"/>
  <c r="L21" i="11"/>
  <c r="D27" i="11"/>
  <c r="E27" i="11"/>
  <c r="F27" i="11"/>
  <c r="G27" i="11"/>
  <c r="H27" i="11"/>
  <c r="I27" i="11"/>
  <c r="J27" i="11"/>
  <c r="K27" i="11"/>
  <c r="L27" i="11"/>
  <c r="D30" i="11"/>
  <c r="E30" i="11"/>
  <c r="F30" i="11"/>
  <c r="G30" i="11"/>
  <c r="H30" i="11"/>
  <c r="I30" i="11"/>
  <c r="J30" i="11"/>
  <c r="K30" i="11"/>
  <c r="L30" i="11"/>
  <c r="E26" i="15" s="1"/>
  <c r="E28" i="15" s="1"/>
  <c r="K43" i="15" s="1"/>
  <c r="D36" i="11"/>
  <c r="E36" i="11"/>
  <c r="F36" i="11"/>
  <c r="G36" i="11"/>
  <c r="H36" i="11"/>
  <c r="I36" i="11"/>
  <c r="J36" i="11"/>
  <c r="K36" i="11"/>
  <c r="L36" i="11"/>
  <c r="D42" i="11"/>
  <c r="E42" i="11"/>
  <c r="F42" i="11"/>
  <c r="G42" i="11"/>
  <c r="H42" i="11"/>
  <c r="I42" i="11"/>
  <c r="J42" i="11"/>
  <c r="K42" i="11"/>
  <c r="L42" i="11"/>
  <c r="D56" i="17" s="1"/>
  <c r="D44" i="11"/>
  <c r="E44" i="11"/>
  <c r="F44" i="11"/>
  <c r="G44" i="11"/>
  <c r="H44" i="11"/>
  <c r="I44" i="11"/>
  <c r="J44" i="11"/>
  <c r="K44" i="11"/>
  <c r="L44" i="11"/>
  <c r="D50" i="11"/>
  <c r="D51" i="11" s="1"/>
  <c r="E50" i="11"/>
  <c r="F50" i="11"/>
  <c r="G50" i="11"/>
  <c r="H50" i="11"/>
  <c r="I50" i="11"/>
  <c r="J50" i="11"/>
  <c r="K50" i="11"/>
  <c r="L50" i="11"/>
  <c r="C9" i="11"/>
  <c r="C50" i="11"/>
  <c r="C44" i="11"/>
  <c r="C42" i="11"/>
  <c r="C36" i="11"/>
  <c r="C30" i="11"/>
  <c r="C27" i="11"/>
  <c r="C21" i="11"/>
  <c r="C15" i="11"/>
  <c r="C6" i="11"/>
  <c r="C6" i="3"/>
  <c r="D6" i="3"/>
  <c r="E6" i="3"/>
  <c r="F6" i="3"/>
  <c r="G6" i="3"/>
  <c r="H6" i="3"/>
  <c r="I6" i="3"/>
  <c r="J6" i="3"/>
  <c r="K6" i="3"/>
  <c r="B6" i="3"/>
  <c r="C5" i="1"/>
  <c r="D5" i="1"/>
  <c r="E5" i="1"/>
  <c r="F5" i="1"/>
  <c r="G5" i="1"/>
  <c r="H5" i="1"/>
  <c r="I5" i="1"/>
  <c r="J5" i="1"/>
  <c r="K5" i="1"/>
  <c r="B5" i="1"/>
  <c r="B6" i="6"/>
  <c r="N64" i="19" s="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C16" i="2" s="1"/>
  <c r="D13" i="2"/>
  <c r="D16" i="2" s="1"/>
  <c r="E13" i="2"/>
  <c r="E16" i="2" s="1"/>
  <c r="F13" i="2"/>
  <c r="F16" i="2" s="1"/>
  <c r="G13" i="2"/>
  <c r="H13" i="2"/>
  <c r="H16" i="2" s="1"/>
  <c r="I13" i="2"/>
  <c r="J13" i="2"/>
  <c r="J16" i="2" s="1"/>
  <c r="K13" i="2"/>
  <c r="K16" i="2" s="1"/>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D4" i="3"/>
  <c r="E4" i="3"/>
  <c r="F4" i="3"/>
  <c r="G4" i="3"/>
  <c r="H4" i="3"/>
  <c r="I4" i="3"/>
  <c r="J4" i="3"/>
  <c r="K4" i="3"/>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F12" i="1"/>
  <c r="F13" i="1" s="1"/>
  <c r="G12" i="1"/>
  <c r="G13" i="1" s="1"/>
  <c r="H12" i="1"/>
  <c r="H13" i="1" s="1"/>
  <c r="I12" i="1"/>
  <c r="J12" i="1"/>
  <c r="J13" i="1" s="1"/>
  <c r="K12" i="1"/>
  <c r="K13" i="1" s="1"/>
  <c r="C15" i="1"/>
  <c r="D15" i="1"/>
  <c r="E15" i="1"/>
  <c r="F15" i="1"/>
  <c r="F14" i="1" s="1"/>
  <c r="G15" i="1"/>
  <c r="H15" i="1"/>
  <c r="I15" i="1"/>
  <c r="J15" i="1"/>
  <c r="K15" i="1"/>
  <c r="B15" i="1"/>
  <c r="B7" i="1"/>
  <c r="B4" i="1"/>
  <c r="A1" i="1"/>
  <c r="E1" i="6"/>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B18" i="2"/>
  <c r="B21" i="2"/>
  <c r="B13" i="2"/>
  <c r="B12" i="2"/>
  <c r="B11" i="2"/>
  <c r="B10" i="2"/>
  <c r="B8" i="2"/>
  <c r="B7" i="2"/>
  <c r="B6" i="2"/>
  <c r="B3" i="2"/>
  <c r="B12" i="3"/>
  <c r="B11" i="3"/>
  <c r="B10" i="3"/>
  <c r="B9" i="3"/>
  <c r="B8" i="3"/>
  <c r="B7" i="3"/>
  <c r="B4" i="3"/>
  <c r="B3" i="3"/>
  <c r="L15" i="1"/>
  <c r="B12" i="1"/>
  <c r="B11" i="1"/>
  <c r="B10" i="1"/>
  <c r="B9" i="1"/>
  <c r="B8" i="1"/>
  <c r="B3" i="1"/>
  <c r="A1" i="3"/>
  <c r="A1" i="2"/>
  <c r="A1" i="4" s="1"/>
  <c r="M6" i="11"/>
  <c r="M8" i="11"/>
  <c r="S44" i="21" l="1"/>
  <c r="S49" i="21"/>
  <c r="D14" i="3"/>
  <c r="E14" i="3"/>
  <c r="G20" i="19"/>
  <c r="W53" i="19"/>
  <c r="H20" i="19"/>
  <c r="X53" i="19"/>
  <c r="I20" i="19"/>
  <c r="Y53" i="19"/>
  <c r="C14" i="3"/>
  <c r="C51" i="11"/>
  <c r="L50" i="36"/>
  <c r="L32" i="36"/>
  <c r="L38" i="36" s="1"/>
  <c r="K36" i="18"/>
  <c r="K26" i="36"/>
  <c r="J36" i="18"/>
  <c r="J26" i="36"/>
  <c r="I50" i="36"/>
  <c r="I32" i="36"/>
  <c r="I38" i="36" s="1"/>
  <c r="H36" i="18"/>
  <c r="H26" i="36"/>
  <c r="G36" i="18"/>
  <c r="G26" i="36"/>
  <c r="F50" i="36"/>
  <c r="F32" i="36"/>
  <c r="F38" i="36" s="1"/>
  <c r="E50" i="36"/>
  <c r="E32" i="36"/>
  <c r="E38" i="36" s="1"/>
  <c r="D50" i="36"/>
  <c r="D32" i="36"/>
  <c r="D38" i="36" s="1"/>
  <c r="C32" i="36"/>
  <c r="C38" i="36" s="1"/>
  <c r="C50" i="36"/>
  <c r="D32" i="18"/>
  <c r="D35" i="18" s="1"/>
  <c r="D49" i="36"/>
  <c r="D51" i="36" s="1"/>
  <c r="E32" i="18"/>
  <c r="E35" i="18" s="1"/>
  <c r="E49" i="36"/>
  <c r="E51" i="36" s="1"/>
  <c r="F32" i="18"/>
  <c r="F35" i="18" s="1"/>
  <c r="F49" i="36"/>
  <c r="F51" i="36" s="1"/>
  <c r="G32" i="18"/>
  <c r="G35" i="18" s="1"/>
  <c r="D9" i="19"/>
  <c r="G49" i="36"/>
  <c r="H32" i="18"/>
  <c r="H35" i="18" s="1"/>
  <c r="E9" i="19"/>
  <c r="H49" i="36"/>
  <c r="I32" i="18"/>
  <c r="I35" i="18" s="1"/>
  <c r="F9" i="19"/>
  <c r="I49" i="36"/>
  <c r="I51" i="36" s="1"/>
  <c r="J32" i="18"/>
  <c r="J35" i="18" s="1"/>
  <c r="G9" i="19"/>
  <c r="J49" i="36"/>
  <c r="K32" i="18"/>
  <c r="K35" i="18" s="1"/>
  <c r="H9" i="19"/>
  <c r="K49" i="36"/>
  <c r="L32" i="18"/>
  <c r="I9" i="19"/>
  <c r="L49" i="36"/>
  <c r="L51" i="36" s="1"/>
  <c r="C32" i="18"/>
  <c r="C35" i="18" s="1"/>
  <c r="C49" i="36"/>
  <c r="C51" i="36" s="1"/>
  <c r="D9" i="12"/>
  <c r="C21" i="2"/>
  <c r="D21" i="2"/>
  <c r="E21" i="2"/>
  <c r="F21" i="2"/>
  <c r="G21" i="2"/>
  <c r="H21" i="2"/>
  <c r="I21" i="2"/>
  <c r="J21" i="2"/>
  <c r="K21" i="2"/>
  <c r="L46" i="24"/>
  <c r="L36" i="18"/>
  <c r="L35" i="18"/>
  <c r="L57" i="18" s="1"/>
  <c r="L54" i="18"/>
  <c r="E9" i="12"/>
  <c r="E51" i="11"/>
  <c r="F9" i="12"/>
  <c r="F51" i="11"/>
  <c r="G9" i="12"/>
  <c r="G51" i="11"/>
  <c r="H9" i="12"/>
  <c r="H51" i="11"/>
  <c r="I9" i="12"/>
  <c r="I51" i="11"/>
  <c r="J9" i="12"/>
  <c r="J51" i="11"/>
  <c r="K9" i="12"/>
  <c r="K51" i="11"/>
  <c r="L9" i="12"/>
  <c r="L51" i="11"/>
  <c r="H1" i="1"/>
  <c r="E1" i="3"/>
  <c r="E1" i="2"/>
  <c r="B6" i="1"/>
  <c r="B19" i="1" s="1"/>
  <c r="K39" i="18"/>
  <c r="K41" i="18" s="1"/>
  <c r="K48" i="18"/>
  <c r="J39" i="18"/>
  <c r="J41" i="18" s="1"/>
  <c r="J48" i="18"/>
  <c r="I46" i="24"/>
  <c r="I36" i="18"/>
  <c r="I58" i="18" s="1"/>
  <c r="H39" i="18"/>
  <c r="H41" i="18" s="1"/>
  <c r="H48" i="18"/>
  <c r="G48" i="18"/>
  <c r="G39" i="18"/>
  <c r="G41" i="18" s="1"/>
  <c r="F46" i="24"/>
  <c r="F36" i="18"/>
  <c r="F58" i="18" s="1"/>
  <c r="E46" i="24"/>
  <c r="E36" i="18"/>
  <c r="E58" i="18" s="1"/>
  <c r="D46" i="24"/>
  <c r="D36" i="18"/>
  <c r="D58" i="18" s="1"/>
  <c r="C46" i="24"/>
  <c r="C36" i="18"/>
  <c r="L36" i="24"/>
  <c r="L30" i="24"/>
  <c r="L28" i="24"/>
  <c r="L26" i="24"/>
  <c r="L38" i="24"/>
  <c r="L35" i="24"/>
  <c r="L34" i="24"/>
  <c r="L33" i="24"/>
  <c r="L29" i="24"/>
  <c r="L25" i="24"/>
  <c r="J36" i="24"/>
  <c r="J30" i="24"/>
  <c r="J29" i="24"/>
  <c r="J34" i="24"/>
  <c r="J33" i="24"/>
  <c r="J26" i="24"/>
  <c r="J25" i="24"/>
  <c r="J38" i="24"/>
  <c r="J35" i="24"/>
  <c r="J28" i="24"/>
  <c r="H36" i="24"/>
  <c r="H30" i="24"/>
  <c r="H35" i="24"/>
  <c r="H34" i="24"/>
  <c r="H28" i="24"/>
  <c r="H26" i="24"/>
  <c r="H33" i="24"/>
  <c r="H29" i="24"/>
  <c r="H25" i="24"/>
  <c r="H38" i="24"/>
  <c r="F36" i="24"/>
  <c r="F30" i="24"/>
  <c r="F25" i="24"/>
  <c r="F29" i="24"/>
  <c r="F28" i="24"/>
  <c r="F38" i="24"/>
  <c r="F35" i="24"/>
  <c r="F34" i="24"/>
  <c r="F33" i="24"/>
  <c r="F26" i="24"/>
  <c r="D30" i="24"/>
  <c r="D36" i="24"/>
  <c r="D33" i="24"/>
  <c r="D29" i="24"/>
  <c r="D35" i="24"/>
  <c r="D34" i="24"/>
  <c r="D26" i="24"/>
  <c r="D38" i="24"/>
  <c r="D28" i="24"/>
  <c r="D25" i="24"/>
  <c r="K30" i="24"/>
  <c r="K34" i="24"/>
  <c r="K33" i="24"/>
  <c r="K28" i="24"/>
  <c r="K26" i="24"/>
  <c r="K25" i="24"/>
  <c r="K29" i="24"/>
  <c r="K38" i="24"/>
  <c r="K35" i="24"/>
  <c r="I30" i="24"/>
  <c r="I28" i="24"/>
  <c r="I38" i="24"/>
  <c r="I35" i="24"/>
  <c r="I34" i="24"/>
  <c r="I33" i="24"/>
  <c r="I29" i="24"/>
  <c r="I26" i="24"/>
  <c r="I25" i="24"/>
  <c r="G30" i="24"/>
  <c r="G33" i="24"/>
  <c r="G29" i="24"/>
  <c r="G25" i="24"/>
  <c r="G35" i="24"/>
  <c r="G34" i="24"/>
  <c r="G26" i="24"/>
  <c r="G38" i="24"/>
  <c r="G28" i="24"/>
  <c r="E30" i="24"/>
  <c r="E35" i="24"/>
  <c r="E34" i="24"/>
  <c r="E28" i="24"/>
  <c r="E26" i="24"/>
  <c r="E33" i="24"/>
  <c r="E25" i="24"/>
  <c r="E38" i="24"/>
  <c r="E29" i="24"/>
  <c r="C30" i="24"/>
  <c r="C38" i="24"/>
  <c r="C25" i="24"/>
  <c r="C35" i="24"/>
  <c r="C34" i="24"/>
  <c r="C33" i="24"/>
  <c r="C29" i="24"/>
  <c r="C28" i="24"/>
  <c r="C26" i="24"/>
  <c r="L100" i="11"/>
  <c r="L39" i="12"/>
  <c r="L65" i="24"/>
  <c r="L63" i="24"/>
  <c r="L62" i="24"/>
  <c r="L61" i="24"/>
  <c r="L59" i="24"/>
  <c r="L57" i="24"/>
  <c r="L56" i="24"/>
  <c r="L55" i="24"/>
  <c r="L54" i="24"/>
  <c r="L53" i="24"/>
  <c r="L52" i="24"/>
  <c r="L51" i="24"/>
  <c r="L50" i="24"/>
  <c r="L49" i="24"/>
  <c r="L45" i="24"/>
  <c r="L44" i="24"/>
  <c r="L43" i="24"/>
  <c r="L42" i="24"/>
  <c r="L41" i="24"/>
  <c r="K100" i="11"/>
  <c r="K39" i="12"/>
  <c r="K65" i="24"/>
  <c r="K63" i="24"/>
  <c r="K62" i="24"/>
  <c r="K61" i="24"/>
  <c r="K59" i="24"/>
  <c r="K57" i="24"/>
  <c r="K56" i="24"/>
  <c r="K55" i="24"/>
  <c r="K54" i="24"/>
  <c r="K53" i="24"/>
  <c r="K52" i="24"/>
  <c r="K51" i="24"/>
  <c r="K50" i="24"/>
  <c r="K49" i="24"/>
  <c r="K45" i="24"/>
  <c r="K44" i="24"/>
  <c r="K43" i="24"/>
  <c r="K42" i="24"/>
  <c r="K41" i="24"/>
  <c r="J100" i="11"/>
  <c r="J39" i="12"/>
  <c r="J65" i="24"/>
  <c r="J63" i="24"/>
  <c r="J62" i="24"/>
  <c r="J61" i="24"/>
  <c r="J59" i="24"/>
  <c r="J57" i="24"/>
  <c r="J56" i="24"/>
  <c r="J55" i="24"/>
  <c r="J54" i="24"/>
  <c r="J53" i="24"/>
  <c r="J52" i="24"/>
  <c r="J51" i="24"/>
  <c r="J50" i="24"/>
  <c r="J49" i="24"/>
  <c r="J45" i="24"/>
  <c r="J44" i="24"/>
  <c r="J43" i="24"/>
  <c r="J42" i="24"/>
  <c r="J41" i="24"/>
  <c r="I100" i="11"/>
  <c r="I39" i="12"/>
  <c r="I65" i="24"/>
  <c r="I63" i="24"/>
  <c r="I62" i="24"/>
  <c r="I61" i="24"/>
  <c r="I59" i="24"/>
  <c r="I57" i="24"/>
  <c r="I56" i="24"/>
  <c r="I55" i="24"/>
  <c r="I54" i="24"/>
  <c r="I53" i="24"/>
  <c r="I52" i="24"/>
  <c r="I51" i="24"/>
  <c r="I50" i="24"/>
  <c r="I49" i="24"/>
  <c r="I45" i="24"/>
  <c r="I44" i="24"/>
  <c r="I43" i="24"/>
  <c r="I42" i="24"/>
  <c r="I41" i="24"/>
  <c r="H100" i="11"/>
  <c r="H39" i="12"/>
  <c r="H65" i="24"/>
  <c r="H63" i="24"/>
  <c r="H62" i="24"/>
  <c r="H61" i="24"/>
  <c r="H59" i="24"/>
  <c r="H57" i="24"/>
  <c r="H56" i="24"/>
  <c r="H55" i="24"/>
  <c r="H54" i="24"/>
  <c r="H53" i="24"/>
  <c r="H52" i="24"/>
  <c r="H51" i="24"/>
  <c r="H50" i="24"/>
  <c r="H49" i="24"/>
  <c r="H45" i="24"/>
  <c r="H44" i="24"/>
  <c r="H43" i="24"/>
  <c r="H42" i="24"/>
  <c r="H41" i="24"/>
  <c r="G100" i="11"/>
  <c r="G39" i="12"/>
  <c r="G65" i="24"/>
  <c r="G63" i="24"/>
  <c r="G62" i="24"/>
  <c r="G61" i="24"/>
  <c r="G59" i="24"/>
  <c r="G57" i="24"/>
  <c r="G56" i="24"/>
  <c r="G55" i="24"/>
  <c r="G54" i="24"/>
  <c r="G53" i="24"/>
  <c r="G52" i="24"/>
  <c r="G51" i="24"/>
  <c r="G50" i="24"/>
  <c r="G49" i="24"/>
  <c r="G45" i="24"/>
  <c r="G44" i="24"/>
  <c r="G43" i="24"/>
  <c r="G42" i="24"/>
  <c r="G41" i="24"/>
  <c r="F100" i="11"/>
  <c r="F39" i="12"/>
  <c r="F65" i="24"/>
  <c r="F63" i="24"/>
  <c r="F62" i="24"/>
  <c r="F61" i="24"/>
  <c r="F59" i="24"/>
  <c r="F57" i="24"/>
  <c r="F56" i="24"/>
  <c r="F55" i="24"/>
  <c r="F54" i="24"/>
  <c r="F53" i="24"/>
  <c r="F52" i="24"/>
  <c r="F51" i="24"/>
  <c r="F50" i="24"/>
  <c r="F49" i="24"/>
  <c r="F45" i="24"/>
  <c r="F44" i="24"/>
  <c r="F43" i="24"/>
  <c r="F42" i="24"/>
  <c r="F41" i="24"/>
  <c r="E100" i="11"/>
  <c r="E39" i="12"/>
  <c r="E65" i="24"/>
  <c r="E63" i="24"/>
  <c r="E62" i="24"/>
  <c r="E61" i="24"/>
  <c r="E59" i="24"/>
  <c r="E57" i="24"/>
  <c r="E56" i="24"/>
  <c r="E55" i="24"/>
  <c r="E54" i="24"/>
  <c r="E53" i="24"/>
  <c r="E52" i="24"/>
  <c r="E51" i="24"/>
  <c r="E50" i="24"/>
  <c r="E49" i="24"/>
  <c r="E45" i="24"/>
  <c r="E44" i="24"/>
  <c r="E43" i="24"/>
  <c r="E42" i="24"/>
  <c r="E41" i="24"/>
  <c r="D100" i="11"/>
  <c r="D39" i="12"/>
  <c r="D65" i="24"/>
  <c r="D63" i="24"/>
  <c r="D62" i="24"/>
  <c r="D61" i="24"/>
  <c r="D59" i="24"/>
  <c r="D57" i="24"/>
  <c r="D56" i="24"/>
  <c r="D55" i="24"/>
  <c r="D54" i="24"/>
  <c r="D53" i="24"/>
  <c r="D52" i="24"/>
  <c r="D51" i="24"/>
  <c r="D50" i="24"/>
  <c r="D49" i="24"/>
  <c r="D45" i="24"/>
  <c r="D44" i="24"/>
  <c r="D43" i="24"/>
  <c r="D42" i="24"/>
  <c r="D41" i="24"/>
  <c r="C100" i="11"/>
  <c r="C39" i="12"/>
  <c r="C65" i="24"/>
  <c r="C41" i="24"/>
  <c r="C63" i="24"/>
  <c r="C62" i="24"/>
  <c r="C61" i="24"/>
  <c r="C59" i="24"/>
  <c r="C57" i="24"/>
  <c r="C56" i="24"/>
  <c r="C55" i="24"/>
  <c r="C54" i="24"/>
  <c r="C53" i="24"/>
  <c r="C52" i="24"/>
  <c r="C51" i="24"/>
  <c r="C50" i="24"/>
  <c r="C49" i="24"/>
  <c r="C45" i="24"/>
  <c r="C44" i="24"/>
  <c r="C43" i="24"/>
  <c r="C42" i="24"/>
  <c r="E28" i="11"/>
  <c r="L6" i="1"/>
  <c r="C23" i="2"/>
  <c r="D23" i="2"/>
  <c r="F23" i="2"/>
  <c r="G23" i="2"/>
  <c r="H23" i="2"/>
  <c r="K23" i="2"/>
  <c r="F14" i="3"/>
  <c r="G14" i="3"/>
  <c r="I14" i="3"/>
  <c r="J14" i="3"/>
  <c r="K14" i="3"/>
  <c r="L5" i="1"/>
  <c r="L10" i="1"/>
  <c r="L11" i="1"/>
  <c r="L12" i="1"/>
  <c r="L13" i="1" s="1"/>
  <c r="L14" i="1" s="1"/>
  <c r="L25" i="1" s="1"/>
  <c r="I6" i="1"/>
  <c r="I19" i="1" s="1"/>
  <c r="E23" i="2"/>
  <c r="L37" i="15"/>
  <c r="F48" i="16"/>
  <c r="L48" i="16"/>
  <c r="M48" i="16"/>
  <c r="D9" i="17" s="1"/>
  <c r="F9" i="17" s="1"/>
  <c r="G9" i="17" s="1"/>
  <c r="H9" i="17" s="1"/>
  <c r="I9" i="17" s="1"/>
  <c r="J9" i="17" s="1"/>
  <c r="K9" i="17" s="1"/>
  <c r="G48" i="16"/>
  <c r="K48" i="16"/>
  <c r="D48" i="16"/>
  <c r="E48" i="16"/>
  <c r="H48" i="16"/>
  <c r="I48" i="16"/>
  <c r="J48" i="16"/>
  <c r="D3" i="12"/>
  <c r="E4" i="16"/>
  <c r="E3" i="12"/>
  <c r="F4" i="16"/>
  <c r="F3" i="12"/>
  <c r="G4" i="16"/>
  <c r="G3" i="12"/>
  <c r="H4" i="16"/>
  <c r="H3" i="12"/>
  <c r="I4" i="16"/>
  <c r="I3" i="12"/>
  <c r="J4" i="16"/>
  <c r="J3" i="12"/>
  <c r="K4" i="16"/>
  <c r="K3" i="12"/>
  <c r="L4" i="16"/>
  <c r="L3" i="12"/>
  <c r="M4" i="16"/>
  <c r="M6" i="40" s="1"/>
  <c r="C3" i="12"/>
  <c r="D4" i="16"/>
  <c r="D30" i="12"/>
  <c r="D31" i="12"/>
  <c r="D33" i="12"/>
  <c r="D27" i="12"/>
  <c r="D38" i="12"/>
  <c r="E30" i="12"/>
  <c r="E27" i="12"/>
  <c r="E31" i="12"/>
  <c r="E33" i="12"/>
  <c r="E38" i="12"/>
  <c r="F33" i="12"/>
  <c r="F30" i="12"/>
  <c r="F27" i="12"/>
  <c r="F38" i="12"/>
  <c r="F31" i="12"/>
  <c r="G33" i="12"/>
  <c r="G30" i="12"/>
  <c r="G27" i="12"/>
  <c r="G38" i="12"/>
  <c r="G31" i="12"/>
  <c r="H38" i="12"/>
  <c r="H33" i="12"/>
  <c r="H30" i="12"/>
  <c r="H27" i="12"/>
  <c r="H31" i="12"/>
  <c r="I38" i="12"/>
  <c r="I31" i="12"/>
  <c r="I33" i="12"/>
  <c r="I27" i="12"/>
  <c r="I30" i="12"/>
  <c r="J38" i="12"/>
  <c r="J27" i="12"/>
  <c r="J33" i="12"/>
  <c r="J31" i="12"/>
  <c r="J30" i="12"/>
  <c r="K38" i="12"/>
  <c r="K27" i="12"/>
  <c r="K33" i="12"/>
  <c r="K30" i="12"/>
  <c r="K31" i="12"/>
  <c r="L38" i="12"/>
  <c r="L33" i="12"/>
  <c r="L30" i="12"/>
  <c r="L31" i="12"/>
  <c r="L27" i="12"/>
  <c r="D28" i="12"/>
  <c r="D29" i="12"/>
  <c r="D35" i="12"/>
  <c r="D34" i="12"/>
  <c r="E28" i="12"/>
  <c r="E29" i="12"/>
  <c r="E35" i="12"/>
  <c r="E34" i="12"/>
  <c r="F29" i="12"/>
  <c r="F28" i="12"/>
  <c r="F35" i="12"/>
  <c r="F34" i="12"/>
  <c r="G35" i="12"/>
  <c r="G28" i="12"/>
  <c r="G29" i="12"/>
  <c r="G34" i="12"/>
  <c r="H28" i="12"/>
  <c r="H29" i="12"/>
  <c r="H35" i="12"/>
  <c r="H34" i="12"/>
  <c r="I29" i="12"/>
  <c r="I34" i="12"/>
  <c r="I35" i="12"/>
  <c r="I28" i="12"/>
  <c r="J28" i="12"/>
  <c r="J35" i="12"/>
  <c r="J34" i="12"/>
  <c r="J29" i="12"/>
  <c r="K28" i="12"/>
  <c r="K35" i="12"/>
  <c r="K29" i="12"/>
  <c r="K34" i="12"/>
  <c r="L29" i="12"/>
  <c r="L34" i="12"/>
  <c r="L35" i="12"/>
  <c r="L36" i="12" s="1"/>
  <c r="L28" i="12"/>
  <c r="C35" i="12"/>
  <c r="C34" i="12"/>
  <c r="C29" i="12"/>
  <c r="C28" i="12"/>
  <c r="C33" i="12"/>
  <c r="C31" i="12"/>
  <c r="C30" i="12"/>
  <c r="C38" i="12"/>
  <c r="C27" i="12"/>
  <c r="M19" i="16"/>
  <c r="L25" i="36" s="1"/>
  <c r="L27" i="36" s="1"/>
  <c r="G19" i="16"/>
  <c r="F25" i="36" s="1"/>
  <c r="F27" i="36" s="1"/>
  <c r="K19" i="16"/>
  <c r="J25" i="36" s="1"/>
  <c r="J27" i="36" s="1"/>
  <c r="F19" i="16"/>
  <c r="J19" i="16"/>
  <c r="I25" i="36" s="1"/>
  <c r="I27" i="36" s="1"/>
  <c r="H19" i="16"/>
  <c r="L19" i="16"/>
  <c r="J45" i="16"/>
  <c r="J51" i="16" s="1"/>
  <c r="I31" i="11"/>
  <c r="E22" i="11"/>
  <c r="E18" i="12" s="1"/>
  <c r="I16" i="11"/>
  <c r="I17" i="12" s="1"/>
  <c r="E16" i="11"/>
  <c r="E17" i="12" s="1"/>
  <c r="E31" i="11"/>
  <c r="I22" i="11"/>
  <c r="I18" i="12" s="1"/>
  <c r="I28" i="11"/>
  <c r="I10" i="11"/>
  <c r="E10" i="11"/>
  <c r="N3" i="11"/>
  <c r="N6" i="11" s="1"/>
  <c r="K28" i="11"/>
  <c r="G28" i="11"/>
  <c r="K16" i="11"/>
  <c r="K17" i="12" s="1"/>
  <c r="G16" i="11"/>
  <c r="G17" i="12" s="1"/>
  <c r="K31" i="11"/>
  <c r="G31" i="11"/>
  <c r="K22" i="11"/>
  <c r="G22" i="11"/>
  <c r="G18" i="12" s="1"/>
  <c r="K10" i="11"/>
  <c r="G10" i="11"/>
  <c r="L7" i="11"/>
  <c r="H7" i="11"/>
  <c r="L12" i="11"/>
  <c r="J7" i="11"/>
  <c r="F7" i="11"/>
  <c r="F5" i="12" s="1"/>
  <c r="D12" i="11"/>
  <c r="D13" i="11" s="1"/>
  <c r="L31" i="11"/>
  <c r="H31" i="11"/>
  <c r="D31" i="11"/>
  <c r="J31" i="11"/>
  <c r="F31" i="11"/>
  <c r="I45" i="11"/>
  <c r="E45" i="11"/>
  <c r="K45" i="11"/>
  <c r="G45" i="11"/>
  <c r="L28" i="11"/>
  <c r="H28" i="11"/>
  <c r="D28" i="11"/>
  <c r="J28" i="11"/>
  <c r="F28" i="11"/>
  <c r="H12" i="11"/>
  <c r="J22" i="11"/>
  <c r="J18" i="12" s="1"/>
  <c r="F22" i="11"/>
  <c r="F18" i="12" s="1"/>
  <c r="L16" i="11"/>
  <c r="L17" i="12" s="1"/>
  <c r="H16" i="11"/>
  <c r="H17" i="12" s="1"/>
  <c r="D16" i="11"/>
  <c r="D17" i="12" s="1"/>
  <c r="F12" i="11"/>
  <c r="J10" i="11"/>
  <c r="F10" i="11"/>
  <c r="K12" i="11"/>
  <c r="K18" i="11" s="1"/>
  <c r="L14" i="40" s="1"/>
  <c r="L15" i="40" s="1"/>
  <c r="G12" i="11"/>
  <c r="G13" i="11" s="1"/>
  <c r="D11" i="19" s="1"/>
  <c r="L22" i="11"/>
  <c r="L18" i="12" s="1"/>
  <c r="H22" i="11"/>
  <c r="H18" i="12" s="1"/>
  <c r="D22" i="11"/>
  <c r="D18" i="12" s="1"/>
  <c r="J16" i="11"/>
  <c r="J17" i="12" s="1"/>
  <c r="F16" i="11"/>
  <c r="F17" i="12" s="1"/>
  <c r="J12" i="11"/>
  <c r="L10" i="11"/>
  <c r="H10" i="11"/>
  <c r="D10" i="11"/>
  <c r="I7" i="11"/>
  <c r="E7" i="11"/>
  <c r="E5" i="12" s="1"/>
  <c r="D7" i="11"/>
  <c r="L45" i="11"/>
  <c r="H45" i="11"/>
  <c r="I12" i="11"/>
  <c r="E12" i="11"/>
  <c r="K7" i="11"/>
  <c r="G7" i="11"/>
  <c r="J45" i="11"/>
  <c r="F45" i="11"/>
  <c r="M32" i="16"/>
  <c r="M34" i="16" s="1"/>
  <c r="L32" i="16"/>
  <c r="L34" i="16" s="1"/>
  <c r="K32" i="16"/>
  <c r="K34" i="16" s="1"/>
  <c r="J32" i="16"/>
  <c r="J34" i="16" s="1"/>
  <c r="I32" i="16"/>
  <c r="I34" i="16" s="1"/>
  <c r="I36" i="16" s="1"/>
  <c r="H32" i="16"/>
  <c r="H34" i="16" s="1"/>
  <c r="G32" i="16"/>
  <c r="G34" i="16" s="1"/>
  <c r="F32" i="16"/>
  <c r="F34" i="16" s="1"/>
  <c r="E32" i="16"/>
  <c r="E34" i="16" s="1"/>
  <c r="D32" i="16"/>
  <c r="D34" i="16" s="1"/>
  <c r="E11" i="16"/>
  <c r="D11" i="16"/>
  <c r="D19" i="16" s="1"/>
  <c r="C25" i="36" s="1"/>
  <c r="C27" i="36" s="1"/>
  <c r="L7" i="1"/>
  <c r="C14" i="1"/>
  <c r="K14" i="1"/>
  <c r="B20" i="2"/>
  <c r="B14" i="3"/>
  <c r="G14" i="1"/>
  <c r="J14" i="1"/>
  <c r="L4" i="1"/>
  <c r="H14" i="3"/>
  <c r="C20" i="2"/>
  <c r="C6" i="1"/>
  <c r="C19" i="1" s="1"/>
  <c r="I23" i="1"/>
  <c r="D6" i="1"/>
  <c r="D19" i="1" s="1"/>
  <c r="D20" i="2"/>
  <c r="E6" i="1"/>
  <c r="E19" i="1" s="1"/>
  <c r="E20" i="2"/>
  <c r="F20" i="2"/>
  <c r="J23" i="1"/>
  <c r="G6" i="1"/>
  <c r="G19" i="1" s="1"/>
  <c r="G20" i="2"/>
  <c r="J20" i="2"/>
  <c r="J6" i="1"/>
  <c r="J19" i="1" s="1"/>
  <c r="K20" i="2"/>
  <c r="H23" i="1"/>
  <c r="K6" i="1"/>
  <c r="K19" i="1" s="1"/>
  <c r="I23" i="2"/>
  <c r="I13" i="1"/>
  <c r="I14" i="1" s="1"/>
  <c r="K25" i="1" s="1"/>
  <c r="M25" i="1" s="1"/>
  <c r="M14" i="1" s="1"/>
  <c r="J10" i="21"/>
  <c r="K58" i="18"/>
  <c r="J58" i="18"/>
  <c r="H58" i="18"/>
  <c r="G58" i="18"/>
  <c r="K54" i="18"/>
  <c r="J54" i="18"/>
  <c r="I54" i="18"/>
  <c r="H54" i="18"/>
  <c r="G54" i="18"/>
  <c r="F54" i="18"/>
  <c r="E54" i="18"/>
  <c r="D54" i="18"/>
  <c r="C54" i="18"/>
  <c r="C37" i="15"/>
  <c r="K45" i="16"/>
  <c r="K51" i="16" s="1"/>
  <c r="D45" i="11"/>
  <c r="C16" i="11"/>
  <c r="C17" i="12" s="1"/>
  <c r="K18" i="12"/>
  <c r="C28" i="11"/>
  <c r="C31" i="11"/>
  <c r="C22" i="11"/>
  <c r="C18" i="12" s="1"/>
  <c r="C10" i="11"/>
  <c r="C12" i="11"/>
  <c r="O3" i="11"/>
  <c r="H14" i="1"/>
  <c r="G24" i="2"/>
  <c r="H24" i="2"/>
  <c r="I24" i="2"/>
  <c r="J24" i="2"/>
  <c r="I16" i="2"/>
  <c r="L8" i="1"/>
  <c r="L9" i="1"/>
  <c r="B16" i="2"/>
  <c r="D13" i="1"/>
  <c r="D24" i="2"/>
  <c r="E24" i="2"/>
  <c r="F24" i="2"/>
  <c r="K24" i="2"/>
  <c r="J23" i="2"/>
  <c r="G16" i="2"/>
  <c r="C24" i="2"/>
  <c r="B13" i="1"/>
  <c r="B14" i="1" s="1"/>
  <c r="B23" i="2"/>
  <c r="M9" i="1"/>
  <c r="N9" i="1"/>
  <c r="N8" i="1"/>
  <c r="M8" i="1"/>
  <c r="I20" i="2"/>
  <c r="H20" i="2"/>
  <c r="K23" i="1"/>
  <c r="H6" i="1"/>
  <c r="H19" i="1" s="1"/>
  <c r="F6" i="1"/>
  <c r="F19" i="1" s="1"/>
  <c r="E1" i="4"/>
  <c r="N8" i="11"/>
  <c r="D24" i="36" l="1"/>
  <c r="D54" i="36" s="1"/>
  <c r="E6" i="40"/>
  <c r="E24" i="36"/>
  <c r="E54" i="36" s="1"/>
  <c r="F6" i="40"/>
  <c r="F24" i="36"/>
  <c r="F54" i="36" s="1"/>
  <c r="G6" i="40"/>
  <c r="G24" i="36"/>
  <c r="G54" i="36" s="1"/>
  <c r="H6" i="40"/>
  <c r="H24" i="36"/>
  <c r="H54" i="36" s="1"/>
  <c r="I6" i="40"/>
  <c r="I24" i="36"/>
  <c r="I54" i="36" s="1"/>
  <c r="J6" i="40"/>
  <c r="J24" i="36"/>
  <c r="J54" i="36" s="1"/>
  <c r="K6" i="40"/>
  <c r="K24" i="36"/>
  <c r="K54" i="36" s="1"/>
  <c r="L6" i="40"/>
  <c r="C24" i="36"/>
  <c r="C54" i="36" s="1"/>
  <c r="D6" i="40"/>
  <c r="H21" i="15"/>
  <c r="L21" i="15" s="1"/>
  <c r="L35" i="15" s="1"/>
  <c r="H10" i="15"/>
  <c r="L10" i="15" s="1"/>
  <c r="H7" i="15"/>
  <c r="H9" i="15"/>
  <c r="L9" i="15" s="1"/>
  <c r="H11" i="15"/>
  <c r="L11" i="15" s="1"/>
  <c r="H8" i="15"/>
  <c r="L8" i="15" s="1"/>
  <c r="K50" i="36"/>
  <c r="K51" i="36" s="1"/>
  <c r="K32" i="36"/>
  <c r="K38" i="36" s="1"/>
  <c r="J50" i="36"/>
  <c r="J51" i="36" s="1"/>
  <c r="J32" i="36"/>
  <c r="J38" i="36" s="1"/>
  <c r="H27" i="36"/>
  <c r="H50" i="36"/>
  <c r="H51" i="36" s="1"/>
  <c r="H32" i="36"/>
  <c r="H38" i="36" s="1"/>
  <c r="G50" i="36"/>
  <c r="G51" i="36" s="1"/>
  <c r="G32" i="36"/>
  <c r="G38" i="36" s="1"/>
  <c r="D29" i="19"/>
  <c r="E29" i="19"/>
  <c r="F29" i="19"/>
  <c r="G29" i="19"/>
  <c r="H29" i="19"/>
  <c r="I29" i="19"/>
  <c r="D18" i="19"/>
  <c r="D17" i="19"/>
  <c r="E18" i="19"/>
  <c r="E17" i="19"/>
  <c r="F18" i="19"/>
  <c r="F17" i="19"/>
  <c r="G18" i="19"/>
  <c r="G17" i="19"/>
  <c r="H18" i="19"/>
  <c r="H17" i="19"/>
  <c r="I17" i="19"/>
  <c r="I18" i="19"/>
  <c r="L24" i="18"/>
  <c r="L46" i="18" s="1"/>
  <c r="L24" i="36"/>
  <c r="L54" i="36" s="1"/>
  <c r="G45" i="16"/>
  <c r="G51" i="16" s="1"/>
  <c r="E25" i="36"/>
  <c r="E27" i="36" s="1"/>
  <c r="I45" i="16"/>
  <c r="I51" i="16" s="1"/>
  <c r="G25" i="36"/>
  <c r="G27" i="36" s="1"/>
  <c r="L45" i="16"/>
  <c r="L51" i="16" s="1"/>
  <c r="K25" i="36"/>
  <c r="K27" i="36" s="1"/>
  <c r="L5" i="12"/>
  <c r="I10" i="19"/>
  <c r="H5" i="12"/>
  <c r="E10" i="19"/>
  <c r="J5" i="12"/>
  <c r="G10" i="19"/>
  <c r="I5" i="12"/>
  <c r="F10" i="19"/>
  <c r="K5" i="12"/>
  <c r="H10" i="19"/>
  <c r="G5" i="12"/>
  <c r="D10" i="19"/>
  <c r="L39" i="18"/>
  <c r="L41" i="18" s="1"/>
  <c r="L48" i="18"/>
  <c r="L58" i="18"/>
  <c r="L59" i="18" s="1"/>
  <c r="L37" i="18"/>
  <c r="M45" i="16"/>
  <c r="M51" i="16" s="1"/>
  <c r="N9" i="12"/>
  <c r="O9" i="12"/>
  <c r="C58" i="18"/>
  <c r="C48" i="18"/>
  <c r="C39" i="18"/>
  <c r="C41" i="18" s="1"/>
  <c r="E42" i="16"/>
  <c r="D24" i="18"/>
  <c r="D46" i="18" s="1"/>
  <c r="F42" i="16"/>
  <c r="E24" i="18"/>
  <c r="E46" i="18" s="1"/>
  <c r="G42" i="16"/>
  <c r="F24" i="18"/>
  <c r="F46" i="18" s="1"/>
  <c r="H42" i="16"/>
  <c r="G24" i="18"/>
  <c r="G46" i="18" s="1"/>
  <c r="I42" i="16"/>
  <c r="H24" i="18"/>
  <c r="H46" i="18" s="1"/>
  <c r="J42" i="16"/>
  <c r="I24" i="18"/>
  <c r="I46" i="18" s="1"/>
  <c r="K42" i="16"/>
  <c r="J24" i="18"/>
  <c r="J46" i="18" s="1"/>
  <c r="L42" i="16"/>
  <c r="K24" i="18"/>
  <c r="K46" i="18" s="1"/>
  <c r="D42" i="16"/>
  <c r="C24" i="18"/>
  <c r="C46" i="18" s="1"/>
  <c r="I39" i="18"/>
  <c r="I41" i="18" s="1"/>
  <c r="I48" i="18"/>
  <c r="F39" i="18"/>
  <c r="F41" i="18" s="1"/>
  <c r="F48" i="18"/>
  <c r="E39" i="18"/>
  <c r="E41" i="18" s="1"/>
  <c r="E48" i="18"/>
  <c r="D48" i="18"/>
  <c r="D39" i="18"/>
  <c r="D41" i="18" s="1"/>
  <c r="M36" i="16"/>
  <c r="L36" i="16"/>
  <c r="K36" i="16"/>
  <c r="J36" i="16"/>
  <c r="K24" i="1"/>
  <c r="M11" i="1"/>
  <c r="N11" i="1"/>
  <c r="S10" i="21"/>
  <c r="S38" i="21" s="1"/>
  <c r="R47" i="21" s="1"/>
  <c r="R44" i="21" s="1"/>
  <c r="D4" i="17"/>
  <c r="F4" i="17" s="1"/>
  <c r="G4" i="17" s="1"/>
  <c r="H4" i="17" s="1"/>
  <c r="I4" i="17" s="1"/>
  <c r="J4" i="17" s="1"/>
  <c r="K4" i="17" s="1"/>
  <c r="M42" i="16"/>
  <c r="D36" i="12"/>
  <c r="E36" i="12"/>
  <c r="F36" i="12"/>
  <c r="G36" i="12"/>
  <c r="H36" i="12"/>
  <c r="I36" i="12"/>
  <c r="J36" i="12"/>
  <c r="K36" i="12"/>
  <c r="F36" i="16"/>
  <c r="G35" i="21"/>
  <c r="G37" i="21"/>
  <c r="G38" i="21"/>
  <c r="G40" i="21"/>
  <c r="H45" i="16"/>
  <c r="H51" i="16" s="1"/>
  <c r="H36" i="16"/>
  <c r="E19" i="16"/>
  <c r="E45" i="16" s="1"/>
  <c r="D36" i="16"/>
  <c r="G36" i="16"/>
  <c r="N7" i="11"/>
  <c r="G18" i="11"/>
  <c r="D18" i="11"/>
  <c r="E14" i="40" s="1"/>
  <c r="E15" i="40" s="1"/>
  <c r="K13" i="11"/>
  <c r="L13" i="11"/>
  <c r="L18" i="11"/>
  <c r="M14" i="40" s="1"/>
  <c r="M15" i="40" s="1"/>
  <c r="H13" i="11"/>
  <c r="H18" i="11"/>
  <c r="I14" i="40" s="1"/>
  <c r="I15" i="40" s="1"/>
  <c r="J13" i="11"/>
  <c r="J18" i="11"/>
  <c r="K14" i="40" s="1"/>
  <c r="K15" i="40" s="1"/>
  <c r="F13" i="11"/>
  <c r="F11" i="12" s="1"/>
  <c r="F18" i="11"/>
  <c r="G14" i="40" s="1"/>
  <c r="G15" i="40" s="1"/>
  <c r="I13" i="11"/>
  <c r="I18" i="11"/>
  <c r="J14" i="40" s="1"/>
  <c r="J15" i="40" s="1"/>
  <c r="K24" i="11"/>
  <c r="K19" i="11"/>
  <c r="H12" i="19" s="1"/>
  <c r="H28" i="19" s="1"/>
  <c r="E13" i="11"/>
  <c r="E11" i="12" s="1"/>
  <c r="E18" i="11"/>
  <c r="F14" i="40" s="1"/>
  <c r="F15" i="40" s="1"/>
  <c r="L19" i="1"/>
  <c r="L24" i="1" s="1"/>
  <c r="L23" i="1"/>
  <c r="J24" i="1"/>
  <c r="N17" i="12"/>
  <c r="O17" i="12"/>
  <c r="N18" i="12"/>
  <c r="O18" i="12"/>
  <c r="J25" i="1"/>
  <c r="K57" i="18"/>
  <c r="K59" i="18" s="1"/>
  <c r="K37" i="18"/>
  <c r="J37" i="18"/>
  <c r="J57" i="18"/>
  <c r="J59" i="18" s="1"/>
  <c r="I57" i="18"/>
  <c r="I59" i="18" s="1"/>
  <c r="I37" i="18"/>
  <c r="H57" i="18"/>
  <c r="H59" i="18" s="1"/>
  <c r="H37" i="18"/>
  <c r="G57" i="18"/>
  <c r="G59" i="18" s="1"/>
  <c r="G37" i="18"/>
  <c r="F37" i="18"/>
  <c r="F57" i="18"/>
  <c r="F59" i="18" s="1"/>
  <c r="E37" i="18"/>
  <c r="E57" i="18"/>
  <c r="E59" i="18" s="1"/>
  <c r="D37" i="18"/>
  <c r="D57" i="18"/>
  <c r="D59" i="18" s="1"/>
  <c r="C37" i="18"/>
  <c r="C57" i="18"/>
  <c r="D35" i="15"/>
  <c r="D36" i="15"/>
  <c r="N35" i="12"/>
  <c r="O35" i="12"/>
  <c r="N33" i="12"/>
  <c r="O33" i="12"/>
  <c r="N34" i="12"/>
  <c r="O34" i="12"/>
  <c r="C36" i="12"/>
  <c r="N40" i="12"/>
  <c r="O40" i="12"/>
  <c r="N29" i="12"/>
  <c r="O29" i="12"/>
  <c r="N28" i="12"/>
  <c r="O28" i="12"/>
  <c r="G11" i="12"/>
  <c r="D5" i="12"/>
  <c r="D11" i="12"/>
  <c r="N30" i="12"/>
  <c r="O30" i="12"/>
  <c r="N38" i="12"/>
  <c r="O38" i="12"/>
  <c r="N27" i="12"/>
  <c r="O27" i="12"/>
  <c r="C13" i="11"/>
  <c r="C11" i="12" s="1"/>
  <c r="C18" i="11"/>
  <c r="D14" i="40" s="1"/>
  <c r="D15" i="40" s="1"/>
  <c r="N31" i="12"/>
  <c r="O31" i="12"/>
  <c r="P3" i="11"/>
  <c r="D14" i="1"/>
  <c r="E13" i="1"/>
  <c r="E14" i="1" s="1"/>
  <c r="I25" i="1" s="1"/>
  <c r="M23" i="1"/>
  <c r="M4" i="1" s="1"/>
  <c r="N23" i="1"/>
  <c r="N4" i="1" s="1"/>
  <c r="I24" i="1"/>
  <c r="H24" i="1"/>
  <c r="O8" i="11"/>
  <c r="O6" i="11"/>
  <c r="M7" i="11"/>
  <c r="G19" i="11" l="1"/>
  <c r="D12" i="19" s="1"/>
  <c r="D28" i="19" s="1"/>
  <c r="H14" i="40"/>
  <c r="H15" i="40" s="1"/>
  <c r="K37" i="36"/>
  <c r="K39" i="36" s="1"/>
  <c r="L11" i="40"/>
  <c r="L12" i="40" s="1"/>
  <c r="L7" i="15"/>
  <c r="H16" i="15"/>
  <c r="H15" i="15"/>
  <c r="H14" i="15"/>
  <c r="H13" i="15"/>
  <c r="M24" i="1"/>
  <c r="M6" i="1" s="1"/>
  <c r="M10" i="1" s="1"/>
  <c r="M12" i="1" s="1"/>
  <c r="M13" i="1" s="1"/>
  <c r="M15" i="1" s="1"/>
  <c r="E36" i="16"/>
  <c r="D25" i="36"/>
  <c r="D27" i="36" s="1"/>
  <c r="K11" i="12"/>
  <c r="H11" i="19"/>
  <c r="L11" i="12"/>
  <c r="I11" i="19"/>
  <c r="H11" i="12"/>
  <c r="E11" i="19"/>
  <c r="J11" i="12"/>
  <c r="G11" i="19"/>
  <c r="I11" i="12"/>
  <c r="F11" i="19"/>
  <c r="C59" i="18"/>
  <c r="N24" i="1"/>
  <c r="N6" i="1" s="1"/>
  <c r="D24" i="11"/>
  <c r="E11" i="40" s="1"/>
  <c r="E12" i="40" s="1"/>
  <c r="D19" i="11"/>
  <c r="D12" i="12" s="1"/>
  <c r="L47" i="16"/>
  <c r="L49" i="16" s="1"/>
  <c r="K21" i="12"/>
  <c r="H32" i="19" s="1"/>
  <c r="K25" i="12"/>
  <c r="J35" i="21"/>
  <c r="J37" i="21"/>
  <c r="J38" i="21"/>
  <c r="J40" i="21"/>
  <c r="S35" i="21"/>
  <c r="S37" i="21"/>
  <c r="S40" i="21"/>
  <c r="Q10" i="21"/>
  <c r="R10" i="21"/>
  <c r="E51" i="16"/>
  <c r="F45" i="16"/>
  <c r="F51" i="16" s="1"/>
  <c r="G24" i="11"/>
  <c r="H11" i="40" s="1"/>
  <c r="H12" i="40" s="1"/>
  <c r="L19" i="11"/>
  <c r="L24" i="11"/>
  <c r="M11" i="40" s="1"/>
  <c r="M12" i="40" s="1"/>
  <c r="H19" i="11"/>
  <c r="H24" i="11"/>
  <c r="F19" i="11"/>
  <c r="F12" i="12" s="1"/>
  <c r="F24" i="11"/>
  <c r="J19" i="11"/>
  <c r="J24" i="11"/>
  <c r="O7" i="11"/>
  <c r="I19" i="11"/>
  <c r="I24" i="11"/>
  <c r="K25" i="11"/>
  <c r="H13" i="19" s="1"/>
  <c r="K33" i="11"/>
  <c r="E19" i="11"/>
  <c r="E12" i="12" s="1"/>
  <c r="E24" i="11"/>
  <c r="D39" i="15"/>
  <c r="D37" i="15"/>
  <c r="E37" i="15" s="1"/>
  <c r="E35" i="15" s="1"/>
  <c r="L43" i="15" s="1"/>
  <c r="N36" i="12"/>
  <c r="O36" i="12"/>
  <c r="L6" i="12"/>
  <c r="K12" i="12"/>
  <c r="K6" i="12"/>
  <c r="J6" i="12"/>
  <c r="I6" i="12"/>
  <c r="H6" i="12"/>
  <c r="G12" i="12"/>
  <c r="G6" i="12"/>
  <c r="F6" i="12"/>
  <c r="E6" i="12"/>
  <c r="N5" i="12"/>
  <c r="O5" i="12"/>
  <c r="D6" i="12"/>
  <c r="C19" i="11"/>
  <c r="C12" i="12" s="1"/>
  <c r="C24" i="11"/>
  <c r="Q3" i="11"/>
  <c r="H25" i="1"/>
  <c r="N25" i="1" s="1"/>
  <c r="N14" i="1" s="1"/>
  <c r="M5" i="1"/>
  <c r="P8" i="11"/>
  <c r="P6" i="11"/>
  <c r="H37" i="36" l="1"/>
  <c r="H39" i="36" s="1"/>
  <c r="I11" i="40"/>
  <c r="I12" i="40" s="1"/>
  <c r="F37" i="36"/>
  <c r="F39" i="36" s="1"/>
  <c r="G11" i="40"/>
  <c r="G12" i="40" s="1"/>
  <c r="J37" i="36"/>
  <c r="J39" i="36" s="1"/>
  <c r="K11" i="40"/>
  <c r="K12" i="40" s="1"/>
  <c r="I37" i="36"/>
  <c r="I39" i="36" s="1"/>
  <c r="J11" i="40"/>
  <c r="J12" i="40" s="1"/>
  <c r="E37" i="36"/>
  <c r="E39" i="36" s="1"/>
  <c r="F11" i="40"/>
  <c r="F12" i="40" s="1"/>
  <c r="C37" i="36"/>
  <c r="C39" i="36" s="1"/>
  <c r="D11" i="40"/>
  <c r="D12" i="40" s="1"/>
  <c r="L16" i="15"/>
  <c r="L15" i="15"/>
  <c r="L14" i="15"/>
  <c r="L13" i="15"/>
  <c r="N11" i="12"/>
  <c r="O11" i="12"/>
  <c r="N5" i="1"/>
  <c r="N10" i="1"/>
  <c r="N12" i="1" s="1"/>
  <c r="N13" i="1" s="1"/>
  <c r="N15" i="1" s="1"/>
  <c r="D25" i="11"/>
  <c r="D33" i="11"/>
  <c r="D37" i="36"/>
  <c r="D39" i="36" s="1"/>
  <c r="G21" i="12"/>
  <c r="D32" i="19" s="1"/>
  <c r="G37" i="36"/>
  <c r="G39" i="36" s="1"/>
  <c r="L12" i="12"/>
  <c r="I12" i="19"/>
  <c r="I28" i="19" s="1"/>
  <c r="M47" i="16"/>
  <c r="M49" i="16" s="1"/>
  <c r="M52" i="16" s="1"/>
  <c r="L37" i="36"/>
  <c r="L39" i="36" s="1"/>
  <c r="H12" i="12"/>
  <c r="E12" i="19"/>
  <c r="E28" i="19" s="1"/>
  <c r="J12" i="12"/>
  <c r="G12" i="19"/>
  <c r="G28" i="19" s="1"/>
  <c r="I12" i="12"/>
  <c r="F12" i="19"/>
  <c r="F28" i="19" s="1"/>
  <c r="D25" i="12"/>
  <c r="D21" i="12"/>
  <c r="E47" i="16"/>
  <c r="E49" i="16" s="1"/>
  <c r="L52" i="16"/>
  <c r="L37" i="16"/>
  <c r="L39" i="16" s="1"/>
  <c r="L8" i="40" s="1"/>
  <c r="L9" i="40" s="1"/>
  <c r="G25" i="11"/>
  <c r="D13" i="19" s="1"/>
  <c r="H47" i="16"/>
  <c r="H49" i="16" s="1"/>
  <c r="G25" i="12"/>
  <c r="L21" i="12"/>
  <c r="I32" i="19" s="1"/>
  <c r="L25" i="12"/>
  <c r="I47" i="16"/>
  <c r="I49" i="16" s="1"/>
  <c r="H21" i="12"/>
  <c r="E32" i="19" s="1"/>
  <c r="H25" i="12"/>
  <c r="G47" i="16"/>
  <c r="G49" i="16" s="1"/>
  <c r="F21" i="12"/>
  <c r="F25" i="12"/>
  <c r="K47" i="16"/>
  <c r="K49" i="16" s="1"/>
  <c r="J21" i="12"/>
  <c r="G32" i="19" s="1"/>
  <c r="J25" i="12"/>
  <c r="J47" i="16"/>
  <c r="J49" i="16" s="1"/>
  <c r="I21" i="12"/>
  <c r="F32" i="19" s="1"/>
  <c r="I25" i="12"/>
  <c r="F47" i="16"/>
  <c r="F49" i="16" s="1"/>
  <c r="E21" i="12"/>
  <c r="E25" i="12"/>
  <c r="D47" i="16"/>
  <c r="D49" i="16" s="1"/>
  <c r="D37" i="16" s="1"/>
  <c r="D39" i="16" s="1"/>
  <c r="D8" i="40" s="1"/>
  <c r="D9" i="40" s="1"/>
  <c r="C21" i="12"/>
  <c r="R35" i="21"/>
  <c r="R37" i="21"/>
  <c r="R38" i="21"/>
  <c r="Q44" i="21" s="1"/>
  <c r="Q47" i="21" s="1"/>
  <c r="Q49" i="21" s="1"/>
  <c r="R40" i="21"/>
  <c r="Q40" i="21"/>
  <c r="Q35" i="21"/>
  <c r="Q38" i="21"/>
  <c r="P44" i="21" s="1"/>
  <c r="P47" i="21" s="1"/>
  <c r="P49" i="21" s="1"/>
  <c r="Q37" i="21"/>
  <c r="G33" i="11"/>
  <c r="G39" i="11" s="1"/>
  <c r="H17" i="40" s="1"/>
  <c r="H18" i="40" s="1"/>
  <c r="N39" i="12"/>
  <c r="O39" i="12"/>
  <c r="L25" i="11"/>
  <c r="I13" i="19" s="1"/>
  <c r="L33" i="11"/>
  <c r="D34" i="11"/>
  <c r="H25" i="11"/>
  <c r="E13" i="19" s="1"/>
  <c r="H33" i="11"/>
  <c r="F25" i="11"/>
  <c r="F33" i="11"/>
  <c r="J25" i="11"/>
  <c r="G13" i="19" s="1"/>
  <c r="J33" i="11"/>
  <c r="P7" i="11"/>
  <c r="I25" i="11"/>
  <c r="F13" i="19" s="1"/>
  <c r="I33" i="11"/>
  <c r="E25" i="11"/>
  <c r="E33" i="11"/>
  <c r="K34" i="11"/>
  <c r="K37" i="11"/>
  <c r="K39" i="11"/>
  <c r="L17" i="40" s="1"/>
  <c r="L18" i="40" s="1"/>
  <c r="R49" i="21"/>
  <c r="E39" i="15"/>
  <c r="L36" i="15" s="1"/>
  <c r="L38" i="15" s="1"/>
  <c r="L28" i="15" s="1"/>
  <c r="L29" i="15" s="1"/>
  <c r="K44" i="15" s="1"/>
  <c r="L44" i="15"/>
  <c r="L7" i="12"/>
  <c r="K7" i="12"/>
  <c r="J7" i="12"/>
  <c r="I7" i="12"/>
  <c r="H7" i="12"/>
  <c r="G7" i="12"/>
  <c r="F7" i="12"/>
  <c r="E7" i="12"/>
  <c r="D7" i="12"/>
  <c r="N6" i="12"/>
  <c r="O6" i="12"/>
  <c r="C33" i="11"/>
  <c r="C25" i="11"/>
  <c r="C25" i="12"/>
  <c r="R3" i="11"/>
  <c r="Q6" i="11"/>
  <c r="Q8" i="11"/>
  <c r="D37" i="11" l="1"/>
  <c r="D39" i="11"/>
  <c r="E17" i="40" s="1"/>
  <c r="E18" i="40" s="1"/>
  <c r="N12" i="12"/>
  <c r="O12" i="12"/>
  <c r="G23" i="12"/>
  <c r="D31" i="19" s="1"/>
  <c r="G25" i="18"/>
  <c r="D23" i="12"/>
  <c r="D25" i="18"/>
  <c r="K23" i="12"/>
  <c r="H31" i="19" s="1"/>
  <c r="K25" i="18"/>
  <c r="E52" i="16"/>
  <c r="E37" i="16"/>
  <c r="E39" i="16" s="1"/>
  <c r="E8" i="40" s="1"/>
  <c r="E9" i="40" s="1"/>
  <c r="H52" i="16"/>
  <c r="H37" i="16"/>
  <c r="H39" i="16" s="1"/>
  <c r="H8" i="40" s="1"/>
  <c r="H9" i="40" s="1"/>
  <c r="D7" i="17"/>
  <c r="D11" i="17" s="1"/>
  <c r="I52" i="16"/>
  <c r="I37" i="16"/>
  <c r="I39" i="16" s="1"/>
  <c r="I8" i="40" s="1"/>
  <c r="I9" i="40" s="1"/>
  <c r="G52" i="16"/>
  <c r="G37" i="16"/>
  <c r="G39" i="16" s="1"/>
  <c r="G8" i="40" s="1"/>
  <c r="G9" i="40" s="1"/>
  <c r="K52" i="16"/>
  <c r="K37" i="16"/>
  <c r="K39" i="16" s="1"/>
  <c r="J52" i="16"/>
  <c r="J37" i="16"/>
  <c r="J39" i="16" s="1"/>
  <c r="J8" i="40" s="1"/>
  <c r="J9" i="40" s="1"/>
  <c r="F52" i="16"/>
  <c r="F37" i="16"/>
  <c r="F39" i="16" s="1"/>
  <c r="F8" i="40" s="1"/>
  <c r="F9" i="40" s="1"/>
  <c r="G37" i="11"/>
  <c r="G34" i="11"/>
  <c r="G14" i="12" s="1"/>
  <c r="L37" i="11"/>
  <c r="L34" i="11"/>
  <c r="L14" i="12" s="1"/>
  <c r="L39" i="11"/>
  <c r="M17" i="40" s="1"/>
  <c r="M18" i="40" s="1"/>
  <c r="H37" i="11"/>
  <c r="H34" i="11"/>
  <c r="H14" i="12" s="1"/>
  <c r="H39" i="11"/>
  <c r="I17" i="40" s="1"/>
  <c r="I18" i="40" s="1"/>
  <c r="F34" i="11"/>
  <c r="F14" i="12" s="1"/>
  <c r="F39" i="11"/>
  <c r="G17" i="40" s="1"/>
  <c r="G18" i="40" s="1"/>
  <c r="F37" i="11"/>
  <c r="J34" i="11"/>
  <c r="J14" i="12" s="1"/>
  <c r="J39" i="11"/>
  <c r="K17" i="40" s="1"/>
  <c r="K18" i="40" s="1"/>
  <c r="J37" i="11"/>
  <c r="Q7" i="11"/>
  <c r="I37" i="11"/>
  <c r="I39" i="11"/>
  <c r="J17" i="40" s="1"/>
  <c r="J18" i="40" s="1"/>
  <c r="I34" i="11"/>
  <c r="I14" i="12" s="1"/>
  <c r="G40" i="11"/>
  <c r="D14" i="19" s="1"/>
  <c r="G47" i="11"/>
  <c r="K40" i="11"/>
  <c r="H14" i="19" s="1"/>
  <c r="K47" i="11"/>
  <c r="E37" i="11"/>
  <c r="E39" i="11"/>
  <c r="F17" i="40" s="1"/>
  <c r="F18" i="40" s="1"/>
  <c r="E34" i="11"/>
  <c r="E14" i="12" s="1"/>
  <c r="L45" i="15"/>
  <c r="D35" i="17" s="1"/>
  <c r="L13" i="12"/>
  <c r="L19" i="12"/>
  <c r="K13" i="12"/>
  <c r="K19" i="12"/>
  <c r="K14" i="12"/>
  <c r="J13" i="12"/>
  <c r="J19" i="12"/>
  <c r="I13" i="12"/>
  <c r="I19" i="12"/>
  <c r="H13" i="12"/>
  <c r="H19" i="12"/>
  <c r="G13" i="12"/>
  <c r="G19" i="12"/>
  <c r="F13" i="12"/>
  <c r="F19" i="12"/>
  <c r="E13" i="12"/>
  <c r="E19" i="12"/>
  <c r="D13" i="12"/>
  <c r="D19" i="12"/>
  <c r="N7" i="12"/>
  <c r="O7" i="12"/>
  <c r="D14" i="12"/>
  <c r="C37" i="11"/>
  <c r="C34" i="11"/>
  <c r="C14" i="12" s="1"/>
  <c r="C39" i="11"/>
  <c r="D17" i="40" s="1"/>
  <c r="D18" i="40" s="1"/>
  <c r="C13" i="12"/>
  <c r="C19" i="12"/>
  <c r="N21" i="12"/>
  <c r="O21" i="12"/>
  <c r="N25" i="12"/>
  <c r="O25" i="12"/>
  <c r="R8" i="11"/>
  <c r="R6" i="11"/>
  <c r="L57" i="16" l="1"/>
  <c r="K8" i="40"/>
  <c r="K9" i="40" s="1"/>
  <c r="D40" i="11"/>
  <c r="D47" i="11"/>
  <c r="D52" i="11" s="1"/>
  <c r="D27" i="19"/>
  <c r="D15" i="19"/>
  <c r="H27" i="19"/>
  <c r="H15" i="19"/>
  <c r="L23" i="12"/>
  <c r="I31" i="19" s="1"/>
  <c r="L25" i="18"/>
  <c r="G27" i="18"/>
  <c r="G31" i="18"/>
  <c r="D27" i="18"/>
  <c r="D31" i="18"/>
  <c r="K27" i="18"/>
  <c r="K31" i="18"/>
  <c r="F57" i="16"/>
  <c r="H23" i="12"/>
  <c r="E31" i="19" s="1"/>
  <c r="H25" i="18"/>
  <c r="F23" i="12"/>
  <c r="F25" i="18"/>
  <c r="J23" i="12"/>
  <c r="G31" i="19" s="1"/>
  <c r="J25" i="18"/>
  <c r="I23" i="12"/>
  <c r="F31" i="19" s="1"/>
  <c r="I25" i="18"/>
  <c r="E23" i="12"/>
  <c r="E25" i="18"/>
  <c r="C23" i="12"/>
  <c r="C25" i="18"/>
  <c r="K29" i="17"/>
  <c r="J29" i="17"/>
  <c r="F29" i="17"/>
  <c r="G57" i="16"/>
  <c r="M37" i="16"/>
  <c r="M39" i="16" s="1"/>
  <c r="M8" i="40" s="1"/>
  <c r="M9" i="40" s="1"/>
  <c r="J57" i="16"/>
  <c r="M53" i="16"/>
  <c r="M54" i="16"/>
  <c r="E57" i="16"/>
  <c r="H57" i="16"/>
  <c r="I57" i="16"/>
  <c r="K57" i="16"/>
  <c r="D40" i="17"/>
  <c r="L47" i="11"/>
  <c r="L40" i="11"/>
  <c r="H40" i="11"/>
  <c r="H47" i="11"/>
  <c r="F40" i="11"/>
  <c r="F15" i="12" s="1"/>
  <c r="F47" i="11"/>
  <c r="G48" i="11" s="1"/>
  <c r="D16" i="19" s="1"/>
  <c r="J40" i="11"/>
  <c r="J47" i="11"/>
  <c r="R7" i="11"/>
  <c r="K52" i="11"/>
  <c r="E47" i="11"/>
  <c r="E40" i="11"/>
  <c r="E15" i="12" s="1"/>
  <c r="G52" i="11"/>
  <c r="I47" i="11"/>
  <c r="I40" i="11"/>
  <c r="I29" i="17"/>
  <c r="H29" i="17"/>
  <c r="G29" i="17"/>
  <c r="L8" i="12"/>
  <c r="K15" i="12"/>
  <c r="K8" i="12"/>
  <c r="J8" i="12"/>
  <c r="I8" i="12"/>
  <c r="H8" i="12"/>
  <c r="G15" i="12"/>
  <c r="G8" i="12"/>
  <c r="F8" i="12"/>
  <c r="E8" i="12"/>
  <c r="D15" i="12"/>
  <c r="D8" i="12"/>
  <c r="N14" i="12"/>
  <c r="O14" i="12"/>
  <c r="C40" i="11"/>
  <c r="C15" i="12" s="1"/>
  <c r="C47" i="11"/>
  <c r="D48" i="11" s="1"/>
  <c r="N13" i="12"/>
  <c r="O13" i="12"/>
  <c r="N19" i="12"/>
  <c r="O19" i="12"/>
  <c r="D54" i="11" l="1"/>
  <c r="E32" i="40"/>
  <c r="E33" i="40" s="1"/>
  <c r="K54" i="11"/>
  <c r="K22" i="12" s="1"/>
  <c r="K24" i="12" s="1"/>
  <c r="L32" i="40"/>
  <c r="L33" i="40" s="1"/>
  <c r="G54" i="11"/>
  <c r="H32" i="40"/>
  <c r="H33" i="40" s="1"/>
  <c r="L31" i="18"/>
  <c r="L27" i="18"/>
  <c r="L52" i="11"/>
  <c r="I27" i="19"/>
  <c r="I15" i="19"/>
  <c r="L15" i="12"/>
  <c r="I14" i="19"/>
  <c r="D22" i="12"/>
  <c r="D24" i="12" s="1"/>
  <c r="D31" i="36"/>
  <c r="D33" i="36" s="1"/>
  <c r="D55" i="36" s="1"/>
  <c r="H15" i="12"/>
  <c r="E14" i="19"/>
  <c r="H52" i="11"/>
  <c r="E27" i="19"/>
  <c r="E15" i="19"/>
  <c r="J15" i="12"/>
  <c r="G14" i="19"/>
  <c r="G27" i="19"/>
  <c r="G15" i="19"/>
  <c r="K31" i="36"/>
  <c r="K33" i="36" s="1"/>
  <c r="K55" i="36" s="1"/>
  <c r="G22" i="12"/>
  <c r="G24" i="12" s="1"/>
  <c r="G31" i="36"/>
  <c r="G33" i="36" s="1"/>
  <c r="G55" i="36" s="1"/>
  <c r="F27" i="19"/>
  <c r="F15" i="19"/>
  <c r="I15" i="12"/>
  <c r="F14" i="19"/>
  <c r="G53" i="18"/>
  <c r="G33" i="18"/>
  <c r="G47" i="18"/>
  <c r="G49" i="18" s="1"/>
  <c r="D33" i="18"/>
  <c r="D53" i="18"/>
  <c r="D47" i="18"/>
  <c r="D49" i="18" s="1"/>
  <c r="K33" i="18"/>
  <c r="K53" i="18"/>
  <c r="K47" i="18"/>
  <c r="K49" i="18" s="1"/>
  <c r="H27" i="18"/>
  <c r="H31" i="18"/>
  <c r="F27" i="18"/>
  <c r="F31" i="18"/>
  <c r="J27" i="18"/>
  <c r="J31" i="18"/>
  <c r="I27" i="18"/>
  <c r="I31" i="18"/>
  <c r="E27" i="18"/>
  <c r="E31" i="18"/>
  <c r="C27" i="18"/>
  <c r="C31" i="18"/>
  <c r="M57" i="16"/>
  <c r="D21" i="17"/>
  <c r="F21" i="17" s="1"/>
  <c r="L48" i="11"/>
  <c r="I16" i="19" s="1"/>
  <c r="H48" i="11"/>
  <c r="E16" i="19" s="1"/>
  <c r="J52" i="11"/>
  <c r="K48" i="11"/>
  <c r="H16" i="19" s="1"/>
  <c r="F52" i="11"/>
  <c r="E48" i="11"/>
  <c r="E52" i="11"/>
  <c r="F48" i="11"/>
  <c r="I48" i="11"/>
  <c r="F16" i="19" s="1"/>
  <c r="I52" i="11"/>
  <c r="J48" i="11"/>
  <c r="G16" i="19" s="1"/>
  <c r="N8" i="12"/>
  <c r="O8" i="12"/>
  <c r="C52" i="11"/>
  <c r="N23" i="12"/>
  <c r="O23" i="12"/>
  <c r="L54" i="11" l="1"/>
  <c r="M32" i="40"/>
  <c r="M33" i="40" s="1"/>
  <c r="D56" i="36"/>
  <c r="E26" i="40"/>
  <c r="E27" i="40" s="1"/>
  <c r="E37" i="40" s="1"/>
  <c r="E40" i="40" s="1" a="1"/>
  <c r="H54" i="11"/>
  <c r="I32" i="40"/>
  <c r="I33" i="40" s="1"/>
  <c r="K56" i="36"/>
  <c r="L26" i="40"/>
  <c r="L27" i="40" s="1"/>
  <c r="L37" i="40" s="1"/>
  <c r="L40" i="40" s="1" a="1"/>
  <c r="G56" i="36"/>
  <c r="H26" i="40"/>
  <c r="H27" i="40" s="1"/>
  <c r="H37" i="40" s="1"/>
  <c r="H40" i="40" s="1" a="1"/>
  <c r="J54" i="11"/>
  <c r="K32" i="40"/>
  <c r="K33" i="40" s="1"/>
  <c r="F54" i="11"/>
  <c r="G32" i="40"/>
  <c r="G33" i="40" s="1"/>
  <c r="E54" i="11"/>
  <c r="F32" i="40"/>
  <c r="F33" i="40" s="1"/>
  <c r="I54" i="11"/>
  <c r="J32" i="40"/>
  <c r="J33" i="40" s="1"/>
  <c r="C54" i="11"/>
  <c r="D32" i="40"/>
  <c r="D33" i="40" s="1"/>
  <c r="L47" i="18"/>
  <c r="L49" i="18" s="1"/>
  <c r="L53" i="18"/>
  <c r="L33" i="18"/>
  <c r="O15" i="12"/>
  <c r="N15" i="12"/>
  <c r="G43" i="18"/>
  <c r="G55" i="18"/>
  <c r="G61" i="18" s="1"/>
  <c r="D43" i="18"/>
  <c r="D55" i="18"/>
  <c r="D61" i="18" s="1"/>
  <c r="K43" i="18"/>
  <c r="K55" i="18"/>
  <c r="K61" i="18" s="1"/>
  <c r="H33" i="18"/>
  <c r="H53" i="18"/>
  <c r="H47" i="18"/>
  <c r="H49" i="18" s="1"/>
  <c r="F33" i="18"/>
  <c r="F53" i="18"/>
  <c r="F47" i="18"/>
  <c r="F49" i="18" s="1"/>
  <c r="J33" i="18"/>
  <c r="J53" i="18"/>
  <c r="J47" i="18"/>
  <c r="J49" i="18" s="1"/>
  <c r="I53" i="18"/>
  <c r="I33" i="18"/>
  <c r="I47" i="18"/>
  <c r="I49" i="18" s="1"/>
  <c r="E53" i="18"/>
  <c r="E33" i="18"/>
  <c r="E47" i="18"/>
  <c r="E49" i="18" s="1"/>
  <c r="C47" i="18"/>
  <c r="C49" i="18" s="1"/>
  <c r="C33" i="18"/>
  <c r="C53" i="18"/>
  <c r="M59" i="16"/>
  <c r="D33" i="17" s="1"/>
  <c r="F7" i="17" s="1"/>
  <c r="G7" i="17" s="1"/>
  <c r="M58" i="16"/>
  <c r="D16" i="17"/>
  <c r="D13" i="17"/>
  <c r="D26" i="17" s="1"/>
  <c r="F11" i="17"/>
  <c r="L31" i="36" l="1"/>
  <c r="L33" i="36" s="1"/>
  <c r="L55" i="36" s="1"/>
  <c r="L22" i="12"/>
  <c r="L24" i="12" s="1"/>
  <c r="H31" i="36"/>
  <c r="H33" i="36" s="1"/>
  <c r="H55" i="36" s="1"/>
  <c r="H22" i="12"/>
  <c r="H24" i="12" s="1"/>
  <c r="I22" i="12"/>
  <c r="I24" i="12" s="1"/>
  <c r="I31" i="36"/>
  <c r="I33" i="36" s="1"/>
  <c r="I55" i="36" s="1"/>
  <c r="C22" i="12"/>
  <c r="C31" i="36"/>
  <c r="C33" i="36" s="1"/>
  <c r="C55" i="36" s="1"/>
  <c r="J22" i="12"/>
  <c r="J24" i="12" s="1"/>
  <c r="J31" i="36"/>
  <c r="J33" i="36" s="1"/>
  <c r="J55" i="36" s="1"/>
  <c r="F22" i="12"/>
  <c r="F24" i="12" s="1"/>
  <c r="F31" i="36"/>
  <c r="F33" i="36" s="1"/>
  <c r="F55" i="36" s="1"/>
  <c r="E22" i="12"/>
  <c r="E31" i="36"/>
  <c r="E33" i="36" s="1"/>
  <c r="E55" i="36" s="1"/>
  <c r="L56" i="36"/>
  <c r="M26" i="40"/>
  <c r="M27" i="40" s="1"/>
  <c r="M37" i="40" s="1"/>
  <c r="M40" i="40" s="1" a="1"/>
  <c r="L43" i="18"/>
  <c r="L55" i="18"/>
  <c r="L61" i="18" s="1"/>
  <c r="H43" i="18"/>
  <c r="H55" i="18"/>
  <c r="H61" i="18" s="1"/>
  <c r="F43" i="18"/>
  <c r="F55" i="18"/>
  <c r="F61" i="18" s="1"/>
  <c r="J43" i="18"/>
  <c r="J55" i="18"/>
  <c r="J61" i="18" s="1"/>
  <c r="I43" i="18"/>
  <c r="I55" i="18"/>
  <c r="I61" i="18" s="1"/>
  <c r="E43" i="18"/>
  <c r="E55" i="18"/>
  <c r="E61" i="18" s="1"/>
  <c r="C43" i="18"/>
  <c r="C55" i="18"/>
  <c r="C61" i="18" s="1"/>
  <c r="F23" i="17"/>
  <c r="F16" i="17" s="1"/>
  <c r="F13" i="17" s="1"/>
  <c r="F26" i="17" s="1"/>
  <c r="F31" i="17" s="1"/>
  <c r="G21" i="17"/>
  <c r="G11" i="17"/>
  <c r="H7" i="17"/>
  <c r="H56" i="36" l="1"/>
  <c r="I26" i="40"/>
  <c r="I27" i="40" s="1"/>
  <c r="I37" i="40" s="1"/>
  <c r="I40" i="40" s="1" a="1"/>
  <c r="J56" i="36"/>
  <c r="K26" i="40"/>
  <c r="K27" i="40" s="1"/>
  <c r="K37" i="40" s="1"/>
  <c r="K40" i="40" s="1" a="1"/>
  <c r="F56" i="36"/>
  <c r="G26" i="40"/>
  <c r="G27" i="40" s="1"/>
  <c r="G37" i="40" s="1"/>
  <c r="G40" i="40" s="1" a="1"/>
  <c r="F26" i="40"/>
  <c r="F27" i="40" s="1"/>
  <c r="F37" i="40" s="1"/>
  <c r="F40" i="40" s="1" a="1"/>
  <c r="E56" i="36"/>
  <c r="I56" i="36"/>
  <c r="J26" i="40"/>
  <c r="J27" i="40" s="1"/>
  <c r="J37" i="40" s="1"/>
  <c r="J40" i="40" s="1" a="1"/>
  <c r="C24" i="12"/>
  <c r="N22" i="12"/>
  <c r="C56" i="36"/>
  <c r="D26" i="40"/>
  <c r="D27" i="40" s="1"/>
  <c r="D37" i="40" s="1"/>
  <c r="D40" i="40" s="1" a="1"/>
  <c r="E24" i="12"/>
  <c r="O24" i="12" s="1"/>
  <c r="O22" i="12"/>
  <c r="N24" i="12"/>
  <c r="G23" i="17"/>
  <c r="G16" i="17" s="1"/>
  <c r="G13" i="17" s="1"/>
  <c r="G26" i="17" s="1"/>
  <c r="G31" i="17" s="1"/>
  <c r="H21" i="17"/>
  <c r="I21" i="17" s="1"/>
  <c r="H11" i="17"/>
  <c r="I7" i="17"/>
  <c r="H23" i="17" l="1"/>
  <c r="H16" i="17" s="1"/>
  <c r="H13" i="17" s="1"/>
  <c r="H26" i="17" s="1"/>
  <c r="H31" i="17" s="1"/>
  <c r="J7" i="17"/>
  <c r="I11" i="17"/>
  <c r="J21" i="17" l="1"/>
  <c r="I23" i="17"/>
  <c r="I16" i="17" s="1"/>
  <c r="I13" i="17" s="1"/>
  <c r="I26" i="17" s="1"/>
  <c r="I31" i="17" s="1"/>
  <c r="J11" i="17"/>
  <c r="K7" i="17"/>
  <c r="K11" i="17" s="1"/>
  <c r="K21" i="17" l="1"/>
  <c r="J23" i="17"/>
  <c r="J16" i="17" s="1"/>
  <c r="J13" i="17" s="1"/>
  <c r="J26" i="17" s="1"/>
  <c r="J31" i="17" s="1"/>
  <c r="K23" i="17" l="1"/>
  <c r="K16" i="17"/>
  <c r="K13" i="17" s="1"/>
  <c r="K26" i="17" s="1"/>
  <c r="K31" i="17" l="1"/>
  <c r="D48" i="17" s="1"/>
  <c r="D39" i="17"/>
  <c r="D42" i="17" s="1"/>
  <c r="D49" i="17" l="1"/>
  <c r="D50" i="17" s="1"/>
  <c r="D55" i="17" s="1"/>
  <c r="D57" i="17" s="1"/>
  <c r="D61" i="17" l="1"/>
  <c r="B64" i="17" s="1"/>
  <c r="G39" i="1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<sst xmlns="http://schemas.openxmlformats.org/spreadsheetml/2006/main" count="17615" uniqueCount="9049">
  <si>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</si>
  <si>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</si>
  <si>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</si>
  <si>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</si>
  <si>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</si>
  <si>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</si>
  <si>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</si>
  <si>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</si>
  <si>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</si>
  <si>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</si>
  <si>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</si>
  <si>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</si>
  <si>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</si>
  <si>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</si>
  <si>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</si>
  <si>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</si>
  <si>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</si>
  <si>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</si>
  <si>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</si>
  <si>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</si>
  <si>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</si>
  <si>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</si>
  <si>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</si>
  <si>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</si>
  <si>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</si>
  <si>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</si>
  <si>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</si>
  <si>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</si>
  <si>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</si>
  <si>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</si>
  <si>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</si>
  <si>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</si>
  <si>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</si>
  <si>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</si>
  <si>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</si>
  <si>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</si>
  <si>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</si>
  <si>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</si>
  <si>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</si>
  <si>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</si>
  <si>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</si>
  <si>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</si>
  <si>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</si>
  <si>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</si>
  <si>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</si>
  <si>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</si>
  <si>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</si>
  <si>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</si>
  <si>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</si>
  <si>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</si>
  <si>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</si>
  <si>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</si>
  <si>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</si>
  <si>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</si>
  <si>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</si>
  <si>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</si>
  <si>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</si>
  <si>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</si>
  <si>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</si>
  <si>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</si>
  <si>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</si>
  <si>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</si>
  <si>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</si>
  <si>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TATA POWER COMPANY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</si>
  <si>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</si>
  <si>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</si>
  <si>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</si>
  <si>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</si>
  <si>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</si>
  <si>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</si>
  <si>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</si>
  <si>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</si>
  <si>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</si>
  <si>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</si>
  <si>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</si>
  <si>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</si>
  <si>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</si>
  <si>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</si>
  <si>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</si>
  <si>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</si>
  <si>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</si>
  <si>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</si>
  <si>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</si>
  <si>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</si>
  <si>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</si>
  <si>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</si>
  <si>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</si>
  <si>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</si>
  <si>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</si>
  <si>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</si>
  <si>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</si>
  <si>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</si>
  <si>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</si>
  <si>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Seasonality</t>
  </si>
  <si>
    <t>FORECAST</t>
  </si>
  <si>
    <t>Year</t>
  </si>
  <si>
    <t>#</t>
  </si>
  <si>
    <t>Income Statement</t>
  </si>
  <si>
    <t xml:space="preserve">Sales Growth </t>
  </si>
  <si>
    <t>COGS</t>
  </si>
  <si>
    <t>COGS % Sales</t>
  </si>
  <si>
    <t>Gross Profit</t>
  </si>
  <si>
    <t>Gross Margin</t>
  </si>
  <si>
    <t>Selling &amp; General Expenses</t>
  </si>
  <si>
    <t>S&amp;G Exp % Sales</t>
  </si>
  <si>
    <t>EBITDA</t>
  </si>
  <si>
    <t>EBITDA Margin</t>
  </si>
  <si>
    <t>Depreciation % Sales</t>
  </si>
  <si>
    <t>EBIT</t>
  </si>
  <si>
    <t xml:space="preserve">EBIT % Sales </t>
  </si>
  <si>
    <t>Other Income/Expences</t>
  </si>
  <si>
    <t xml:space="preserve">OI/E % of Sales </t>
  </si>
  <si>
    <t xml:space="preserve">Interest % of Sales </t>
  </si>
  <si>
    <t>EBT</t>
  </si>
  <si>
    <t xml:space="preserve">EBT % of Sales </t>
  </si>
  <si>
    <t>Tax % of EBT</t>
  </si>
  <si>
    <t>Net Profit</t>
  </si>
  <si>
    <t>Price of Share</t>
  </si>
  <si>
    <t>Price Growth%</t>
  </si>
  <si>
    <t xml:space="preserve">Earning per Share </t>
  </si>
  <si>
    <t>EPS Growth %</t>
  </si>
  <si>
    <t>Dividend per Share</t>
  </si>
  <si>
    <t>Dividend payout ratio</t>
  </si>
  <si>
    <t>Retaioned Earning</t>
  </si>
  <si>
    <t xml:space="preserve"> Balance Sheet</t>
  </si>
  <si>
    <t>Total Assets</t>
  </si>
  <si>
    <t>Check</t>
  </si>
  <si>
    <t>Cash Flow Statement</t>
  </si>
  <si>
    <t>Profit from operations</t>
  </si>
  <si>
    <t>Payables</t>
  </si>
  <si>
    <t>Loans Advances</t>
  </si>
  <si>
    <t>Operating investments</t>
  </si>
  <si>
    <t>Other WC items</t>
  </si>
  <si>
    <t>Working capital changes</t>
  </si>
  <si>
    <t>Direct taxes</t>
  </si>
  <si>
    <t>Fixed assets purchased</t>
  </si>
  <si>
    <t>Fixed assets sold</t>
  </si>
  <si>
    <t>Investments purchased</t>
  </si>
  <si>
    <t>Investments sold</t>
  </si>
  <si>
    <t>Interest received</t>
  </si>
  <si>
    <t>Dividends received</t>
  </si>
  <si>
    <t>Investment in group cos</t>
  </si>
  <si>
    <t>Redemp n Canc of Shares</t>
  </si>
  <si>
    <t>Inter corporate deposits</t>
  </si>
  <si>
    <t>Other investing items</t>
  </si>
  <si>
    <t>Proceeds from shares</t>
  </si>
  <si>
    <t>Proceeds from borrowings</t>
  </si>
  <si>
    <t>Repayment of borrowings</t>
  </si>
  <si>
    <t>Interest paid fin</t>
  </si>
  <si>
    <t>Dividends paid</t>
  </si>
  <si>
    <t>Financial liabilities</t>
  </si>
  <si>
    <t>Other financing items</t>
  </si>
  <si>
    <t>Free Cash Flow</t>
  </si>
  <si>
    <t>Mean</t>
  </si>
  <si>
    <t>Median</t>
  </si>
  <si>
    <t xml:space="preserve">EBITDA Growth </t>
  </si>
  <si>
    <t xml:space="preserve">EBIT Growth </t>
  </si>
  <si>
    <t xml:space="preserve">Net Profit Growth </t>
  </si>
  <si>
    <t xml:space="preserve">Dividend Growth </t>
  </si>
  <si>
    <t xml:space="preserve">Gross Margin </t>
  </si>
  <si>
    <t>EBITDA  Margin</t>
  </si>
  <si>
    <t>EBIT Margin</t>
  </si>
  <si>
    <t>EBT Margin</t>
  </si>
  <si>
    <t>Net Profit Margin</t>
  </si>
  <si>
    <t xml:space="preserve">Sales_Expenses % Sales </t>
  </si>
  <si>
    <t xml:space="preserve">Depreciation % Sales </t>
  </si>
  <si>
    <t xml:space="preserve">Operating_Income % Sales </t>
  </si>
  <si>
    <t>Return On Capital Employed(ROCE)</t>
  </si>
  <si>
    <t>Retained Earning%</t>
  </si>
  <si>
    <t>Return on Equity% (ROE)</t>
  </si>
  <si>
    <t xml:space="preserve">Self Sustained Growth Rate </t>
  </si>
  <si>
    <t>Interest Covarage Ratio</t>
  </si>
  <si>
    <t>Debtor Turnover Ratio</t>
  </si>
  <si>
    <t>Creditor Turnover Ratio</t>
  </si>
  <si>
    <t xml:space="preserve">Inventory Turnover </t>
  </si>
  <si>
    <t>Fixed Asset Turnover</t>
  </si>
  <si>
    <t>Capital Turnover Ratio</t>
  </si>
  <si>
    <t>Debtor Days (DSO)</t>
  </si>
  <si>
    <t>Payable Days (DPO)</t>
  </si>
  <si>
    <t>Inventory Days (DIO)</t>
  </si>
  <si>
    <t>Cash Convertion Cycle (CCC)(in Days)</t>
  </si>
  <si>
    <t>CFO/Sales</t>
  </si>
  <si>
    <t>CFO/Total Assets</t>
  </si>
  <si>
    <t>CFO/Total Debt</t>
  </si>
  <si>
    <t xml:space="preserve">Dividend </t>
  </si>
  <si>
    <r>
      <t>Cash from Operating Activity </t>
    </r>
    <r>
      <rPr>
        <sz val="11"/>
        <color rgb="FF665EFD"/>
        <rFont val="Arial"/>
        <family val="2"/>
      </rPr>
      <t>-</t>
    </r>
  </si>
  <si>
    <r>
      <t>Cash from Investing Activity </t>
    </r>
    <r>
      <rPr>
        <sz val="11"/>
        <color rgb="FF665EFD"/>
        <rFont val="Arial"/>
        <family val="2"/>
      </rPr>
      <t>-</t>
    </r>
  </si>
  <si>
    <r>
      <t>Cash from Financing Activity </t>
    </r>
    <r>
      <rPr>
        <sz val="11"/>
        <color rgb="FF665EFD"/>
        <rFont val="Arial"/>
        <family val="2"/>
      </rPr>
      <t>-</t>
    </r>
  </si>
  <si>
    <t>Debt/</t>
  </si>
  <si>
    <t>Name of the Comp</t>
  </si>
  <si>
    <t>Country</t>
  </si>
  <si>
    <t>Total Debt</t>
  </si>
  <si>
    <t>Total Equity</t>
  </si>
  <si>
    <r>
      <rPr>
        <sz val="11"/>
        <color theme="1"/>
        <rFont val="Calibri"/>
        <family val="2"/>
      </rPr>
      <t xml:space="preserve">Tax Rate </t>
    </r>
    <r>
      <rPr>
        <vertAlign val="superscript"/>
        <sz val="11"/>
        <color theme="1"/>
        <rFont val="Calibri"/>
        <family val="2"/>
      </rPr>
      <t>1</t>
    </r>
  </si>
  <si>
    <t>Equity</t>
  </si>
  <si>
    <t xml:space="preserve">Capital </t>
  </si>
  <si>
    <r>
      <rPr>
        <sz val="11"/>
        <color theme="1"/>
        <rFont val="Calibri"/>
        <family val="2"/>
      </rPr>
      <t xml:space="preserve">Beta </t>
    </r>
    <r>
      <rPr>
        <vertAlign val="superscript"/>
        <sz val="11"/>
        <color theme="1"/>
        <rFont val="Calibri"/>
        <family val="2"/>
      </rPr>
      <t>2</t>
    </r>
  </si>
  <si>
    <r>
      <rPr>
        <sz val="11"/>
        <color theme="1"/>
        <rFont val="Calibri"/>
        <family val="2"/>
      </rPr>
      <t>Beta</t>
    </r>
    <r>
      <rPr>
        <vertAlign val="superscript"/>
        <sz val="11"/>
        <color theme="1"/>
        <rFont val="Calibri"/>
        <family val="2"/>
      </rPr>
      <t xml:space="preserve"> 3</t>
    </r>
  </si>
  <si>
    <t>India</t>
  </si>
  <si>
    <t>Cost of Debt</t>
  </si>
  <si>
    <t>Cost of Equity</t>
  </si>
  <si>
    <t xml:space="preserve">Pre Tax Cost of Debt </t>
  </si>
  <si>
    <t>Risk Free Rate</t>
  </si>
  <si>
    <t>Equity Risk Premium</t>
  </si>
  <si>
    <t xml:space="preserve">Post Tax Cost of Debt </t>
  </si>
  <si>
    <t>Capital Structure</t>
  </si>
  <si>
    <t>Current</t>
  </si>
  <si>
    <t>Target</t>
  </si>
  <si>
    <t xml:space="preserve">Total Debt </t>
  </si>
  <si>
    <t>Target Debt/Equity</t>
  </si>
  <si>
    <t>Tax Rate</t>
  </si>
  <si>
    <t>Total Capital</t>
  </si>
  <si>
    <t>Debt/Equity</t>
  </si>
  <si>
    <t>Total Cost</t>
  </si>
  <si>
    <t xml:space="preserve">Total Weight </t>
  </si>
  <si>
    <t>Debt</t>
  </si>
  <si>
    <t>WACC</t>
  </si>
  <si>
    <t>Calculation of ROIC</t>
  </si>
  <si>
    <t>Current Assets</t>
  </si>
  <si>
    <t xml:space="preserve">Total Current Assets </t>
  </si>
  <si>
    <t>Current Liabilities</t>
  </si>
  <si>
    <t>Trade Payables</t>
  </si>
  <si>
    <t>Advance from Customers</t>
  </si>
  <si>
    <t>Other liability items</t>
  </si>
  <si>
    <t>Total Current Liabilities</t>
  </si>
  <si>
    <t>Net Working Capital</t>
  </si>
  <si>
    <t>NON Current Assets</t>
  </si>
  <si>
    <t xml:space="preserve">Invested Capital </t>
  </si>
  <si>
    <t>ROIC</t>
  </si>
  <si>
    <t xml:space="preserve">Calculation of Reinvestment Rate </t>
  </si>
  <si>
    <t>Net Capx</t>
  </si>
  <si>
    <t>Change in Working Capital (NON Cash)</t>
  </si>
  <si>
    <t xml:space="preserve">EBIT </t>
  </si>
  <si>
    <t xml:space="preserve">Marginal Tax Rate </t>
  </si>
  <si>
    <t>EBIT (1-tax) (NOPAT)</t>
  </si>
  <si>
    <t xml:space="preserve"> </t>
  </si>
  <si>
    <t>Reinvestment</t>
  </si>
  <si>
    <t xml:space="preserve">Reinvestment Rate </t>
  </si>
  <si>
    <t xml:space="preserve">4 year Median </t>
  </si>
  <si>
    <t xml:space="preserve">Intrinsic Growth Rate </t>
  </si>
  <si>
    <t>Calculation of PV of FCFF</t>
  </si>
  <si>
    <t>EBIT(1-T)(NOPAT)</t>
  </si>
  <si>
    <t xml:space="preserve">Less- Reinvestment Rate </t>
  </si>
  <si>
    <t>Free Cash Flow to Firm (FCFF)</t>
  </si>
  <si>
    <t xml:space="preserve">Mid Year Convention </t>
  </si>
  <si>
    <t xml:space="preserve">Discounting Factor </t>
  </si>
  <si>
    <t xml:space="preserve">PV of FCFF </t>
  </si>
  <si>
    <t xml:space="preserve">Expected Growth </t>
  </si>
  <si>
    <t xml:space="preserve">Calculation of Terminal Value </t>
  </si>
  <si>
    <t>FCFF(n+1)</t>
  </si>
  <si>
    <t xml:space="preserve">Terminal growth Rate </t>
  </si>
  <si>
    <t xml:space="preserve">Terminal Value </t>
  </si>
  <si>
    <t>Calculation of EQUITY PRICE</t>
  </si>
  <si>
    <t>PV of FCFF</t>
  </si>
  <si>
    <t xml:space="preserve">PV of Terminal Value </t>
  </si>
  <si>
    <t>Add- Cash</t>
  </si>
  <si>
    <t>Less- Debt</t>
  </si>
  <si>
    <t>Value of Equity</t>
  </si>
  <si>
    <t>No. of Shares</t>
  </si>
  <si>
    <t>AVENUE SUPERMART LTD.</t>
  </si>
  <si>
    <t xml:space="preserve">About the Company </t>
  </si>
  <si>
    <t xml:space="preserve">Net Profit </t>
  </si>
  <si>
    <t>Net Profit Margin(A)</t>
  </si>
  <si>
    <t>Revenue</t>
  </si>
  <si>
    <t xml:space="preserve">Average Shareholder Equity </t>
  </si>
  <si>
    <t>Equity Multiplier (c)</t>
  </si>
  <si>
    <t>Return On Equity(A*B*C)</t>
  </si>
  <si>
    <t>Return on Assets</t>
  </si>
  <si>
    <t>Perticulers</t>
  </si>
  <si>
    <t xml:space="preserve">Market Data </t>
  </si>
  <si>
    <t>Market Data</t>
  </si>
  <si>
    <t>Valuation</t>
  </si>
  <si>
    <t xml:space="preserve">Company Ticker </t>
  </si>
  <si>
    <t>Ticker</t>
  </si>
  <si>
    <t xml:space="preserve">Share Price </t>
  </si>
  <si>
    <t xml:space="preserve">Share Outstanding </t>
  </si>
  <si>
    <t xml:space="preserve">Equity Value </t>
  </si>
  <si>
    <t>Net Debt</t>
  </si>
  <si>
    <t xml:space="preserve">Revenue </t>
  </si>
  <si>
    <t>EBIDTA</t>
  </si>
  <si>
    <t xml:space="preserve">Net Income </t>
  </si>
  <si>
    <t>EV/Revenue</t>
  </si>
  <si>
    <t>EV/EBITDA</t>
  </si>
  <si>
    <t>P/E</t>
  </si>
  <si>
    <t xml:space="preserve">High </t>
  </si>
  <si>
    <t xml:space="preserve">Average </t>
  </si>
  <si>
    <t>Low</t>
  </si>
  <si>
    <t xml:space="preserve">Net Debt </t>
  </si>
  <si>
    <t xml:space="preserve">Implied Market Value </t>
  </si>
  <si>
    <t>Share Outstanding</t>
  </si>
  <si>
    <t>Date</t>
  </si>
  <si>
    <t>Open</t>
  </si>
  <si>
    <t>High</t>
  </si>
  <si>
    <t>Vol.</t>
  </si>
  <si>
    <t>Change %</t>
  </si>
  <si>
    <t>1.87B</t>
  </si>
  <si>
    <t>2.16B</t>
  </si>
  <si>
    <t>2.47B</t>
  </si>
  <si>
    <t>1.86B</t>
  </si>
  <si>
    <t>2.09B</t>
  </si>
  <si>
    <t>1.99B</t>
  </si>
  <si>
    <t>2.02B</t>
  </si>
  <si>
    <t>2.19B</t>
  </si>
  <si>
    <t>1.96B</t>
  </si>
  <si>
    <t>2.49B</t>
  </si>
  <si>
    <t>1.71B</t>
  </si>
  <si>
    <t>2.21B</t>
  </si>
  <si>
    <t>2.60B</t>
  </si>
  <si>
    <t>2.40B</t>
  </si>
  <si>
    <t>2.06B</t>
  </si>
  <si>
    <t>2.01B</t>
  </si>
  <si>
    <t>1.52B</t>
  </si>
  <si>
    <t>2.61B</t>
  </si>
  <si>
    <t>2.28B</t>
  </si>
  <si>
    <t>2.13B</t>
  </si>
  <si>
    <t>1.44B</t>
  </si>
  <si>
    <t>1.74B</t>
  </si>
  <si>
    <t>1.66B</t>
  </si>
  <si>
    <t>800.63M</t>
  </si>
  <si>
    <t>1.23B</t>
  </si>
  <si>
    <t>1.29B</t>
  </si>
  <si>
    <t>1.76B</t>
  </si>
  <si>
    <t>1.01B</t>
  </si>
  <si>
    <t>1.58B</t>
  </si>
  <si>
    <t>1.08B</t>
  </si>
  <si>
    <t>1.61B</t>
  </si>
  <si>
    <t>1.30B</t>
  </si>
  <si>
    <t>1.37B</t>
  </si>
  <si>
    <t>1.43B</t>
  </si>
  <si>
    <t>1.35B</t>
  </si>
  <si>
    <t>1.13B</t>
  </si>
  <si>
    <t>1.62B</t>
  </si>
  <si>
    <t>1.34B</t>
  </si>
  <si>
    <t>984.32M</t>
  </si>
  <si>
    <t>1.67B</t>
  </si>
  <si>
    <t>1.40B</t>
  </si>
  <si>
    <t>1.68B</t>
  </si>
  <si>
    <t>1.12B</t>
  </si>
  <si>
    <t>1.33B</t>
  </si>
  <si>
    <t>1.95B</t>
  </si>
  <si>
    <t>1.64B</t>
  </si>
  <si>
    <t>1.53B</t>
  </si>
  <si>
    <t>2.71B</t>
  </si>
  <si>
    <t>2.07B</t>
  </si>
  <si>
    <t>1.24B</t>
  </si>
  <si>
    <t>1.90B</t>
  </si>
  <si>
    <t>1.41B</t>
  </si>
  <si>
    <t>1.73B</t>
  </si>
  <si>
    <t>1.70B</t>
  </si>
  <si>
    <t>1.50B</t>
  </si>
  <si>
    <t>1.31B</t>
  </si>
  <si>
    <t>1.11B</t>
  </si>
  <si>
    <t>1.93B</t>
  </si>
  <si>
    <t>1.51B</t>
  </si>
  <si>
    <t>721.93M</t>
  </si>
  <si>
    <t>1.27B</t>
  </si>
  <si>
    <t>1.09B</t>
  </si>
  <si>
    <t>1.55B</t>
  </si>
  <si>
    <t>1.22B</t>
  </si>
  <si>
    <t>1.47B</t>
  </si>
  <si>
    <t>1.39B</t>
  </si>
  <si>
    <t>1.45B</t>
  </si>
  <si>
    <t>1.42B</t>
  </si>
  <si>
    <t>1.65B</t>
  </si>
  <si>
    <t>1.17B</t>
  </si>
  <si>
    <t>1.85B</t>
  </si>
  <si>
    <t>1.28B</t>
  </si>
  <si>
    <t>32.80M</t>
  </si>
  <si>
    <t>23.94M</t>
  </si>
  <si>
    <t>20.90M</t>
  </si>
  <si>
    <t>27.34M</t>
  </si>
  <si>
    <t>27.27M</t>
  </si>
  <si>
    <t>42.08M</t>
  </si>
  <si>
    <t>25.50M</t>
  </si>
  <si>
    <t>46.09M</t>
  </si>
  <si>
    <t>42.75M</t>
  </si>
  <si>
    <t>59.70M</t>
  </si>
  <si>
    <t>33.04M</t>
  </si>
  <si>
    <t>25.05M</t>
  </si>
  <si>
    <t>41.80M</t>
  </si>
  <si>
    <t>60.74M</t>
  </si>
  <si>
    <t>56.50M</t>
  </si>
  <si>
    <t>21.08M</t>
  </si>
  <si>
    <t>15.75M</t>
  </si>
  <si>
    <t>15.88M</t>
  </si>
  <si>
    <t>18.70M</t>
  </si>
  <si>
    <t>22.76M</t>
  </si>
  <si>
    <t>21.13M</t>
  </si>
  <si>
    <t>16.05M</t>
  </si>
  <si>
    <t>15.64M</t>
  </si>
  <si>
    <t>21.46M</t>
  </si>
  <si>
    <t>20.97M</t>
  </si>
  <si>
    <t>13.29M</t>
  </si>
  <si>
    <t>15.42M</t>
  </si>
  <si>
    <t>25.51M</t>
  </si>
  <si>
    <t>19.73M</t>
  </si>
  <si>
    <t>26.15M</t>
  </si>
  <si>
    <t>21.96M</t>
  </si>
  <si>
    <t>24.91M</t>
  </si>
  <si>
    <t>20.00M</t>
  </si>
  <si>
    <t>26.55M</t>
  </si>
  <si>
    <t>15.11M</t>
  </si>
  <si>
    <t>24.54M</t>
  </si>
  <si>
    <t>27.89M</t>
  </si>
  <si>
    <t>13.68M</t>
  </si>
  <si>
    <t>17.12M</t>
  </si>
  <si>
    <t>27.58M</t>
  </si>
  <si>
    <t>16.83M</t>
  </si>
  <si>
    <t>15.63M</t>
  </si>
  <si>
    <t>21.28M</t>
  </si>
  <si>
    <t>14.40M</t>
  </si>
  <si>
    <t>12.32M</t>
  </si>
  <si>
    <t>34.56M</t>
  </si>
  <si>
    <t>27.79M</t>
  </si>
  <si>
    <t>24.66M</t>
  </si>
  <si>
    <t>32.82M</t>
  </si>
  <si>
    <t>27.28M</t>
  </si>
  <si>
    <t>23.80M</t>
  </si>
  <si>
    <t>28.13M</t>
  </si>
  <si>
    <t>29.58M</t>
  </si>
  <si>
    <t>32.94M</t>
  </si>
  <si>
    <t>27.30M</t>
  </si>
  <si>
    <t>25.40M</t>
  </si>
  <si>
    <t>26.85M</t>
  </si>
  <si>
    <t>55.60M</t>
  </si>
  <si>
    <t>31.61M</t>
  </si>
  <si>
    <t>30.36M</t>
  </si>
  <si>
    <t>43.09M</t>
  </si>
  <si>
    <t>19.26M</t>
  </si>
  <si>
    <t>25.75M</t>
  </si>
  <si>
    <t>20.89M</t>
  </si>
  <si>
    <t>33.03M</t>
  </si>
  <si>
    <t>31.21M</t>
  </si>
  <si>
    <t>31.40M</t>
  </si>
  <si>
    <t>22.63M</t>
  </si>
  <si>
    <t>36.06M</t>
  </si>
  <si>
    <t>31.97M</t>
  </si>
  <si>
    <t>59.95M</t>
  </si>
  <si>
    <t>36.79M</t>
  </si>
  <si>
    <t>27.32M</t>
  </si>
  <si>
    <t>45.52M</t>
  </si>
  <si>
    <t>43.16M</t>
  </si>
  <si>
    <t>62.61M</t>
  </si>
  <si>
    <t>30.42M</t>
  </si>
  <si>
    <t>34.46M</t>
  </si>
  <si>
    <t>43.17M</t>
  </si>
  <si>
    <t>56.89M</t>
  </si>
  <si>
    <t>53.72M</t>
  </si>
  <si>
    <t>44.10M</t>
  </si>
  <si>
    <t>43.71M</t>
  </si>
  <si>
    <t>53.94M</t>
  </si>
  <si>
    <t>62.09M</t>
  </si>
  <si>
    <t>62.48M</t>
  </si>
  <si>
    <t>50.37M</t>
  </si>
  <si>
    <t>85.45M</t>
  </si>
  <si>
    <t>59.21M</t>
  </si>
  <si>
    <t>134.89M</t>
  </si>
  <si>
    <t>51.17M</t>
  </si>
  <si>
    <t>88.56M</t>
  </si>
  <si>
    <t>52.28M</t>
  </si>
  <si>
    <t>59.71M</t>
  </si>
  <si>
    <t>36.89M</t>
  </si>
  <si>
    <t>48.05M</t>
  </si>
  <si>
    <t>114.90M</t>
  </si>
  <si>
    <t>107.76M</t>
  </si>
  <si>
    <t>82.64M</t>
  </si>
  <si>
    <t>45.94M</t>
  </si>
  <si>
    <t>39.36M</t>
  </si>
  <si>
    <t>44.13M</t>
  </si>
  <si>
    <t>54.40M</t>
  </si>
  <si>
    <t xml:space="preserve">Return </t>
  </si>
  <si>
    <t xml:space="preserve">Nifty 50 </t>
  </si>
  <si>
    <t xml:space="preserve">Tata Power Ltd. </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</si>
  <si>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</si>
  <si>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</si>
  <si>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</si>
  <si>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</si>
  <si>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</si>
  <si>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</si>
  <si>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</si>
  <si>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</si>
  <si>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</si>
  <si>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</si>
  <si>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</si>
  <si>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</si>
  <si>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</si>
  <si>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</si>
  <si>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</si>
  <si>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</si>
  <si>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</si>
  <si>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</si>
  <si>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</si>
  <si>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</si>
  <si>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</si>
  <si>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</si>
  <si>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</si>
  <si>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</si>
  <si>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 xml:space="preserve">Beta </t>
  </si>
  <si>
    <t xml:space="preserve">Correlation </t>
  </si>
  <si>
    <t>Moody's rating</t>
  </si>
  <si>
    <t>Adj. Default Spread</t>
  </si>
  <si>
    <t>Country Risk Premium</t>
  </si>
  <si>
    <t>Corporate Tax Rate</t>
  </si>
  <si>
    <t>Baa3</t>
  </si>
  <si>
    <t>Aa1</t>
  </si>
  <si>
    <t>United States</t>
  </si>
  <si>
    <t>Data from -</t>
  </si>
  <si>
    <t>https://pages.stern.nyu.edu/~adamodar/New_Home_Page/datafile/ctryprem.html</t>
  </si>
  <si>
    <t>Indian Market Return</t>
  </si>
  <si>
    <t xml:space="preserve">ERP india - rating </t>
  </si>
  <si>
    <t xml:space="preserve">ERP India - returns </t>
  </si>
  <si>
    <t>Tata Power Co.</t>
  </si>
  <si>
    <t>Current Debt/Equity</t>
  </si>
  <si>
    <t>Land</t>
  </si>
  <si>
    <t>Building</t>
  </si>
  <si>
    <t>Plant Machinery</t>
  </si>
  <si>
    <t>Equipments</t>
  </si>
  <si>
    <t>Furniture n fittings</t>
  </si>
  <si>
    <t>Railway sidings</t>
  </si>
  <si>
    <t>Vehicles</t>
  </si>
  <si>
    <t>Intangible Assets</t>
  </si>
  <si>
    <t>Other fixed assets</t>
  </si>
  <si>
    <t>Gross Block</t>
  </si>
  <si>
    <t>Accumulated Depreciation</t>
  </si>
  <si>
    <t>CWIP</t>
  </si>
  <si>
    <t>Inventories</t>
  </si>
  <si>
    <t>Cash Equivalents</t>
  </si>
  <si>
    <t>Loans n Advances</t>
  </si>
  <si>
    <t>Other asset items</t>
  </si>
  <si>
    <t>Trade receivables</t>
  </si>
  <si>
    <t xml:space="preserve">Investments </t>
  </si>
  <si>
    <t xml:space="preserve">Total Non current Assets </t>
  </si>
  <si>
    <t xml:space="preserve">NON Current Liability </t>
  </si>
  <si>
    <t xml:space="preserve">Equity </t>
  </si>
  <si>
    <t xml:space="preserve">Reservbes </t>
  </si>
  <si>
    <t xml:space="preserve">non Contolling Int </t>
  </si>
  <si>
    <t xml:space="preserve">Total Non current Liability </t>
  </si>
  <si>
    <t>Beta (Market)</t>
  </si>
  <si>
    <t>Total Liability</t>
  </si>
  <si>
    <t xml:space="preserve">Fixed Assetcs net Block </t>
  </si>
  <si>
    <t>NOPAT</t>
  </si>
  <si>
    <t xml:space="preserve">Selected Case </t>
  </si>
  <si>
    <t xml:space="preserve">Best Case </t>
  </si>
  <si>
    <t xml:space="preserve">Base Case </t>
  </si>
  <si>
    <t xml:space="preserve">Worst Case </t>
  </si>
  <si>
    <t>Adani Power</t>
  </si>
  <si>
    <t>NTPC</t>
  </si>
  <si>
    <t>Power Grid Corpn</t>
  </si>
  <si>
    <t>Adani Green</t>
  </si>
  <si>
    <t>Adani Energy Sol</t>
  </si>
  <si>
    <t>JSW Energy</t>
  </si>
  <si>
    <t>NTPC Green Ene.</t>
  </si>
  <si>
    <t>NHPC Ltd</t>
  </si>
  <si>
    <t>Torrent Power</t>
  </si>
  <si>
    <t>NLC India</t>
  </si>
  <si>
    <t>SJVN</t>
  </si>
  <si>
    <t>ACME Solar Hold.</t>
  </si>
  <si>
    <t>CESC</t>
  </si>
  <si>
    <t>IndiGrid Trust</t>
  </si>
  <si>
    <t>S.No.</t>
  </si>
  <si>
    <t>Nava</t>
  </si>
  <si>
    <t>Clean Max Enviro</t>
  </si>
  <si>
    <t>JP Power Ven.</t>
  </si>
  <si>
    <t>Powergrid Infra.</t>
  </si>
  <si>
    <t>KPI Green Energy</t>
  </si>
  <si>
    <t>GMR Urban</t>
  </si>
  <si>
    <t>PTC India</t>
  </si>
  <si>
    <t>RattanIndia Pow.</t>
  </si>
  <si>
    <t>Sustainable Ener</t>
  </si>
  <si>
    <t xml:space="preserve">Cash equivalent </t>
  </si>
  <si>
    <t xml:space="preserve">Cash Equivalent </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</si>
  <si>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</si>
  <si>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</si>
  <si>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</si>
  <si>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</si>
  <si>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</si>
  <si>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</si>
  <si>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</si>
  <si>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</si>
  <si>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</si>
  <si>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</si>
  <si>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</si>
  <si>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</si>
  <si>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</si>
  <si>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</si>
  <si>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</si>
  <si>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</si>
  <si>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</si>
  <si>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</si>
  <si>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</si>
  <si>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</si>
  <si>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</si>
  <si>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</si>
  <si>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</si>
  <si>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</si>
  <si>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</si>
  <si>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</si>
  <si>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</si>
  <si>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</si>
  <si>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</si>
  <si>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</si>
  <si>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</si>
  <si>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</si>
  <si>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</si>
  <si>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</si>
  <si>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</si>
  <si>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</si>
  <si>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</si>
  <si>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</si>
  <si>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</si>
  <si>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</si>
  <si>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</si>
  <si>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</si>
  <si>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</si>
  <si>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</si>
  <si>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</si>
  <si>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</si>
  <si>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</si>
  <si>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</si>
  <si>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</si>
  <si>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</si>
  <si>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</si>
  <si>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</si>
  <si>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</si>
  <si>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</si>
  <si>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</si>
  <si>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</si>
  <si>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</si>
  <si>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</si>
  <si>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</si>
  <si>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</si>
  <si>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</si>
  <si>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</si>
  <si>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</si>
  <si>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</si>
  <si>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</si>
  <si>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</si>
  <si>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</si>
  <si>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</si>
  <si>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</si>
  <si>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</si>
  <si>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</si>
  <si>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</si>
  <si>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</si>
  <si>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</si>
  <si>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</si>
  <si>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</si>
  <si>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</si>
  <si>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</si>
  <si>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</si>
  <si>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</si>
  <si>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</si>
  <si>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</si>
  <si>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</si>
  <si>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</si>
  <si>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</si>
  <si>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</si>
  <si>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</si>
  <si>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</si>
  <si>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</si>
  <si>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</si>
  <si>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</si>
  <si>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</si>
  <si>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</si>
  <si>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</si>
  <si>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</si>
  <si>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</si>
  <si>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</si>
  <si>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</si>
  <si>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</si>
  <si>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</si>
  <si>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</si>
  <si>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</si>
  <si>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</si>
  <si>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</si>
  <si>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</si>
  <si>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</si>
  <si>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</si>
  <si>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</si>
  <si>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</si>
  <si>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</si>
  <si>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</si>
  <si>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</si>
  <si>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</si>
  <si>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</si>
  <si>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</si>
  <si>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</si>
  <si>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</si>
  <si>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</si>
  <si>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</si>
  <si>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</si>
  <si>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</si>
  <si>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</si>
  <si>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</si>
  <si>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</si>
  <si>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</si>
  <si>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</si>
  <si>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</si>
  <si>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</si>
  <si>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</si>
  <si>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</si>
  <si>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</si>
  <si>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</si>
  <si>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</si>
  <si>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</si>
  <si>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</si>
  <si>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</si>
  <si>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</si>
  <si>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</si>
  <si>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</si>
  <si>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</si>
  <si>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</si>
  <si>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</si>
  <si>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</si>
  <si>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</si>
  <si>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</si>
  <si>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</si>
  <si>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</si>
  <si>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</si>
  <si>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</si>
  <si>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</si>
  <si>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</si>
  <si>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</si>
  <si>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</si>
  <si>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</si>
  <si>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</si>
  <si>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</si>
  <si>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</si>
  <si>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</si>
  <si>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</si>
  <si>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</si>
  <si>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</si>
  <si>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</si>
  <si>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</si>
  <si>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</si>
  <si>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</si>
  <si>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</si>
  <si>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</si>
  <si>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</si>
  <si>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</si>
  <si>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</si>
  <si>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</si>
  <si>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</si>
  <si>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</si>
  <si>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</si>
  <si>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</si>
  <si>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</si>
  <si>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</si>
  <si>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</si>
  <si>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</si>
  <si>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</si>
  <si>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</si>
  <si>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</si>
  <si>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</si>
  <si>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</si>
  <si>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</si>
  <si>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</si>
  <si>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</si>
  <si>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</si>
  <si>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</si>
  <si>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</si>
  <si>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</si>
  <si>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</si>
  <si>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</si>
  <si>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</si>
  <si>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</si>
  <si>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</si>
  <si>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</si>
  <si>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</si>
  <si>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</si>
  <si>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</si>
  <si>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</si>
  <si>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</si>
  <si>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</si>
  <si>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</si>
  <si>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</si>
  <si>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</si>
  <si>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</si>
  <si>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</si>
  <si>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</si>
  <si>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</si>
  <si>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</si>
  <si>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</si>
  <si>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</si>
  <si>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</si>
  <si>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</si>
  <si>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</si>
  <si>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</si>
  <si>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</si>
  <si>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</si>
  <si>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</si>
  <si>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</si>
  <si>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</si>
  <si>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</si>
  <si>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</si>
  <si>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</si>
  <si>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</si>
  <si>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</si>
  <si>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</si>
  <si>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</si>
  <si>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</si>
  <si>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</si>
  <si>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</si>
  <si>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</si>
  <si>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</si>
  <si>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</si>
  <si>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</si>
  <si>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</si>
  <si>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</si>
  <si>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</si>
  <si>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</si>
  <si>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</si>
  <si>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</si>
  <si>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</si>
  <si>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</si>
  <si>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</si>
  <si>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</si>
  <si>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</si>
  <si>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</si>
  <si>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</si>
  <si>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</si>
  <si>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</si>
  <si>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</si>
  <si>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</si>
  <si>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</si>
  <si>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</si>
  <si>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</si>
  <si>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</si>
  <si>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</si>
  <si>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</si>
  <si>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</si>
  <si>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</si>
  <si>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</si>
  <si>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</si>
  <si>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</si>
  <si>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</si>
  <si>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</si>
  <si>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</si>
  <si>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</si>
  <si>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</si>
  <si>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</si>
  <si>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</si>
  <si>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</si>
  <si>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</si>
  <si>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</si>
  <si>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</si>
  <si>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</si>
  <si>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</si>
  <si>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</si>
  <si>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</si>
  <si>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</si>
  <si>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</si>
  <si>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</si>
  <si>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</si>
  <si>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</si>
  <si>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</si>
  <si>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</si>
  <si>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</si>
  <si>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</si>
  <si>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</si>
  <si>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</si>
  <si>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</si>
  <si>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</si>
  <si>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</si>
  <si>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</si>
  <si>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</si>
  <si>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</si>
  <si>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</si>
  <si>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</si>
  <si>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</si>
  <si>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</si>
  <si>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</si>
  <si>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</si>
  <si>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</si>
  <si>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</si>
  <si>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</si>
  <si>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</si>
  <si>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</si>
  <si>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</si>
  <si>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</si>
  <si>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</si>
  <si>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</si>
  <si>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</si>
  <si>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</si>
  <si>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</si>
  <si>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</si>
  <si>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</si>
  <si>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</si>
  <si>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</si>
  <si>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</si>
  <si>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</si>
  <si>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</si>
  <si>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</si>
  <si>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</si>
  <si>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</si>
  <si>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</si>
  <si>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</si>
  <si>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</si>
  <si>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</si>
  <si>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</si>
  <si>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</si>
  <si>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</si>
  <si>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</si>
  <si>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</si>
  <si>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</si>
  <si>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</si>
  <si>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</si>
  <si>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</si>
  <si>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</si>
  <si>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</si>
  <si>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</si>
  <si>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</si>
  <si>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</si>
  <si>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</si>
  <si>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</si>
  <si>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</si>
  <si>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</si>
  <si>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</si>
  <si>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</si>
  <si>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</si>
  <si>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</si>
  <si>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</si>
  <si>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</si>
  <si>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</si>
  <si>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</si>
  <si>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</si>
  <si>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</si>
  <si>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</si>
  <si>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</si>
  <si>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</si>
  <si>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</si>
  <si>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</si>
  <si>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</si>
  <si>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</si>
  <si>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</si>
  <si>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</si>
  <si>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</si>
  <si>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</si>
  <si>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</si>
  <si>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</si>
  <si>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</si>
  <si>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</si>
  <si>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</si>
  <si>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</si>
  <si>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</si>
  <si>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</si>
  <si>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</si>
  <si>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</si>
  <si>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</si>
  <si>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</si>
  <si>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</si>
  <si>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</si>
  <si>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</si>
  <si>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</si>
  <si>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</si>
  <si>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</si>
  <si>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</si>
  <si>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</si>
  <si>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</si>
  <si>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</si>
  <si>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</si>
  <si>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</si>
  <si>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</si>
  <si>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</si>
  <si>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</si>
  <si>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</si>
  <si>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</si>
  <si>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</si>
  <si>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</si>
  <si>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</si>
  <si>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</si>
  <si>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</si>
  <si>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</si>
  <si>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</si>
  <si>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</si>
  <si>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</si>
  <si>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</si>
  <si>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</si>
  <si>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</si>
  <si>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</si>
  <si>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</si>
  <si>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</si>
  <si>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</si>
  <si>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</si>
  <si>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</si>
  <si>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</si>
  <si>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</si>
  <si>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</si>
  <si>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</si>
  <si>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</si>
  <si>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</si>
  <si>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</si>
  <si>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</si>
  <si>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</si>
  <si>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</si>
  <si>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</si>
  <si>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</si>
  <si>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</si>
  <si>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</si>
  <si>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</si>
  <si>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</si>
  <si>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</si>
  <si>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</si>
  <si>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</si>
  <si>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</si>
  <si>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</si>
  <si>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</si>
  <si>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</si>
  <si>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</si>
  <si>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</si>
  <si>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</si>
  <si>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</si>
  <si>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</si>
  <si>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</si>
  <si>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</si>
  <si>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</si>
  <si>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</si>
  <si>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</si>
  <si>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</si>
  <si>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</si>
  <si>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</si>
  <si>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</si>
  <si>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</si>
  <si>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</si>
  <si>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</si>
  <si>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</si>
  <si>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</si>
  <si>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</si>
  <si>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</si>
  <si>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</si>
  <si>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</si>
  <si>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</si>
  <si>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</si>
  <si>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</si>
  <si>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</si>
  <si>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</si>
  <si>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</si>
  <si>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</si>
  <si>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</si>
  <si>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</si>
  <si>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</si>
  <si>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</si>
  <si>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</si>
  <si>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</si>
  <si>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</si>
  <si>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</si>
  <si>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</si>
  <si>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</si>
  <si>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</si>
  <si>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</si>
  <si>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</si>
  <si>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</si>
  <si>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</si>
  <si>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</si>
  <si>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</si>
  <si>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</si>
  <si>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</si>
  <si>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</si>
  <si>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</si>
  <si>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</si>
  <si>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</si>
  <si>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</si>
  <si>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</si>
  <si>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</si>
  <si>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</si>
  <si>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</si>
  <si>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</si>
  <si>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</si>
  <si>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</si>
  <si>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</si>
  <si>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</si>
  <si>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</si>
  <si>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</si>
  <si>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</si>
  <si>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</si>
  <si>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</si>
  <si>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</si>
  <si>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</si>
  <si>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</si>
  <si>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</si>
  <si>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</si>
  <si>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</si>
  <si>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</si>
  <si>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</si>
  <si>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</si>
  <si>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</si>
  <si>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</si>
  <si>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</si>
  <si>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</si>
  <si>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</si>
  <si>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</si>
  <si>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</si>
  <si>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</si>
  <si>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</si>
  <si>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</si>
  <si>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</si>
  <si>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</si>
  <si>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</si>
  <si>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</si>
  <si>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</si>
  <si>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</si>
  <si>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</si>
  <si>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</si>
  <si>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</si>
  <si>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</si>
  <si>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</si>
  <si>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</si>
  <si>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</si>
  <si>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</si>
  <si>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</si>
  <si>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</si>
  <si>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</si>
  <si>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</si>
  <si>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</si>
  <si>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</si>
  <si>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</si>
  <si>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</si>
  <si>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</si>
  <si>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</si>
  <si>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</si>
  <si>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</si>
  <si>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</si>
  <si>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</si>
  <si>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</si>
  <si>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</si>
  <si>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</si>
  <si>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</si>
  <si>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</si>
  <si>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</si>
  <si>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</si>
  <si>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</si>
  <si>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</si>
  <si>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</si>
  <si>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</si>
  <si>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</si>
  <si>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</si>
  <si>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</si>
  <si>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</si>
  <si>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</si>
  <si>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</si>
  <si>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</si>
  <si>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</si>
  <si>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</si>
  <si>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</si>
  <si>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</si>
  <si>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</si>
  <si>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</si>
  <si>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</si>
  <si>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</si>
  <si>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</si>
  <si>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</si>
  <si>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</si>
  <si>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</si>
  <si>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</si>
  <si>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</si>
  <si>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</si>
  <si>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</si>
  <si>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</si>
  <si>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</si>
  <si>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</si>
  <si>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</si>
  <si>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</si>
  <si>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</si>
  <si>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</si>
  <si>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</si>
  <si>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</si>
  <si>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</si>
  <si>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</si>
  <si>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</si>
  <si>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</si>
  <si>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</si>
  <si>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</si>
  <si>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</si>
  <si>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</si>
  <si>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</si>
  <si>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</si>
  <si>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</si>
  <si>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</si>
  <si>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</si>
  <si>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</si>
  <si>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</si>
  <si>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</si>
  <si>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</si>
  <si>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</si>
  <si>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</si>
  <si>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</si>
  <si>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</si>
  <si>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</si>
  <si>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</si>
  <si>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</si>
  <si>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</si>
  <si>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</si>
  <si>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</si>
  <si>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</si>
  <si>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</si>
  <si>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</si>
  <si>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</si>
  <si>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</si>
  <si>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</si>
  <si>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</si>
  <si>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</si>
  <si>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</si>
  <si>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</si>
  <si>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</si>
  <si>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</si>
  <si>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</si>
  <si>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</si>
  <si>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</si>
  <si>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</si>
  <si>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</si>
  <si>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</si>
  <si>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</si>
  <si>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</si>
  <si>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</si>
  <si>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</si>
  <si>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</si>
  <si>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</si>
  <si>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</si>
  <si>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</si>
  <si>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</si>
  <si>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</si>
  <si>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</si>
  <si>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</si>
  <si>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</si>
  <si>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</si>
  <si>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</si>
  <si>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</si>
  <si>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</si>
  <si>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</si>
  <si>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</si>
  <si>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</si>
  <si>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</si>
  <si>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</si>
  <si>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</si>
  <si>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</si>
  <si>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</si>
  <si>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</si>
  <si>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</si>
  <si>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</si>
  <si>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</si>
  <si>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</si>
  <si>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</si>
  <si>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</si>
  <si>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</si>
  <si>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</si>
  <si>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</si>
  <si>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</si>
  <si>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</si>
  <si>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</si>
  <si>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</si>
  <si>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</si>
  <si>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</si>
  <si>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</si>
  <si>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</si>
  <si>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</si>
  <si>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</si>
  <si>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</si>
  <si>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</si>
  <si>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</si>
  <si>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</si>
  <si>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</si>
  <si>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</si>
  <si>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</si>
  <si>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</si>
  <si>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</si>
  <si>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</si>
  <si>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</si>
  <si>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</si>
  <si>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</si>
  <si>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</si>
  <si>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</si>
  <si>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</si>
  <si>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</si>
  <si>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</si>
  <si>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</si>
  <si>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</si>
  <si>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</si>
  <si>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</si>
  <si>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</si>
  <si>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</si>
  <si>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</si>
  <si>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</si>
  <si>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</si>
  <si>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</si>
  <si>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</si>
  <si>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</si>
  <si>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</si>
  <si>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</si>
  <si>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</si>
  <si>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</si>
  <si>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</si>
  <si>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</si>
  <si>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</si>
  <si>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</si>
  <si>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</si>
  <si>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</si>
  <si>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</si>
  <si>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</si>
  <si>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</si>
  <si>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</si>
  <si>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</si>
  <si>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</si>
  <si>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</si>
  <si>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</si>
  <si>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</si>
  <si>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</si>
  <si>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</si>
  <si>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</si>
  <si>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</si>
  <si>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</si>
  <si>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</si>
  <si>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</si>
  <si>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</si>
  <si>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</si>
  <si>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</si>
  <si>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</si>
  <si>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</si>
  <si>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</si>
  <si>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</si>
  <si>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</si>
  <si>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</si>
  <si>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</si>
  <si>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</si>
  <si>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</si>
  <si>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</si>
  <si>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</si>
  <si>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</si>
  <si>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</si>
  <si>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</si>
  <si>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</si>
  <si>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</si>
  <si>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</si>
  <si>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</si>
  <si>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</si>
  <si>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</si>
  <si>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</si>
  <si>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</si>
  <si>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</si>
  <si>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</si>
  <si>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</si>
  <si>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</si>
  <si>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</si>
  <si>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</si>
  <si>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</si>
  <si>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</si>
  <si>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</si>
  <si>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</si>
  <si>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</si>
  <si>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</si>
  <si>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</si>
  <si>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</si>
  <si>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</si>
  <si>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</si>
  <si>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</si>
  <si>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</si>
  <si>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</si>
  <si>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</si>
  <si>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</si>
  <si>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</si>
  <si>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</si>
  <si>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</si>
  <si>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</si>
  <si>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</si>
  <si>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</si>
  <si>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</si>
  <si>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</si>
  <si>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</si>
  <si>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</si>
  <si>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</si>
  <si>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</si>
  <si>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</si>
  <si>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</si>
  <si>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</si>
  <si>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</si>
  <si>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</si>
  <si>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</si>
  <si>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</si>
  <si>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</si>
  <si>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</si>
  <si>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</si>
  <si>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</si>
  <si>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</si>
  <si>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</si>
  <si>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</si>
  <si>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</si>
  <si>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</si>
  <si>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</si>
  <si>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</si>
  <si>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</si>
  <si>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</si>
  <si>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</si>
  <si>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</si>
  <si>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</si>
  <si>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</si>
  <si>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</si>
  <si>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</si>
  <si>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</si>
  <si>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</si>
  <si>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</si>
  <si>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</si>
  <si>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</si>
  <si>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</si>
  <si>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</si>
  <si>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</si>
  <si>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</si>
  <si>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</si>
  <si>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</si>
  <si>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</si>
  <si>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</si>
  <si>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</si>
  <si>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</si>
  <si>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</si>
  <si>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</si>
  <si>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</si>
  <si>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</si>
  <si>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</si>
  <si>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</si>
  <si>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</si>
  <si>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</si>
  <si>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</si>
  <si>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</si>
  <si>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</si>
  <si>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</si>
  <si>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</si>
  <si>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</si>
  <si>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</si>
  <si>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</si>
  <si>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</si>
  <si>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</si>
  <si>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</si>
  <si>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</si>
  <si>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</si>
  <si>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</si>
  <si>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</si>
  <si>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</si>
  <si>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</si>
  <si>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</si>
  <si>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</si>
  <si>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</si>
  <si>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</si>
  <si>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</si>
  <si>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</si>
  <si>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</si>
  <si>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</si>
  <si>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</si>
  <si>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</si>
  <si>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</si>
  <si>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</si>
  <si>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</si>
  <si>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</si>
  <si>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</si>
  <si>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</si>
  <si>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</si>
  <si>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</si>
  <si>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</si>
  <si>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</si>
  <si>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</si>
  <si>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</si>
  <si>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</si>
  <si>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</si>
  <si>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</si>
  <si>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</si>
  <si>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</si>
  <si>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</si>
  <si>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</si>
  <si>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</si>
  <si>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</si>
  <si>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</si>
  <si>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</si>
  <si>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</si>
  <si>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</si>
  <si>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</si>
  <si>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</si>
  <si>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</si>
  <si>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</si>
  <si>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</si>
  <si>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</si>
  <si>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</si>
  <si>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</si>
  <si>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</si>
  <si>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</si>
  <si>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</si>
  <si>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</si>
  <si>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</si>
  <si>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</si>
  <si>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</si>
  <si>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</si>
  <si>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</si>
  <si>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</si>
  <si>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</si>
  <si>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</si>
  <si>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</si>
  <si>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</si>
  <si>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</si>
  <si>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</si>
  <si>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</si>
  <si>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</si>
  <si>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</si>
  <si>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</si>
  <si>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</si>
  <si>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</si>
  <si>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</si>
  <si>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</si>
  <si>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</si>
  <si>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</si>
  <si>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</si>
  <si>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</si>
  <si>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</si>
  <si>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</si>
  <si>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</si>
  <si>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</si>
  <si>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</si>
  <si>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</si>
  <si>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</si>
  <si>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</si>
  <si>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</si>
  <si>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</si>
  <si>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</si>
  <si>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</si>
  <si>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</si>
  <si>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</si>
  <si>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</si>
  <si>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</si>
  <si>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</si>
  <si>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</si>
  <si>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</si>
  <si>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</si>
  <si>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</si>
  <si>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</si>
  <si>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</si>
  <si>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</si>
  <si>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</si>
  <si>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</si>
  <si>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</si>
  <si>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</si>
  <si>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</si>
  <si>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</si>
  <si>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</si>
  <si>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</si>
  <si>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</si>
  <si>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</si>
  <si>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</si>
  <si>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</si>
  <si>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</si>
  <si>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</si>
  <si>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</si>
  <si>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</si>
  <si>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</si>
  <si>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</si>
  <si>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</si>
  <si>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</si>
  <si>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</si>
  <si>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</si>
  <si>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</si>
  <si>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</si>
  <si>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</si>
  <si>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</si>
  <si>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</si>
  <si>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</si>
  <si>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</si>
  <si>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</si>
  <si>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</si>
  <si>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</si>
  <si>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</si>
  <si>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</si>
  <si>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</si>
  <si>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</si>
  <si>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</si>
  <si>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</si>
  <si>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</si>
  <si>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</si>
  <si>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</si>
  <si>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</si>
  <si>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</si>
  <si>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</si>
  <si>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</si>
  <si>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</si>
  <si>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</si>
  <si>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</si>
  <si>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</si>
  <si>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</si>
  <si>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</si>
  <si>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</si>
  <si>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</si>
  <si>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</si>
  <si>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</si>
  <si>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</si>
  <si>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</si>
  <si>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</si>
  <si>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</si>
  <si>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</si>
  <si>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</si>
  <si>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</si>
  <si>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</si>
  <si>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</si>
  <si>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</si>
  <si>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</si>
  <si>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</si>
  <si>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</si>
  <si>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</si>
  <si>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</si>
  <si>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</si>
  <si>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</si>
  <si>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</si>
  <si>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</si>
  <si>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</si>
  <si>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</si>
  <si>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</si>
  <si>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</si>
  <si>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</si>
  <si>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</si>
  <si>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</si>
  <si>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</si>
  <si>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</si>
  <si>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</si>
  <si>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</si>
  <si>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</si>
  <si>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</si>
  <si>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</si>
  <si>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</si>
  <si>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</si>
  <si>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</si>
  <si>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</si>
  <si>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</si>
  <si>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</si>
  <si>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</si>
  <si>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</si>
  <si>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</si>
  <si>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</si>
  <si>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</si>
  <si>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</si>
  <si>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</si>
  <si>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</si>
  <si>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</si>
  <si>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</si>
  <si>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</si>
  <si>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</si>
  <si>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</si>
  <si>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</si>
  <si>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</si>
  <si>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</si>
  <si>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</si>
  <si>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</si>
  <si>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</si>
  <si>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</si>
  <si>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</si>
  <si>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</si>
  <si>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</si>
  <si>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</si>
  <si>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</si>
  <si>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</si>
  <si>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</si>
  <si>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</si>
  <si>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</si>
  <si>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</si>
  <si>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</si>
  <si>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</si>
  <si>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</si>
  <si>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</si>
  <si>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</si>
  <si>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</si>
  <si>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</si>
  <si>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</si>
  <si>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</si>
  <si>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</si>
  <si>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</si>
  <si>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</si>
  <si>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</si>
  <si>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</si>
  <si>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</si>
  <si>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</si>
  <si>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</si>
  <si>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</si>
  <si>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</si>
  <si>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</si>
  <si>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</si>
  <si>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</si>
  <si>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</si>
  <si>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</si>
  <si>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</si>
  <si>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</si>
  <si>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</si>
  <si>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</si>
  <si>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</si>
  <si>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</si>
  <si>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</si>
  <si>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</si>
  <si>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</si>
  <si>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</si>
  <si>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</si>
  <si>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</si>
  <si>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</si>
  <si>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</si>
  <si>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</si>
  <si>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</si>
  <si>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</si>
  <si>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</si>
  <si>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</si>
  <si>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</si>
  <si>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</si>
  <si>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</si>
  <si>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</si>
  <si>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</si>
  <si>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</si>
  <si>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</si>
  <si>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</si>
  <si>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</si>
  <si>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</si>
  <si>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</si>
  <si>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</si>
  <si>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</si>
  <si>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</si>
  <si>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</si>
  <si>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</si>
  <si>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</si>
  <si>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</si>
  <si>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</si>
  <si>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</si>
  <si>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</si>
  <si>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</si>
  <si>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</si>
  <si>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</si>
  <si>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</si>
  <si>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</si>
  <si>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</si>
  <si>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</si>
  <si>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</si>
  <si>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</si>
  <si>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</si>
  <si>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</si>
  <si>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</si>
  <si>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</si>
  <si>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</si>
  <si>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</si>
  <si>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</si>
  <si>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</si>
  <si>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</si>
  <si>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</si>
  <si>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</si>
  <si>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</si>
  <si>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</si>
  <si>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</si>
  <si>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</si>
  <si>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</si>
  <si>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</si>
  <si>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</si>
  <si>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</si>
  <si>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</si>
  <si>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</si>
  <si>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</si>
  <si>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</si>
  <si>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</si>
  <si>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</si>
  <si>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</si>
  <si>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</si>
  <si>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</si>
  <si>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</si>
  <si>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</si>
  <si>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</si>
  <si>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</si>
  <si>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</si>
  <si>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</si>
  <si>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</si>
  <si>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</si>
  <si>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</si>
  <si>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</si>
  <si>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</si>
  <si>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</si>
  <si>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</si>
  <si>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</si>
  <si>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</si>
  <si>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</si>
  <si>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</si>
  <si>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</si>
  <si>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</si>
  <si>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</si>
  <si>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</si>
  <si>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</si>
  <si>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</si>
  <si>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</si>
  <si>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</si>
  <si>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</si>
  <si>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</si>
  <si>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</si>
  <si>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</si>
  <si>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</si>
  <si>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</si>
  <si>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</si>
  <si>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</si>
  <si>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</si>
  <si>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</si>
  <si>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</si>
  <si>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</si>
  <si>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</si>
  <si>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</si>
  <si>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</si>
  <si>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</si>
  <si>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</si>
  <si>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</si>
  <si>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</si>
  <si>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</si>
  <si>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</si>
  <si>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</si>
  <si>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</si>
  <si>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</si>
  <si>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</si>
  <si>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</si>
  <si>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</si>
  <si>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</si>
  <si>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</si>
  <si>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</si>
  <si>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</si>
  <si>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</si>
  <si>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</si>
  <si>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</si>
  <si>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</si>
  <si>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</si>
  <si>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</si>
  <si>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</si>
  <si>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</si>
  <si>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</si>
  <si>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</si>
  <si>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</si>
  <si>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</si>
  <si>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</si>
  <si>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</si>
  <si>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</si>
  <si>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</si>
  <si>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</si>
  <si>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</si>
  <si>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</si>
  <si>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</si>
  <si>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</si>
  <si>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</si>
  <si>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</si>
  <si>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</si>
  <si>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</si>
  <si>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</si>
  <si>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</si>
  <si>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</si>
  <si>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</si>
  <si>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</si>
  <si>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</si>
  <si>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</si>
  <si>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</si>
  <si>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</si>
  <si>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</si>
  <si>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</si>
  <si>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</si>
  <si>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</si>
  <si>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</si>
  <si>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</si>
  <si>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</si>
  <si>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</si>
  <si>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</si>
  <si>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</si>
  <si>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</si>
  <si>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</si>
  <si>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</si>
  <si>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</si>
  <si>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</si>
  <si>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</si>
  <si>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</si>
  <si>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</si>
  <si>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</si>
  <si>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</si>
  <si>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</si>
  <si>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</si>
  <si>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</si>
  <si>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</si>
  <si>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</si>
  <si>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</si>
  <si>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</si>
  <si>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</si>
  <si>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</si>
  <si>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</si>
  <si>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</si>
  <si>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</si>
  <si>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</si>
  <si>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</si>
  <si>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</si>
  <si>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</si>
  <si>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</si>
  <si>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</si>
  <si>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</si>
  <si>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</si>
  <si>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</si>
  <si>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</si>
  <si>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</si>
  <si>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</si>
  <si>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</si>
  <si>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</si>
  <si>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</si>
  <si>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</si>
  <si>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</si>
  <si>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</si>
  <si>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</si>
  <si>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</si>
  <si>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</si>
  <si>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</si>
  <si>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</si>
  <si>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</si>
  <si>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</si>
  <si>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</si>
  <si>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</si>
  <si>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</si>
  <si>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</si>
  <si>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</si>
  <si>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</si>
  <si>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</si>
  <si>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</si>
  <si>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</si>
  <si>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</si>
  <si>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</si>
  <si>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</si>
  <si>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</si>
  <si>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</si>
  <si>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</si>
  <si>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</si>
  <si>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</si>
  <si>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</si>
  <si>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</si>
  <si>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</si>
  <si>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</si>
  <si>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</si>
  <si>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</si>
  <si>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</si>
  <si>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</si>
  <si>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</si>
  <si>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</si>
  <si>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</si>
  <si>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</si>
  <si>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</si>
  <si>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</si>
  <si>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</si>
  <si>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</si>
  <si>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</si>
  <si>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</si>
  <si>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</si>
  <si>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</si>
  <si>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</si>
  <si>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</si>
  <si>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</si>
  <si>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</si>
  <si>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</si>
  <si>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</si>
  <si>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</si>
  <si>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</si>
  <si>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</si>
  <si>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</si>
  <si>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</si>
  <si>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</si>
  <si>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</si>
  <si>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</si>
  <si>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</si>
  <si>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</si>
  <si>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</si>
  <si>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</si>
  <si>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</si>
  <si>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</si>
  <si>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</si>
  <si>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</si>
  <si>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</si>
  <si>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</si>
  <si>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</si>
  <si>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</si>
  <si>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</si>
  <si>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</si>
  <si>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</si>
  <si>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</si>
  <si>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</si>
  <si>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</si>
  <si>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</si>
  <si>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</si>
  <si>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</si>
  <si>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</si>
  <si>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</si>
  <si>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</si>
  <si>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</si>
  <si>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</si>
  <si>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</si>
  <si>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</si>
  <si>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</si>
  <si>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</si>
  <si>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</si>
  <si>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</si>
  <si>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</si>
  <si>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</si>
  <si>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</si>
  <si>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</si>
  <si>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</si>
  <si>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</si>
  <si>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</si>
  <si>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</si>
  <si>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</si>
  <si>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</si>
  <si>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</si>
  <si>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</si>
  <si>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</si>
  <si>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</si>
  <si>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</si>
  <si>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</si>
  <si>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</si>
  <si>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</si>
  <si>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</si>
  <si>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</si>
  <si>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</si>
  <si>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</si>
  <si>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</si>
  <si>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</si>
  <si>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</si>
  <si>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</si>
  <si>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</si>
  <si>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</si>
  <si>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</si>
  <si>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</si>
  <si>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</si>
  <si>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</si>
  <si>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</si>
  <si>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</si>
  <si>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</si>
  <si>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</si>
  <si>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</si>
  <si>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</si>
  <si>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</si>
  <si>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</si>
  <si>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</si>
  <si>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</si>
  <si>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</si>
  <si>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</si>
  <si>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</si>
  <si>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</si>
  <si>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</si>
  <si>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</si>
  <si>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</si>
  <si>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</si>
  <si>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</si>
  <si>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</si>
  <si>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</si>
  <si>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</si>
  <si>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</si>
  <si>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</si>
  <si>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</si>
  <si>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</si>
  <si>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</si>
  <si>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</si>
  <si>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</si>
  <si>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</si>
  <si>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</si>
  <si>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</si>
  <si>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</si>
  <si>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</si>
  <si>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</si>
  <si>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</si>
  <si>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</si>
  <si>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</si>
  <si>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</si>
  <si>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</si>
  <si>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</si>
  <si>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</si>
  <si>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</si>
  <si>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</si>
  <si>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</si>
  <si>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</si>
  <si>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</si>
  <si>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</si>
  <si>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</si>
  <si>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</si>
  <si>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</si>
  <si>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</si>
  <si>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</si>
  <si>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</si>
  <si>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</si>
  <si>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</si>
  <si>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</si>
  <si>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</si>
  <si>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</si>
  <si>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</si>
  <si>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</si>
  <si>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</si>
  <si>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</si>
  <si>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</si>
  <si>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</si>
  <si>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</si>
  <si>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</si>
  <si>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</si>
  <si>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</si>
  <si>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</si>
  <si>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</si>
  <si>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</si>
  <si>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</si>
  <si>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</si>
  <si>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</si>
  <si>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</si>
  <si>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</si>
  <si>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</si>
  <si>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</si>
  <si>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</si>
  <si>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</si>
  <si>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</si>
  <si>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</si>
  <si>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</si>
  <si>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</si>
  <si>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</si>
  <si>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</si>
  <si>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</si>
  <si>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</si>
  <si>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</si>
  <si>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</si>
  <si>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</si>
  <si>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</si>
  <si>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</si>
  <si>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</si>
  <si>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</si>
  <si>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</si>
  <si>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</si>
  <si>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</si>
  <si>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</si>
  <si>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</si>
  <si>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</si>
  <si>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</si>
  <si>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</si>
  <si>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</si>
  <si>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</si>
  <si>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</si>
  <si>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</si>
  <si>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</si>
  <si>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</si>
  <si>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</si>
  <si>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</si>
  <si>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</si>
  <si>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</si>
  <si>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</si>
  <si>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</si>
  <si>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</si>
  <si>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</si>
  <si>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</si>
  <si>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</si>
  <si>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</si>
  <si>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</si>
  <si>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</si>
  <si>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</si>
  <si>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</si>
  <si>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</si>
  <si>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</si>
  <si>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</si>
  <si>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</si>
  <si>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</si>
  <si>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</si>
  <si>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</si>
  <si>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</si>
  <si>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</si>
  <si>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</si>
  <si>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</si>
  <si>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</si>
  <si>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</si>
  <si>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</si>
  <si>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</si>
  <si>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</si>
  <si>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</si>
  <si>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</si>
  <si>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</si>
  <si>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</si>
  <si>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</si>
  <si>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</si>
  <si>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</si>
  <si>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</si>
  <si>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</si>
  <si>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</si>
  <si>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</si>
  <si>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</si>
  <si>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</si>
  <si>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</si>
  <si>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</si>
  <si>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</si>
  <si>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</si>
  <si>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</si>
  <si>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</si>
  <si>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</si>
  <si>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</si>
  <si>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</si>
  <si>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</si>
  <si>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</si>
  <si>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</si>
  <si>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</si>
  <si>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</si>
  <si>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</si>
  <si>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</si>
  <si>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</si>
  <si>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</si>
  <si>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</si>
  <si>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</si>
  <si>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</si>
  <si>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</si>
  <si>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</si>
  <si>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</si>
  <si>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</si>
  <si>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</si>
  <si>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</si>
  <si>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</si>
  <si>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</si>
  <si>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</si>
  <si>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</si>
  <si>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</si>
  <si>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</si>
  <si>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</si>
  <si>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</si>
  <si>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</si>
  <si>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</si>
  <si>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</si>
  <si>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</si>
  <si>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</si>
  <si>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</si>
  <si>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</si>
  <si>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</si>
  <si>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</si>
  <si>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</si>
  <si>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</si>
  <si>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</si>
  <si>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</si>
  <si>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</si>
  <si>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</si>
  <si>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</si>
  <si>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</si>
  <si>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</si>
  <si>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</si>
  <si>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</si>
  <si>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</si>
  <si>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</si>
  <si>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</si>
  <si>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</si>
  <si>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</si>
  <si>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</si>
  <si>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</si>
  <si>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</si>
  <si>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</si>
  <si>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</si>
  <si>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</si>
  <si>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</si>
  <si>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</si>
  <si>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</si>
  <si>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</si>
  <si>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</si>
  <si>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</si>
  <si>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</si>
  <si>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</si>
  <si>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</si>
  <si>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</si>
  <si>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</si>
  <si>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</si>
  <si>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</si>
  <si>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</si>
  <si>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</si>
  <si>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</si>
  <si>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</si>
  <si>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</si>
  <si>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</si>
  <si>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</si>
  <si>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</si>
  <si>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</si>
  <si>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</si>
  <si>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</si>
  <si>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</si>
  <si>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</si>
  <si>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</si>
  <si>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</si>
  <si>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</si>
  <si>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</si>
  <si>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</si>
  <si>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</si>
  <si>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</si>
  <si>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</si>
  <si>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</si>
  <si>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</si>
  <si>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</si>
  <si>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</si>
  <si>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</si>
  <si>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</si>
  <si>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</si>
  <si>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</si>
  <si>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</si>
  <si>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</si>
  <si>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</si>
  <si>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</si>
  <si>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</si>
  <si>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</si>
  <si>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</si>
  <si>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</si>
  <si>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</si>
  <si>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</si>
  <si>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</si>
  <si>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</si>
  <si>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</si>
  <si>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</si>
  <si>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</si>
  <si>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</si>
  <si>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</si>
  <si>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</si>
  <si>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</si>
  <si>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</si>
  <si>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</si>
  <si>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</si>
  <si>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</si>
  <si>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</si>
  <si>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</si>
  <si>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</si>
  <si>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</si>
  <si>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</si>
  <si>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</si>
  <si>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</si>
  <si>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</si>
  <si>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</si>
  <si>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</si>
  <si>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</si>
  <si>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</si>
  <si>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</si>
  <si>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</si>
  <si>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</si>
  <si>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</si>
  <si>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</si>
  <si>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</si>
  <si>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</si>
  <si>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</si>
  <si>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</si>
  <si>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</si>
  <si>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</si>
  <si>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</si>
  <si>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</si>
  <si>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</si>
  <si>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</si>
  <si>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</si>
  <si>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</si>
  <si>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</si>
  <si>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</si>
  <si>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</si>
  <si>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</si>
  <si>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</si>
  <si>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</si>
  <si>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</si>
  <si>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</si>
  <si>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</si>
  <si>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</si>
  <si>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</si>
  <si>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</si>
  <si>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</si>
  <si>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</si>
  <si>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</si>
  <si>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</si>
  <si>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</si>
  <si>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</si>
  <si>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</si>
  <si>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</si>
  <si>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</si>
  <si>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</si>
  <si>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</si>
  <si>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</si>
  <si>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</si>
  <si>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</si>
  <si>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</si>
  <si>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</si>
  <si>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</si>
  <si>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</si>
  <si>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</si>
  <si>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</si>
  <si>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</si>
  <si>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</si>
  <si>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</si>
  <si>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</si>
  <si>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</si>
  <si>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</si>
  <si>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</si>
  <si>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</si>
  <si>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</si>
  <si>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</si>
  <si>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</si>
  <si>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</si>
  <si>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</si>
  <si>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</si>
  <si>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</si>
  <si>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</si>
  <si>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</si>
  <si>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</si>
  <si>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</si>
  <si>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</si>
  <si>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</si>
  <si>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</si>
  <si>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</si>
  <si>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</si>
  <si>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</si>
  <si>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</si>
  <si>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</si>
  <si>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</si>
  <si>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</si>
  <si>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</si>
  <si>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</si>
  <si>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</si>
  <si>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</si>
  <si>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</si>
  <si>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</si>
  <si>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</si>
  <si>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</si>
  <si>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</si>
  <si>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</si>
  <si>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</si>
  <si>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</si>
  <si>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</si>
  <si>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</si>
  <si>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</si>
  <si>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</si>
  <si>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</si>
  <si>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</si>
  <si>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</si>
  <si>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</si>
  <si>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</si>
  <si>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</si>
  <si>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</si>
  <si>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</si>
  <si>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</si>
  <si>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</si>
  <si>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</si>
  <si>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</si>
  <si>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</si>
  <si>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</si>
  <si>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</si>
  <si>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</si>
  <si>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</si>
  <si>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</si>
  <si>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</si>
  <si>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</si>
  <si>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</si>
  <si>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</si>
  <si>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</si>
  <si>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</si>
  <si>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</si>
  <si>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</si>
  <si>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</si>
  <si>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</si>
  <si>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</si>
  <si>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</si>
  <si>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</si>
  <si>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</si>
  <si>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</si>
  <si>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</si>
  <si>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</si>
  <si>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</si>
  <si>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</si>
  <si>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</si>
  <si>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</si>
  <si>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</si>
  <si>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</si>
  <si>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</si>
  <si>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</si>
  <si>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</si>
  <si>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</si>
  <si>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</si>
  <si>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</si>
  <si>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</si>
  <si>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</si>
  <si>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</si>
  <si>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</si>
  <si>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</si>
  <si>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</si>
  <si>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</si>
  <si>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</si>
  <si>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</si>
  <si>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</si>
  <si>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</si>
  <si>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</si>
  <si>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</si>
  <si>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</si>
  <si>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</si>
  <si>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</si>
  <si>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</si>
  <si>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</si>
  <si>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</si>
  <si>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</si>
  <si>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</si>
  <si>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</si>
  <si>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</si>
  <si>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</si>
  <si>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</si>
  <si>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</si>
  <si>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</si>
  <si>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</si>
  <si>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</si>
  <si>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</si>
  <si>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</si>
  <si>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</si>
  <si>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</si>
  <si>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</si>
  <si>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</si>
  <si>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</si>
  <si>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</si>
  <si>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</si>
  <si>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</si>
  <si>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</si>
  <si>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</si>
  <si>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</si>
  <si>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</si>
  <si>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</si>
  <si>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</si>
  <si>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</si>
  <si>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</si>
  <si>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</si>
  <si>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</si>
  <si>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</si>
  <si>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</si>
  <si>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</si>
  <si>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</si>
  <si>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</si>
  <si>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</si>
  <si>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</si>
  <si>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</si>
  <si>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</si>
  <si>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</si>
  <si>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</si>
  <si>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</si>
  <si>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</si>
  <si>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</si>
  <si>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</si>
  <si>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</si>
  <si>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</si>
  <si>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</si>
  <si>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</si>
  <si>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</si>
  <si>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</si>
  <si>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</si>
  <si>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</si>
  <si>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</si>
  <si>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</si>
  <si>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</si>
  <si>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</si>
  <si>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</si>
  <si>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</si>
  <si>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</si>
  <si>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</si>
  <si>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</si>
  <si>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</si>
  <si>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</si>
  <si>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</si>
  <si>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</si>
  <si>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</si>
  <si>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</si>
  <si>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</si>
  <si>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</si>
  <si>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</si>
  <si>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</si>
  <si>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</si>
  <si>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</si>
  <si>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</si>
  <si>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</si>
  <si>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</si>
  <si>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</si>
  <si>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</si>
  <si>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</si>
  <si>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</si>
  <si>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</si>
  <si>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</si>
  <si>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</si>
  <si>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</si>
  <si>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</si>
  <si>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</si>
  <si>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</si>
  <si>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</si>
  <si>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</si>
  <si>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</si>
  <si>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</si>
  <si>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</si>
  <si>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</si>
  <si>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</si>
  <si>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</si>
  <si>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</si>
  <si>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</si>
  <si>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</si>
  <si>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</si>
  <si>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</si>
  <si>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</si>
  <si>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</si>
  <si>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</si>
  <si>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</si>
  <si>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</si>
  <si>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</si>
  <si>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</si>
  <si>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</si>
  <si>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</si>
  <si>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</si>
  <si>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</si>
  <si>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</si>
  <si>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</si>
  <si>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</si>
  <si>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</si>
  <si>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</si>
  <si>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</si>
  <si>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</si>
  <si>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</si>
  <si>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</si>
  <si>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</si>
  <si>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</si>
  <si>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</si>
  <si>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</si>
  <si>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</si>
  <si>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</si>
  <si>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</si>
  <si>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</si>
  <si>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</si>
  <si>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</si>
  <si>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</si>
  <si>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</si>
  <si>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</si>
  <si>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</si>
  <si>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</si>
  <si>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</si>
  <si>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</si>
  <si>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</si>
  <si>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</si>
  <si>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</si>
  <si>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</si>
  <si>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</si>
  <si>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</si>
  <si>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</si>
  <si>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</si>
  <si>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</si>
  <si>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</si>
  <si>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</si>
  <si>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</si>
  <si>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</si>
  <si>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</si>
  <si>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</si>
  <si>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</si>
  <si>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</si>
  <si>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</si>
  <si>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</si>
  <si>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</si>
  <si>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</si>
  <si>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</si>
  <si>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</si>
  <si>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</si>
  <si>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</si>
  <si>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</si>
  <si>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</si>
  <si>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</si>
  <si>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</si>
  <si>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</si>
  <si>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</si>
  <si>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</si>
  <si>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</si>
  <si>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</si>
  <si>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</si>
  <si>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</si>
  <si>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</si>
  <si>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</si>
  <si>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</si>
  <si>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</si>
  <si>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</si>
  <si>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</si>
  <si>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</si>
  <si>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</si>
  <si>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</si>
  <si>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</si>
  <si>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</si>
  <si>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</si>
  <si>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</si>
  <si>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</si>
  <si>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</si>
  <si>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</si>
  <si>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</si>
  <si>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</si>
  <si>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</si>
  <si>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</si>
  <si>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</si>
  <si>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</si>
  <si>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</si>
  <si>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</si>
  <si>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</si>
  <si>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</si>
  <si>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</si>
  <si>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</si>
  <si>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</si>
  <si>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</si>
  <si>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</si>
  <si>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</si>
  <si>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</si>
  <si>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</si>
  <si>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</si>
  <si>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</si>
  <si>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</si>
  <si>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</si>
  <si>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</si>
  <si>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</si>
  <si>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</si>
  <si>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</si>
  <si>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</si>
  <si>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</si>
  <si>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</si>
  <si>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</si>
  <si>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</si>
  <si>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</si>
  <si>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</si>
  <si>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</si>
  <si>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</si>
  <si>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</si>
  <si>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</si>
  <si>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</si>
  <si>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</si>
  <si>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</si>
  <si>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</si>
  <si>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</si>
  <si>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</si>
  <si>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</si>
  <si>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</si>
  <si>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</si>
  <si>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</si>
  <si>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</si>
  <si>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</si>
  <si>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</si>
  <si>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</si>
  <si>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</si>
  <si>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</si>
  <si>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</si>
  <si>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</si>
  <si>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</si>
  <si>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</si>
  <si>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</si>
  <si>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</si>
  <si>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</si>
  <si>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</si>
  <si>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</si>
  <si>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</si>
  <si>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</si>
  <si>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</si>
  <si>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</si>
  <si>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</si>
  <si>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</si>
  <si>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</si>
  <si>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</si>
  <si>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</si>
  <si>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</si>
  <si>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</si>
  <si>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</si>
  <si>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</si>
  <si>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</si>
  <si>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</si>
  <si>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</si>
  <si>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</si>
  <si>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</si>
  <si>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</si>
  <si>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</si>
  <si>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</si>
  <si>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</si>
  <si>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</si>
  <si>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</si>
  <si>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</si>
  <si>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</si>
  <si>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</si>
  <si>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</si>
  <si>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</si>
  <si>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</si>
  <si>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</si>
  <si>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</si>
  <si>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</si>
  <si>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</si>
  <si>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</si>
  <si>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</si>
  <si>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</si>
  <si>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</si>
  <si>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</si>
  <si>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</si>
  <si>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</si>
  <si>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</si>
  <si>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</si>
  <si>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</si>
  <si>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</si>
  <si>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</si>
  <si>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</si>
  <si>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</si>
  <si>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</si>
  <si>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</si>
  <si>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</si>
  <si>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</si>
  <si>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</si>
  <si>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</si>
  <si>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</si>
  <si>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</si>
  <si>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</si>
  <si>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</si>
  <si>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</si>
  <si>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</si>
  <si>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</si>
  <si>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</si>
  <si>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</si>
  <si>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</si>
  <si>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</si>
  <si>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</si>
  <si>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</si>
  <si>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</si>
  <si>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</si>
  <si>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</si>
  <si>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</si>
  <si>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</si>
  <si>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</si>
  <si>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</si>
  <si>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</si>
  <si>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</si>
  <si>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</si>
  <si>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</si>
  <si>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</si>
  <si>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</si>
  <si>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</si>
  <si>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</si>
  <si>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</si>
  <si>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</si>
  <si>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</si>
  <si>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</si>
  <si>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</si>
  <si>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</si>
  <si>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</si>
  <si>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</si>
  <si>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</si>
  <si>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</si>
  <si>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</si>
  <si>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</si>
  <si>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</si>
  <si>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</si>
  <si>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</si>
  <si>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</si>
  <si>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</si>
  <si>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</si>
  <si>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</si>
  <si>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</si>
  <si>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</si>
  <si>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</si>
  <si>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</si>
  <si>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</si>
  <si>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</si>
  <si>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</si>
  <si>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</si>
  <si>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</si>
  <si>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</si>
  <si>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</si>
  <si>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</si>
  <si>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</si>
  <si>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</si>
  <si>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</si>
  <si>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</si>
  <si>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</si>
  <si>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</si>
  <si>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</si>
  <si>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</si>
  <si>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</si>
  <si>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</si>
  <si>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</si>
  <si>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</si>
  <si>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</si>
  <si>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</si>
  <si>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</si>
  <si>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</si>
  <si>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</si>
  <si>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</si>
  <si>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</si>
  <si>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</si>
  <si>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</si>
  <si>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</si>
  <si>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</si>
  <si>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</si>
  <si>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</si>
  <si>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</si>
  <si>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</si>
  <si>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</si>
  <si>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</si>
  <si>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</si>
  <si>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</si>
  <si>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</si>
  <si>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</si>
  <si>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</si>
  <si>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</si>
  <si>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</si>
  <si>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</si>
  <si>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</si>
  <si>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</si>
  <si>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</si>
  <si>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</si>
  <si>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</si>
  <si>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</si>
  <si>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</si>
  <si>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</si>
  <si>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</si>
  <si>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</si>
  <si>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</si>
  <si>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</si>
  <si>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</si>
  <si>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</si>
  <si>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</si>
  <si>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</si>
  <si>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</si>
  <si>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</si>
  <si>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</si>
  <si>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</si>
  <si>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</si>
  <si>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</si>
  <si>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</si>
  <si>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</si>
  <si>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</si>
  <si>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</si>
  <si>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</si>
  <si>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</si>
  <si>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</si>
  <si>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</si>
  <si>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</si>
  <si>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</si>
  <si>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</si>
  <si>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</si>
  <si>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</si>
  <si>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</si>
  <si>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</si>
  <si>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</si>
  <si>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</si>
  <si>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</si>
  <si>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</si>
  <si>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</si>
  <si>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</si>
  <si>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</si>
  <si>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</si>
  <si>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</si>
  <si>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</si>
  <si>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</si>
  <si>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</si>
  <si>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</si>
  <si>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</si>
  <si>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</si>
  <si>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</si>
  <si>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</si>
  <si>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</si>
  <si>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</si>
  <si>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</si>
  <si>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</si>
  <si>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</si>
  <si>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</si>
  <si>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</si>
  <si>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</si>
  <si>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</si>
  <si>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</si>
  <si>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</si>
  <si>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</si>
  <si>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</si>
  <si>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</si>
  <si>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</si>
  <si>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</si>
  <si>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</si>
  <si>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</si>
  <si>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</si>
  <si>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</si>
  <si>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</si>
  <si>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</si>
  <si>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</si>
  <si>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</si>
  <si>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</si>
  <si>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</si>
  <si>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</si>
  <si>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</si>
  <si>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</si>
  <si>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</si>
  <si>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</si>
  <si>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</si>
  <si>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</si>
  <si>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</si>
  <si>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</si>
  <si>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</si>
  <si>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</si>
  <si>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</si>
  <si>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</si>
  <si>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</si>
  <si>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</si>
  <si>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</si>
  <si>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</si>
  <si>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</si>
  <si>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</si>
  <si>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</si>
  <si>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</si>
  <si>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</si>
  <si>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</si>
  <si>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</si>
  <si>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</si>
  <si>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</si>
  <si>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</si>
  <si>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</si>
  <si>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</si>
  <si>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</si>
  <si>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</si>
  <si>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</si>
  <si>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</si>
  <si>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</si>
  <si>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</si>
  <si>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</si>
  <si>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</si>
  <si>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</si>
  <si>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</si>
  <si>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</si>
  <si>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</si>
  <si>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</si>
  <si>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</si>
  <si>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</si>
  <si>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</si>
  <si>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</si>
  <si>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</si>
  <si>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</si>
  <si>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</si>
  <si>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</si>
  <si>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</si>
  <si>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</si>
  <si>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</si>
  <si>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</si>
  <si>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</si>
  <si>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</si>
  <si>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</si>
  <si>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</si>
  <si>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</si>
  <si>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</si>
  <si>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</si>
  <si>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</si>
  <si>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</si>
  <si>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</si>
  <si>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</si>
  <si>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</si>
  <si>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</si>
  <si>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</si>
  <si>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</si>
  <si>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</si>
  <si>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</si>
  <si>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</si>
  <si>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</si>
  <si>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</si>
  <si>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</si>
  <si>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</si>
  <si>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</si>
  <si>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</si>
  <si>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</si>
  <si>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</si>
  <si>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</si>
  <si>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</si>
  <si>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</si>
  <si>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</si>
  <si>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</si>
  <si>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</si>
  <si>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</si>
  <si>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</si>
  <si>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</si>
  <si>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</si>
  <si>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</si>
  <si>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</si>
  <si>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</si>
  <si>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</si>
  <si>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</si>
  <si>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</si>
  <si>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</si>
  <si>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</si>
  <si>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</si>
  <si>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</si>
  <si>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</si>
  <si>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</si>
  <si>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</si>
  <si>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</si>
  <si>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</si>
  <si>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</si>
  <si>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</si>
  <si>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</si>
  <si>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</si>
  <si>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</si>
  <si>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</si>
  <si>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</si>
  <si>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</si>
  <si>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</si>
  <si>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</si>
  <si>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</si>
  <si>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</si>
  <si>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</si>
  <si>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</si>
  <si>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</si>
  <si>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</si>
  <si>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</si>
  <si>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</si>
  <si>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</si>
  <si>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</si>
  <si>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</si>
  <si>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</si>
  <si>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</si>
  <si>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</si>
  <si>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</si>
  <si>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</si>
  <si>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</si>
  <si>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</si>
  <si>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</si>
  <si>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</si>
  <si>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</si>
  <si>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</si>
  <si>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</si>
  <si>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</si>
  <si>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</si>
  <si>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</si>
  <si>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</si>
  <si>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</si>
  <si>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</si>
  <si>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</si>
  <si>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</si>
  <si>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</si>
  <si>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</si>
  <si>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</si>
  <si>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</si>
  <si>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</si>
  <si>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</si>
  <si>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</si>
  <si>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</si>
  <si>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</si>
  <si>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</si>
  <si>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</si>
  <si>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</si>
  <si>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</si>
  <si>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</si>
  <si>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</si>
  <si>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</si>
  <si>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</si>
  <si>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</si>
  <si>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</si>
  <si>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</si>
  <si>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</si>
  <si>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</si>
  <si>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</si>
  <si>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</si>
  <si>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</si>
  <si>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</si>
  <si>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</si>
  <si>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</si>
  <si>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</si>
  <si>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</si>
  <si>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</si>
  <si>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</si>
  <si>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</si>
  <si>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</si>
  <si>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</si>
  <si>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</si>
  <si>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</si>
  <si>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</si>
  <si>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</si>
  <si>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</si>
  <si>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</si>
  <si>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</si>
  <si>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</si>
  <si>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</si>
  <si>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</si>
  <si>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</si>
  <si>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</si>
  <si>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</si>
  <si>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</si>
  <si>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</si>
  <si>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</si>
  <si>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</si>
  <si>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</si>
  <si>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</si>
  <si>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</si>
  <si>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</si>
  <si>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</si>
  <si>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</si>
  <si>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</si>
  <si>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</si>
  <si>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</si>
  <si>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</si>
  <si>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</si>
  <si>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</si>
  <si>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</si>
  <si>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</si>
  <si>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</si>
  <si>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</si>
  <si>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</si>
  <si>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</si>
  <si>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</si>
  <si>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</si>
  <si>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</si>
  <si>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</si>
  <si>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</si>
  <si>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</si>
  <si>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</si>
  <si>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</si>
  <si>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</si>
  <si>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</si>
  <si>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</si>
  <si>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</si>
  <si>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</si>
  <si>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</si>
  <si>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</si>
  <si>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</si>
  <si>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</si>
  <si>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</si>
  <si>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</si>
  <si>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</si>
  <si>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</si>
  <si>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</si>
  <si>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</si>
  <si>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</si>
  <si>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</si>
  <si>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</si>
  <si>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</si>
  <si>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</si>
  <si>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</si>
  <si>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</si>
  <si>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</si>
  <si>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</si>
  <si>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</si>
  <si>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</si>
  <si>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</si>
  <si>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</si>
  <si>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</si>
  <si>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</si>
  <si>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</si>
  <si>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</si>
  <si>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</si>
  <si>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</si>
  <si>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</si>
  <si>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</si>
  <si>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</si>
  <si>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</si>
  <si>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</si>
  <si>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</si>
  <si>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</si>
  <si>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</si>
  <si>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</si>
  <si>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</si>
  <si>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</si>
  <si>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</si>
  <si>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</si>
  <si>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</si>
  <si>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</si>
  <si>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</si>
  <si>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</si>
  <si>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</si>
  <si>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</si>
  <si>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</si>
  <si>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</si>
  <si>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</si>
  <si>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</si>
  <si>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</si>
  <si>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</si>
  <si>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</si>
  <si>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</si>
  <si>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</si>
  <si>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</si>
  <si>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</si>
  <si>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</si>
  <si>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</si>
  <si>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</si>
  <si>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</si>
  <si>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</si>
  <si>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</si>
  <si>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</si>
  <si>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</si>
  <si>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</si>
  <si>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</si>
  <si>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</si>
  <si>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</si>
  <si>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</si>
  <si>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</si>
  <si>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</si>
  <si>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</si>
  <si>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</si>
  <si>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</si>
  <si>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</si>
  <si>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</si>
  <si>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</si>
  <si>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</si>
  <si>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</si>
  <si>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</si>
  <si>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</si>
  <si>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</si>
  <si>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</si>
  <si>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</si>
  <si>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</si>
  <si>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</si>
  <si>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</si>
  <si>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</si>
  <si>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</si>
  <si>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</si>
  <si>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</si>
  <si>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</si>
  <si>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</si>
  <si>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</si>
  <si>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</si>
  <si>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</si>
  <si>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</si>
  <si>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</si>
  <si>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</si>
  <si>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</si>
  <si>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</si>
  <si>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</si>
  <si>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</si>
  <si>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</si>
  <si>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</si>
  <si>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</si>
  <si>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</si>
  <si>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</si>
  <si>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</si>
  <si>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</si>
  <si>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</si>
  <si>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</si>
  <si>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</si>
  <si>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</si>
  <si>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</si>
  <si>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</si>
  <si>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</si>
  <si>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</si>
  <si>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</si>
  <si>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</si>
  <si>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</si>
  <si>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</si>
  <si>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</si>
  <si>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</si>
  <si>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</si>
  <si>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</si>
  <si>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</si>
  <si>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</si>
  <si>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</si>
  <si>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</si>
  <si>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</si>
  <si>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</si>
  <si>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</si>
  <si>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</si>
  <si>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</si>
  <si>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</si>
  <si>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</si>
  <si>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</si>
  <si>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</si>
  <si>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</si>
  <si>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</si>
  <si>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</si>
  <si>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</si>
  <si>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</si>
  <si>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</si>
  <si>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</si>
  <si>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</si>
  <si>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</si>
  <si>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</si>
  <si>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</si>
  <si>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</si>
  <si>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</si>
  <si>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</si>
  <si>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</si>
  <si>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</si>
  <si>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</si>
  <si>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</si>
  <si>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</si>
  <si>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</si>
  <si>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</si>
  <si>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</si>
  <si>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</si>
  <si>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</si>
  <si>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</si>
  <si>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</si>
  <si>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</si>
  <si>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</si>
  <si>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</si>
  <si>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</si>
  <si>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</si>
  <si>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</si>
  <si>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</si>
  <si>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</si>
  <si>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</si>
  <si>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</si>
  <si>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</si>
  <si>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</si>
  <si>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</si>
  <si>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</si>
  <si>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</si>
  <si>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</si>
  <si>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</si>
  <si>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</si>
  <si>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</si>
  <si>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</si>
  <si>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</si>
  <si>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</si>
  <si>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</si>
  <si>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</si>
  <si>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</si>
  <si>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</si>
  <si>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</si>
  <si>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</si>
  <si>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</si>
  <si>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</si>
  <si>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</si>
  <si>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</si>
  <si>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</si>
  <si>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</si>
  <si>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</si>
  <si>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</si>
  <si>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</si>
  <si>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</si>
  <si>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</si>
  <si>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</si>
  <si>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</si>
  <si>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</si>
  <si>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</si>
  <si>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</si>
  <si>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</si>
  <si>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</si>
  <si>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</si>
  <si>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</si>
  <si>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</si>
  <si>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</si>
  <si>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</si>
  <si>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</si>
  <si>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</si>
  <si>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</si>
  <si>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</si>
  <si>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</si>
  <si>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</si>
  <si>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</si>
  <si>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</si>
  <si>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</si>
  <si>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</si>
  <si>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</si>
  <si>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</si>
  <si>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</si>
  <si>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</si>
  <si>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</si>
  <si>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</si>
  <si>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</si>
  <si>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</si>
  <si>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</si>
  <si>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</si>
  <si>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</si>
  <si>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</si>
  <si>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</si>
  <si>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</si>
  <si>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</si>
  <si>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</si>
  <si>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</si>
  <si>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</si>
  <si>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</si>
  <si>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</si>
  <si>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</si>
  <si>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</si>
  <si>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</si>
  <si>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</si>
  <si>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</si>
  <si>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</si>
  <si>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</si>
  <si>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</si>
  <si>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</si>
  <si>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</si>
  <si>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</si>
  <si>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</si>
  <si>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</si>
  <si>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</si>
  <si>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</si>
  <si>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</si>
  <si>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</si>
  <si>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</si>
  <si>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</si>
  <si>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</si>
  <si>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</si>
  <si>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</si>
  <si>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</si>
  <si>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</si>
  <si>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</si>
  <si>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</si>
  <si>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</si>
  <si>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</si>
  <si>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</si>
  <si>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</si>
  <si>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</si>
  <si>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</si>
  <si>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</si>
  <si>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</si>
  <si>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</si>
  <si>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</si>
  <si>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</si>
  <si>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</si>
  <si>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</si>
  <si>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</si>
  <si>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</si>
  <si>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</si>
  <si>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</si>
  <si>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</si>
  <si>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</si>
  <si>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</si>
  <si>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</si>
  <si>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</si>
  <si>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</si>
  <si>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</si>
  <si>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</si>
  <si>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</si>
  <si>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</si>
  <si>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</si>
  <si>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</si>
  <si>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</si>
  <si>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</si>
  <si>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</si>
  <si>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</si>
  <si>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</si>
  <si>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</si>
  <si>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</si>
  <si>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</si>
  <si>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</si>
  <si>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</si>
  <si>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</si>
  <si>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</si>
  <si>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</si>
  <si>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</si>
  <si>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</si>
  <si>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</si>
  <si>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</si>
  <si>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</si>
  <si>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</si>
  <si>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</si>
  <si>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</si>
  <si>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</si>
  <si>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</si>
  <si>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</si>
  <si>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</si>
  <si>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</si>
  <si>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</si>
  <si>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</si>
  <si>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</si>
  <si>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</si>
  <si>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</si>
  <si>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</si>
  <si>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</si>
  <si>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</si>
  <si>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</si>
  <si>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</si>
  <si>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</si>
  <si>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</si>
  <si>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</si>
  <si>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</si>
  <si>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</si>
  <si>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</si>
  <si>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</si>
  <si>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</si>
  <si>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</si>
  <si>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</si>
  <si>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</si>
  <si>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</si>
  <si>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</si>
  <si>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</si>
  <si>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</si>
  <si>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</si>
  <si>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</si>
  <si>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</si>
  <si>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</si>
  <si>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</si>
  <si>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</si>
  <si>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</si>
  <si>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</si>
  <si>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</si>
  <si>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</si>
  <si>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</si>
  <si>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</si>
  <si>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</si>
  <si>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</si>
  <si>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</si>
  <si>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</si>
  <si>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</si>
  <si>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</si>
  <si>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</si>
  <si>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</si>
  <si>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</si>
  <si>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</si>
  <si>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</si>
  <si>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</si>
  <si>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</si>
  <si>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</si>
  <si>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</si>
  <si>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</si>
  <si>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</si>
  <si>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</si>
  <si>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</si>
  <si>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</si>
  <si>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</si>
  <si>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</si>
  <si>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</si>
  <si>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</si>
  <si>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</si>
  <si>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</si>
  <si>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</si>
  <si>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</si>
  <si>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</si>
  <si>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</si>
  <si>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</si>
  <si>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</si>
  <si>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</si>
  <si>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</si>
  <si>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</si>
  <si>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</si>
  <si>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</si>
  <si>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</si>
  <si>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</si>
  <si>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</si>
  <si>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</si>
  <si>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</si>
  <si>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</si>
  <si>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</si>
  <si>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</si>
  <si>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</si>
  <si>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</si>
  <si>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</si>
  <si>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</si>
  <si>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</si>
  <si>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</si>
  <si>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</si>
  <si>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</si>
  <si>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</si>
  <si>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</si>
  <si>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</si>
  <si>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</si>
  <si>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</si>
  <si>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</si>
  <si>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</si>
  <si>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</si>
  <si>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</si>
  <si>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</si>
  <si>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</si>
  <si>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</si>
  <si>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</si>
  <si>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</si>
  <si>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</si>
  <si>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</si>
  <si>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</si>
  <si>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</si>
  <si>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</si>
  <si>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</si>
  <si>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</si>
  <si>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</si>
  <si>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</si>
  <si>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</si>
  <si>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</si>
  <si>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</si>
  <si>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</si>
  <si>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</si>
  <si>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</si>
  <si>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</si>
  <si>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</si>
  <si>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</si>
  <si>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</si>
  <si>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</si>
  <si>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</si>
  <si>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</si>
  <si>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</si>
  <si>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</si>
  <si>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</si>
  <si>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</si>
  <si>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</si>
  <si>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</si>
  <si>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</si>
  <si>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</si>
  <si>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</si>
  <si>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</si>
  <si>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</si>
  <si>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</si>
  <si>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</si>
  <si>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</si>
  <si>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</si>
  <si>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</si>
  <si>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</si>
  <si>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</si>
  <si>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</si>
  <si>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</si>
  <si>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</si>
  <si>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</si>
  <si>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</si>
  <si>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</si>
  <si>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</si>
  <si>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</si>
  <si>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</si>
  <si>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</si>
  <si>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</si>
  <si>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</si>
  <si>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</si>
  <si>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</si>
  <si>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</si>
  <si>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</si>
  <si>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</si>
  <si>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</si>
  <si>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</si>
  <si>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</si>
  <si>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</si>
  <si>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</si>
  <si>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</si>
  <si>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</si>
  <si>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</si>
  <si>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</si>
  <si>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</si>
  <si>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</si>
  <si>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</si>
  <si>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</si>
  <si>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</si>
  <si>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</si>
  <si>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</si>
  <si>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</si>
  <si>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</si>
  <si>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</si>
  <si>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</si>
  <si>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</si>
  <si>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</si>
  <si>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</si>
  <si>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</si>
  <si>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</si>
  <si>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</si>
  <si>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</si>
  <si>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</si>
  <si>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</si>
  <si>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</si>
  <si>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</si>
  <si>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</si>
  <si>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</si>
  <si>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</si>
  <si>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</si>
  <si>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</si>
  <si>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</si>
  <si>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</si>
  <si>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</si>
  <si>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</si>
  <si>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</si>
  <si>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</si>
  <si>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</si>
  <si>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</si>
  <si>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</si>
  <si>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</si>
  <si>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</si>
  <si>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</si>
  <si>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</si>
  <si>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</si>
  <si>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</si>
  <si>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</si>
  <si>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</si>
  <si>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</si>
  <si>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</si>
  <si>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</si>
  <si>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</si>
  <si>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</si>
  <si>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</si>
  <si>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</si>
  <si>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</si>
  <si>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</si>
  <si>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</si>
  <si>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</si>
  <si>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</si>
  <si>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</si>
  <si>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</si>
  <si>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</si>
  <si>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</si>
  <si>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</si>
  <si>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</si>
  <si>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</si>
  <si>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</si>
  <si>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</si>
  <si>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</si>
  <si>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</si>
  <si>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</si>
  <si>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</si>
  <si>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</si>
  <si>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</si>
  <si>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</si>
  <si>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</si>
  <si>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</si>
  <si>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</si>
  <si>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</si>
  <si>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</si>
  <si>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</si>
  <si>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</si>
  <si>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</si>
  <si>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</si>
  <si>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</si>
  <si>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</si>
  <si>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</si>
  <si>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</si>
  <si>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</si>
  <si>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</si>
  <si>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</si>
  <si>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</si>
  <si>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</si>
  <si>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</si>
  <si>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</si>
  <si>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</si>
  <si>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</si>
  <si>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</si>
  <si>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</si>
  <si>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</si>
  <si>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</si>
  <si>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</si>
  <si>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</si>
  <si>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</si>
  <si>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</si>
  <si>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</si>
  <si>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</si>
  <si>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</si>
  <si>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</si>
  <si>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</si>
  <si>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</si>
  <si>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</si>
  <si>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</si>
  <si>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</si>
  <si>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</si>
  <si>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</si>
  <si>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</si>
  <si>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</si>
  <si>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</si>
  <si>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</si>
  <si>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</si>
  <si>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</si>
  <si>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</si>
  <si>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</si>
  <si>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</si>
  <si>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</si>
  <si>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</si>
  <si>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</si>
  <si>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</si>
  <si>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</si>
  <si>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</si>
  <si>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</si>
  <si>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</si>
  <si>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</si>
  <si>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</si>
  <si>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</si>
  <si>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</si>
  <si>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</si>
  <si>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</si>
  <si>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</si>
  <si>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</si>
  <si>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</si>
  <si>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</si>
  <si>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</si>
  <si>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</si>
  <si>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</si>
  <si>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</si>
  <si>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</si>
  <si>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</si>
  <si>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</si>
  <si>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</si>
  <si>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</si>
  <si>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</si>
  <si>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</si>
  <si>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</si>
  <si>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</si>
  <si>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</si>
  <si>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</si>
  <si>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</si>
  <si>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</si>
  <si>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</si>
  <si>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</si>
  <si>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</si>
  <si>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</si>
  <si>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</si>
  <si>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</si>
  <si>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</si>
  <si>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</si>
  <si>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</si>
  <si>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</si>
  <si>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</si>
  <si>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</si>
  <si>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</si>
  <si>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</si>
  <si>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</si>
  <si>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</si>
  <si>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</si>
  <si>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</si>
  <si>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</si>
  <si>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</si>
  <si>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</si>
  <si>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</si>
  <si>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</si>
  <si>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</si>
  <si>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</si>
  <si>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</si>
  <si>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</si>
  <si>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</si>
  <si>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</si>
  <si>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</si>
  <si>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</si>
  <si>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</si>
  <si>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</si>
  <si>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</si>
  <si>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</si>
  <si>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</si>
  <si>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</si>
  <si>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</si>
  <si>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</si>
  <si>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</si>
  <si>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</si>
  <si>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</si>
  <si>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</si>
  <si>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</si>
  <si>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</si>
  <si>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</si>
  <si>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</si>
  <si>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</si>
  <si>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</si>
  <si>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</si>
  <si>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</si>
  <si>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</si>
  <si>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</si>
  <si>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</si>
  <si>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</si>
  <si>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</si>
  <si>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</si>
  <si>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</si>
  <si>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</si>
  <si>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</si>
  <si>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</si>
  <si>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</si>
  <si>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</si>
  <si>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</si>
  <si>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</si>
  <si>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</si>
  <si>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</si>
  <si>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</si>
  <si>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</si>
  <si>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</si>
  <si>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</si>
  <si>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</si>
  <si>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</si>
  <si>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</si>
  <si>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</si>
  <si>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</si>
  <si>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</si>
  <si>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</si>
  <si>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</si>
  <si>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</si>
  <si>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</si>
  <si>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</si>
  <si>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</si>
  <si>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</si>
  <si>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</si>
  <si>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</si>
  <si>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</si>
  <si>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</si>
  <si>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</si>
  <si>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</si>
  <si>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</si>
  <si>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</si>
  <si>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</si>
  <si>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</si>
  <si>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</si>
  <si>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</si>
  <si>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</si>
  <si>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</si>
  <si>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</si>
  <si>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</si>
  <si>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</si>
  <si>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</si>
  <si>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</si>
  <si>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</si>
  <si>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</si>
  <si>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</si>
  <si>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</si>
  <si>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</si>
  <si>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</si>
  <si>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</si>
  <si>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</si>
  <si>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</si>
  <si>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</si>
  <si>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</si>
  <si>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</si>
  <si>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</si>
  <si>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</si>
  <si>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</si>
  <si>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</si>
  <si>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</si>
  <si>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</si>
  <si>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</si>
  <si>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</si>
  <si>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</si>
  <si>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</si>
  <si>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</si>
  <si>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</si>
  <si>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</si>
  <si>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</si>
  <si>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</si>
  <si>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</si>
  <si>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</si>
  <si>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</si>
  <si>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</si>
  <si>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</si>
  <si>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</si>
  <si>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</si>
  <si>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</si>
  <si>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</si>
  <si>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</si>
  <si>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</si>
  <si>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</si>
  <si>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</si>
  <si>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</si>
  <si>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</si>
  <si>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</si>
  <si>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</si>
  <si>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</si>
  <si>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</si>
  <si>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</si>
  <si>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</si>
  <si>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</si>
  <si>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</si>
  <si>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</si>
  <si>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</si>
  <si>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</si>
  <si>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</si>
  <si>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</si>
  <si>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</si>
  <si>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</si>
  <si>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</si>
  <si>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</si>
  <si>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</si>
  <si>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</si>
  <si>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</si>
  <si>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</si>
  <si>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</si>
  <si>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</si>
  <si>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</si>
  <si>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</si>
  <si>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</si>
  <si>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</si>
  <si>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</si>
  <si>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</si>
  <si>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</si>
  <si>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</si>
  <si>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</si>
  <si>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</si>
  <si>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</si>
  <si>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</si>
  <si>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</si>
  <si>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</si>
  <si>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</si>
  <si>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</si>
  <si>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</si>
  <si>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</si>
  <si>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</si>
  <si>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</si>
  <si>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</si>
  <si>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</si>
  <si>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</si>
  <si>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</si>
  <si>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</si>
  <si>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</si>
  <si>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</si>
  <si>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</si>
  <si>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</si>
  <si>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</si>
  <si>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</si>
  <si>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</si>
  <si>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</si>
  <si>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</si>
  <si>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</si>
  <si>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</si>
  <si>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</si>
  <si>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</si>
  <si>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</si>
  <si>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</si>
  <si>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</si>
  <si>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</si>
  <si>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</si>
  <si>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</si>
  <si>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</si>
  <si>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</si>
  <si>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</si>
  <si>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</si>
  <si>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</si>
  <si>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</si>
  <si>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</si>
  <si>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</si>
  <si>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</si>
  <si>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</si>
  <si>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</si>
  <si>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</si>
  <si>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</si>
  <si>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</si>
  <si>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</si>
  <si>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</si>
  <si>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</si>
  <si>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</si>
  <si>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</si>
  <si>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</si>
  <si>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</si>
  <si>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</si>
  <si>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</si>
  <si>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</si>
  <si>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</si>
  <si>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</si>
  <si>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</si>
  <si>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</si>
  <si>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</si>
  <si>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</si>
  <si>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</si>
  <si>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</si>
  <si>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</si>
  <si>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</si>
  <si>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</si>
  <si>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</si>
  <si>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</si>
  <si>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</si>
  <si>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</si>
  <si>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</si>
  <si>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</si>
  <si>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</si>
  <si>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</si>
  <si>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</si>
  <si>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</si>
  <si>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</si>
  <si>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</si>
  <si>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</si>
  <si>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</si>
  <si>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</si>
  <si>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</si>
  <si>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</si>
  <si>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</si>
  <si>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</si>
  <si>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</si>
  <si>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</si>
  <si>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</si>
  <si>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</si>
  <si>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</si>
  <si>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</si>
  <si>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</si>
  <si>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</si>
  <si>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</si>
  <si>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</si>
  <si>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</si>
  <si>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</si>
  <si>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</si>
  <si>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</si>
  <si>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</si>
  <si>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</si>
  <si>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</si>
  <si>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</si>
  <si>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</si>
  <si>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</si>
  <si>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</si>
  <si>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</si>
  <si>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</si>
  <si>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</si>
  <si>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</si>
  <si>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</si>
  <si>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</si>
  <si>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</si>
  <si>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</si>
  <si>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</si>
  <si>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</si>
  <si>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</si>
  <si>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</si>
  <si>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</si>
  <si>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</si>
  <si>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</si>
  <si>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</si>
  <si>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</si>
  <si>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</si>
  <si>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</si>
  <si>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</si>
  <si>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</si>
  <si>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</si>
  <si>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</si>
  <si>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</si>
  <si>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</si>
  <si>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</si>
  <si>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</si>
  <si>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</si>
  <si>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</si>
  <si>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</si>
  <si>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</si>
  <si>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</si>
  <si>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</si>
  <si>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</si>
  <si>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</si>
  <si>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</si>
  <si>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</si>
  <si>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</si>
  <si>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</si>
  <si>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</si>
  <si>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</si>
  <si>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</si>
  <si>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</si>
  <si>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</si>
  <si>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</si>
  <si>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</si>
  <si>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</si>
  <si>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</si>
  <si>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</si>
  <si>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</si>
  <si>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</si>
  <si>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</si>
  <si>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</si>
  <si>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</si>
  <si>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</si>
  <si>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</si>
  <si>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</si>
  <si>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</si>
  <si>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</si>
  <si>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</si>
  <si>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</si>
  <si>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</si>
  <si>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</si>
  <si>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</si>
  <si>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</si>
  <si>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</si>
  <si>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</si>
  <si>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</si>
  <si>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</si>
  <si>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</si>
  <si>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</si>
  <si>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</si>
  <si>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</si>
  <si>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</si>
  <si>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</si>
  <si>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</si>
  <si>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</si>
  <si>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</si>
  <si>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</si>
  <si>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</si>
  <si>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</si>
  <si>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</si>
  <si>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</si>
  <si>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</si>
  <si>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</si>
  <si>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</si>
  <si>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</si>
  <si>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</si>
  <si>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</si>
  <si>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</si>
  <si>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</si>
  <si>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</si>
  <si>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</si>
  <si>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</si>
  <si>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</si>
  <si>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</si>
  <si>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</si>
  <si>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</si>
  <si>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</si>
  <si>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</si>
  <si>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</si>
  <si>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</si>
  <si>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</si>
  <si>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</si>
  <si>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</si>
  <si>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</si>
  <si>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</si>
  <si>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</si>
  <si>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</si>
  <si>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</si>
  <si>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</si>
  <si>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</si>
  <si>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</si>
  <si>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</si>
  <si>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</si>
  <si>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</si>
  <si>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</si>
  <si>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</si>
  <si>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</si>
  <si>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</si>
  <si>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</si>
  <si>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</si>
  <si>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</si>
  <si>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</si>
  <si>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</si>
  <si>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</si>
  <si>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</si>
  <si>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</si>
  <si>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</si>
  <si>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</si>
  <si>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</si>
  <si>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</si>
  <si>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</si>
  <si>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</si>
  <si>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</si>
  <si>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</si>
  <si>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</si>
  <si>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</si>
  <si>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</si>
  <si>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</si>
  <si>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</si>
  <si>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</si>
  <si>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</si>
  <si>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</si>
  <si>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</si>
  <si>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</si>
  <si>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</si>
  <si>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</si>
  <si>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</si>
  <si>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</si>
  <si>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</si>
  <si>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</si>
  <si>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</si>
  <si>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</si>
  <si>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</si>
  <si>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</si>
  <si>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</si>
  <si>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</si>
  <si>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</si>
  <si>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</si>
  <si>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</si>
  <si>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</si>
  <si>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</si>
  <si>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</si>
  <si>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</si>
  <si>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</si>
  <si>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</si>
  <si>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</si>
  <si>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</si>
  <si>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</si>
  <si>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</si>
  <si>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</si>
  <si>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</si>
  <si>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</si>
  <si>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</si>
  <si>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</si>
  <si>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</si>
  <si>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</si>
  <si>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</si>
  <si>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</si>
  <si>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</si>
  <si>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</si>
  <si>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</si>
  <si>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</si>
  <si>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</si>
  <si>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</si>
  <si>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</si>
  <si>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</si>
  <si>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</si>
  <si>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</si>
  <si>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</si>
  <si>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</si>
  <si>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</si>
  <si>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</si>
  <si>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</si>
  <si>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</si>
  <si>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</si>
  <si>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</si>
  <si>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</si>
  <si>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</si>
  <si>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</si>
  <si>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</si>
  <si>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</si>
  <si>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</si>
  <si>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</si>
  <si>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</si>
  <si>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</si>
  <si>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</si>
  <si>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</si>
  <si>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</si>
  <si>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</si>
  <si>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</si>
  <si>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</si>
  <si>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</si>
  <si>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</si>
  <si>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</si>
  <si>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</si>
  <si>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</si>
  <si>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</si>
  <si>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</si>
  <si>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</si>
  <si>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</si>
  <si>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</si>
  <si>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</si>
  <si>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</si>
  <si>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</si>
  <si>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</si>
  <si>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</si>
  <si>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</si>
  <si>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</si>
  <si>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</si>
  <si>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</si>
  <si>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</si>
  <si>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</si>
  <si>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</si>
  <si>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</si>
  <si>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</si>
  <si>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</si>
  <si>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</si>
  <si>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</si>
  <si>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</si>
  <si>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</si>
  <si>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</si>
  <si>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</si>
  <si>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</si>
  <si>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</si>
  <si>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</si>
  <si>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</si>
  <si>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</si>
  <si>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</si>
  <si>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</si>
  <si>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</si>
  <si>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</si>
  <si>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</si>
  <si>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</si>
  <si>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</si>
  <si>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</si>
  <si>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</si>
  <si>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</si>
  <si>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</si>
  <si>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</si>
  <si>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</si>
  <si>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</si>
  <si>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</si>
  <si>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</si>
  <si>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</si>
  <si>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</si>
  <si>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</si>
  <si>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</si>
  <si>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</si>
  <si>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</si>
  <si>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</si>
  <si>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</si>
  <si>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</si>
  <si>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</si>
  <si>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</si>
  <si>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</si>
  <si>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</si>
  <si>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</si>
  <si>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</si>
  <si>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</si>
  <si>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</si>
  <si>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</si>
  <si>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</si>
  <si>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</si>
  <si>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</si>
  <si>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</si>
  <si>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</si>
  <si>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</si>
  <si>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</si>
  <si>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</si>
  <si>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</si>
  <si>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</si>
  <si>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</si>
  <si>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</si>
  <si>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</si>
  <si>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</si>
  <si>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</si>
  <si>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</si>
  <si>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</si>
  <si>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</si>
  <si>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</si>
  <si>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</si>
  <si>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</si>
  <si>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</si>
  <si>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</si>
  <si>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</si>
  <si>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</si>
  <si>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</si>
  <si>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</si>
  <si>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</si>
  <si>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</si>
  <si>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</si>
  <si>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</si>
  <si>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</si>
  <si>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</si>
  <si>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</si>
  <si>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</si>
  <si>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</si>
  <si>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</si>
  <si>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</si>
  <si>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</si>
  <si>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</si>
  <si>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</si>
  <si>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</si>
  <si>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</si>
  <si>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</si>
  <si>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</si>
  <si>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</si>
  <si>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</si>
  <si>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</si>
  <si>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</si>
  <si>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</si>
  <si>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</si>
  <si>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</si>
  <si>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</si>
  <si>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</si>
  <si>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</si>
  <si>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</si>
  <si>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</si>
  <si>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</si>
  <si>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</si>
  <si>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</si>
  <si>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</si>
  <si>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</si>
  <si>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</si>
  <si>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</si>
  <si>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</si>
  <si>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</si>
  <si>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</si>
  <si>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</si>
  <si>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</si>
  <si>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</si>
  <si>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</si>
  <si>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</si>
  <si>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</si>
  <si>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</si>
  <si>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</si>
  <si>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</si>
  <si>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</si>
  <si>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</si>
  <si>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</si>
  <si>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</si>
  <si>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</si>
  <si>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</si>
  <si>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</si>
  <si>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</si>
  <si>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</si>
  <si>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</si>
  <si>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</si>
  <si>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</si>
  <si>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</si>
  <si>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</si>
  <si>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</si>
  <si>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</si>
  <si>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</si>
  <si>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</si>
  <si>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</si>
  <si>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</si>
  <si>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</si>
  <si>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</si>
  <si>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</si>
  <si>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</si>
  <si>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</si>
  <si>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</si>
  <si>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</si>
  <si>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</si>
  <si>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</si>
  <si>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</si>
  <si>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</si>
  <si>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</si>
  <si>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</si>
  <si>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</si>
  <si>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</si>
  <si>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</si>
  <si>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</si>
  <si>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</si>
  <si>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</si>
  <si>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</si>
  <si>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</si>
  <si>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</si>
  <si>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</si>
  <si>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</si>
  <si>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</si>
  <si>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</si>
  <si>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</si>
  <si>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</si>
  <si>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</si>
  <si>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</si>
  <si>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</si>
  <si>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</si>
  <si>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</si>
  <si>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</si>
  <si>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</si>
  <si>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</si>
  <si>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</si>
  <si>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</si>
  <si>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</si>
  <si>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</si>
  <si>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</si>
  <si>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</si>
  <si>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</si>
  <si>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</si>
  <si>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</si>
  <si>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</si>
  <si>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</si>
  <si>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</si>
  <si>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</si>
  <si>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</si>
  <si>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</si>
  <si>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</si>
  <si>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</si>
  <si>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</si>
  <si>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</si>
  <si>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</si>
  <si>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</si>
  <si>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</si>
  <si>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</si>
  <si>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</si>
  <si>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</si>
  <si>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</si>
  <si>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</si>
  <si>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</si>
  <si>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</si>
  <si>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</si>
  <si>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</si>
  <si>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</si>
  <si>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</si>
  <si>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</si>
  <si>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</si>
  <si>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</si>
  <si>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</si>
  <si>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</si>
  <si>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</si>
  <si>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</si>
  <si>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</si>
  <si>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</si>
  <si>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</si>
  <si>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</si>
  <si>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</si>
  <si>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</si>
  <si>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</si>
  <si>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</si>
  <si>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</si>
  <si>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</si>
  <si>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</si>
  <si>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</si>
  <si>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</si>
  <si>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</si>
  <si>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</si>
  <si>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</si>
  <si>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</si>
  <si>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</si>
  <si>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</si>
  <si>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</si>
  <si>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</si>
  <si>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</si>
  <si>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</si>
  <si>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</si>
  <si>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</si>
  <si>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</si>
  <si>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</si>
  <si>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</si>
  <si>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</si>
  <si>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</si>
  <si>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</si>
  <si>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</si>
  <si>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</si>
  <si>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</si>
  <si>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</si>
  <si>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</si>
  <si>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</si>
  <si>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</si>
  <si>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</si>
  <si>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</si>
  <si>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</si>
  <si>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</si>
  <si>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</si>
  <si>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</si>
  <si>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</si>
  <si>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</si>
  <si>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</si>
  <si>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</si>
  <si>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</si>
  <si>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</si>
  <si>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</si>
  <si>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</si>
  <si>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</si>
  <si>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</si>
  <si>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</si>
  <si>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</si>
  <si>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</si>
  <si>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</si>
  <si>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</si>
  <si>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</si>
  <si>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</si>
  <si>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</si>
  <si>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</si>
  <si>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</si>
  <si>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</si>
  <si>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</si>
  <si>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</si>
  <si>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</si>
  <si>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</si>
  <si>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</si>
  <si>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</si>
  <si>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</si>
  <si>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</si>
  <si>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</si>
  <si>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</si>
  <si>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</si>
  <si>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</si>
  <si>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</si>
  <si>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</si>
  <si>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</si>
  <si>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</si>
  <si>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</si>
  <si>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</si>
  <si>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</si>
  <si>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</si>
  <si>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</si>
  <si>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</si>
  <si>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</si>
  <si>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</si>
  <si>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</si>
  <si>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</si>
  <si>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</si>
  <si>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</si>
  <si>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</si>
  <si>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</si>
  <si>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</si>
  <si>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</si>
  <si>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</si>
  <si>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</si>
  <si>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</si>
  <si>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</si>
  <si>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</si>
  <si>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</si>
  <si>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</si>
  <si>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</si>
  <si>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</si>
  <si>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</si>
  <si>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</si>
  <si>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</si>
  <si>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</si>
  <si>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</si>
  <si>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</si>
  <si>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</si>
  <si>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</si>
  <si>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</si>
  <si>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</si>
  <si>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</si>
  <si>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</si>
  <si>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</si>
  <si>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</si>
  <si>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</si>
  <si>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</si>
  <si>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</si>
  <si>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</si>
  <si>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</si>
  <si>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</si>
  <si>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</si>
  <si>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</si>
  <si>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</si>
  <si>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</si>
  <si>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</si>
  <si>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</si>
  <si>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</si>
  <si>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</si>
  <si>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</si>
  <si>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</si>
  <si>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</si>
  <si>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</si>
  <si>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</si>
  <si>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</si>
  <si>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</si>
  <si>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</si>
  <si>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</si>
  <si>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</si>
  <si>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</si>
  <si>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</si>
  <si>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</si>
  <si>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</si>
  <si>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</si>
  <si>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</si>
  <si>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</si>
  <si>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</si>
  <si>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</si>
  <si>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</si>
  <si>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</si>
  <si>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</si>
  <si>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</si>
  <si>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</si>
  <si>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</si>
  <si>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</si>
  <si>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</si>
  <si>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</si>
  <si>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</si>
  <si>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</si>
  <si>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</si>
  <si>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</si>
  <si>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</si>
  <si>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</si>
  <si>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</si>
  <si>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</si>
  <si>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</si>
  <si>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</si>
  <si>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</si>
  <si>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</si>
  <si>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</si>
  <si>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</si>
  <si>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</si>
  <si>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</si>
  <si>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</si>
  <si>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</si>
  <si>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</si>
  <si>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</si>
  <si>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</si>
  <si>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</si>
  <si>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</si>
  <si>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</si>
  <si>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</si>
  <si>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</si>
  <si>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</si>
  <si>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</si>
  <si>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</si>
  <si>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</si>
  <si>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</si>
  <si>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</si>
  <si>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</si>
  <si>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</si>
  <si>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</si>
  <si>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</si>
  <si>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</si>
  <si>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</si>
  <si>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</si>
  <si>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</si>
  <si>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</si>
  <si>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</si>
  <si>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</si>
  <si>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</si>
  <si>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</si>
  <si>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</si>
  <si>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</si>
  <si>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</si>
  <si>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</si>
  <si>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</si>
  <si>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</si>
  <si>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</si>
  <si>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</si>
  <si>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</si>
  <si>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</si>
  <si>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</si>
  <si>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</si>
  <si>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</si>
  <si>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</si>
  <si>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</si>
  <si>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</si>
  <si>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</si>
  <si>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</si>
  <si>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</si>
  <si>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</si>
  <si>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</si>
  <si>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</si>
  <si>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</si>
  <si>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</si>
  <si>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</si>
  <si>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</si>
  <si>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</si>
  <si>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</si>
  <si>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</si>
  <si>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</si>
  <si>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</si>
  <si>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</si>
  <si>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</si>
  <si>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</si>
  <si>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</si>
  <si>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</si>
  <si>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</si>
  <si>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</si>
  <si>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</si>
  <si>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</si>
  <si>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</si>
  <si>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</si>
  <si>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</si>
  <si>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</si>
  <si>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</si>
  <si>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</si>
  <si>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</si>
  <si>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</si>
  <si>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</si>
  <si>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</si>
  <si>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</si>
  <si>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</si>
  <si>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</si>
  <si>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</si>
  <si>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</si>
  <si>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</si>
  <si>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</si>
  <si>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</si>
  <si>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</si>
  <si>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</si>
  <si>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</si>
  <si>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</si>
  <si>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</si>
  <si>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</si>
  <si>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</si>
  <si>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</si>
  <si>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</si>
  <si>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</si>
  <si>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</si>
  <si>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</si>
  <si>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</si>
  <si>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</si>
  <si>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</si>
  <si>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</si>
  <si>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</si>
  <si>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</si>
  <si>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</si>
  <si>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</si>
  <si>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</si>
  <si>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</si>
  <si>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</si>
  <si>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</si>
  <si>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</si>
  <si>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</si>
  <si>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</si>
  <si>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</si>
  <si>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</si>
  <si>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</si>
  <si>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</si>
  <si>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</si>
  <si>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</si>
  <si>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</si>
  <si>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</si>
  <si>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</si>
  <si>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</si>
  <si>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</si>
  <si>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</si>
  <si>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</si>
  <si>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</si>
  <si>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</si>
  <si>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</si>
  <si>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</si>
  <si>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</si>
  <si>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</si>
  <si>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</si>
  <si>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</si>
  <si>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</si>
  <si>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</si>
  <si>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</si>
  <si>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</si>
  <si>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</si>
  <si>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</si>
  <si>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</si>
  <si>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</si>
  <si>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</si>
  <si>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</si>
  <si>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</si>
  <si>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</si>
  <si>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</si>
  <si>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</si>
  <si>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</si>
  <si>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</si>
  <si>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</si>
  <si>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</si>
  <si>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</si>
  <si>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</si>
  <si>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</si>
  <si>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</si>
  <si>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</si>
  <si>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</si>
  <si>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</si>
  <si>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</si>
  <si>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</si>
  <si>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</si>
  <si>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</si>
  <si>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</si>
  <si>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</si>
  <si>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</si>
  <si>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</si>
  <si>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</si>
  <si>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</si>
  <si>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</si>
  <si>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</si>
  <si>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</si>
  <si>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</si>
  <si>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</si>
  <si>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</si>
  <si>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</si>
  <si>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</si>
  <si>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</si>
  <si>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</si>
  <si>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</si>
  <si>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</si>
  <si>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</si>
  <si>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</si>
  <si>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</si>
  <si>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</si>
  <si>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</si>
  <si>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</si>
  <si>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</si>
  <si>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</si>
  <si>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</si>
  <si>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</si>
  <si>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</si>
  <si>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</si>
  <si>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</si>
  <si>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</si>
  <si>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</si>
  <si>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</si>
  <si>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</si>
  <si>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</si>
  <si>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</si>
  <si>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</si>
  <si>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</si>
  <si>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</si>
  <si>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</si>
  <si>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</si>
  <si>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</si>
  <si>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</si>
  <si>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</si>
  <si>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</si>
  <si>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</si>
  <si>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</si>
  <si>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</si>
  <si>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</si>
  <si>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</si>
  <si>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</si>
  <si>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</si>
  <si>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</si>
  <si>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</si>
  <si>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</si>
  <si>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</si>
  <si>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</si>
  <si>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</si>
  <si>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</si>
  <si>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</si>
  <si>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</si>
  <si>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</si>
  <si>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</si>
  <si>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</si>
  <si>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</si>
  <si>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</si>
  <si>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</si>
  <si>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</si>
  <si>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</si>
  <si>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</si>
  <si>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</si>
  <si>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</si>
  <si>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</si>
  <si>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</si>
  <si>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</si>
  <si>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</si>
  <si>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</si>
  <si>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</si>
  <si>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</si>
  <si>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</si>
  <si>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</si>
  <si>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</si>
  <si>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</si>
  <si>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</si>
  <si>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</si>
  <si>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</si>
  <si>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</si>
  <si>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</si>
  <si>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</si>
  <si>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</si>
  <si>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</si>
  <si>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</si>
  <si>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</si>
  <si>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</si>
  <si>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</si>
  <si>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</si>
  <si>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</si>
  <si>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</si>
  <si>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</si>
  <si>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</si>
  <si>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</si>
  <si>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</si>
  <si>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</si>
  <si>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</si>
  <si>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</si>
  <si>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</si>
  <si>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</si>
  <si>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</si>
  <si>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</si>
  <si>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</si>
  <si>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</si>
  <si>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</si>
  <si>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</si>
  <si>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</si>
  <si>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</si>
  <si>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</si>
  <si>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</si>
  <si>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</si>
  <si>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</si>
  <si>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</si>
  <si>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</si>
  <si>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</si>
  <si>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</si>
  <si>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</si>
  <si>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</si>
  <si>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</si>
  <si>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</si>
  <si>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</si>
  <si>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</si>
  <si>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</si>
  <si>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</si>
  <si>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</si>
  <si>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</si>
  <si>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</si>
  <si>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</si>
  <si>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</si>
  <si>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</si>
  <si>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</si>
  <si>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</si>
  <si>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</si>
  <si>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</si>
  <si>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</si>
  <si>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</si>
  <si>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</si>
  <si>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</si>
  <si>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</si>
  <si>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</si>
  <si>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</si>
  <si>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</si>
  <si>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</si>
  <si>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</si>
  <si>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</si>
  <si>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</si>
  <si>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</si>
  <si>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</si>
  <si>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</si>
  <si>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</si>
  <si>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</si>
  <si>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</si>
  <si>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</si>
  <si>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</si>
  <si>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</si>
  <si>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</si>
  <si>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</si>
  <si>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</si>
  <si>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</si>
  <si>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</si>
  <si>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</si>
  <si>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</si>
  <si>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</si>
  <si>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</si>
  <si>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</si>
  <si>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</si>
  <si>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</si>
  <si>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</si>
  <si>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</si>
  <si>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</si>
  <si>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</si>
  <si>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</si>
  <si>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</si>
  <si>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</si>
  <si>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</si>
  <si>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</si>
  <si>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</si>
  <si>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</si>
  <si>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</si>
  <si>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</si>
  <si>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</si>
  <si>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</si>
  <si>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</si>
  <si>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</si>
  <si>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</si>
  <si>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</si>
  <si>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</si>
  <si>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</si>
  <si>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</si>
  <si>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</si>
  <si>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</si>
  <si>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</si>
  <si>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</si>
  <si>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</si>
  <si>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</si>
  <si>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</si>
  <si>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</si>
  <si>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</si>
  <si>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</si>
  <si>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</si>
  <si>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</si>
  <si>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</si>
  <si>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</si>
  <si>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</si>
  <si>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</si>
  <si>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</si>
  <si>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</si>
  <si>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</si>
  <si>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</si>
  <si>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</si>
  <si>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</si>
  <si>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</si>
  <si>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</si>
  <si>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</si>
  <si>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</si>
  <si>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</si>
  <si>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</si>
  <si>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</si>
  <si>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</si>
  <si>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</si>
  <si>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</si>
  <si>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</si>
  <si>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</si>
  <si>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</si>
  <si>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</si>
  <si>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</si>
  <si>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</si>
  <si>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</si>
  <si>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</si>
  <si>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</si>
  <si>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</si>
  <si>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</si>
  <si>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</si>
  <si>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</si>
  <si>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</si>
  <si>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</si>
  <si>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</si>
  <si>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</si>
  <si>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</si>
  <si>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</si>
  <si>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</si>
  <si>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</si>
  <si>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</si>
  <si>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</si>
  <si>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</si>
  <si>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</si>
  <si>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</si>
  <si>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</si>
  <si>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</si>
  <si>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</si>
  <si>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</si>
  <si>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</si>
  <si>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</si>
  <si>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</si>
  <si>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</si>
  <si>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</si>
  <si>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</si>
  <si>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</si>
  <si>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</si>
  <si>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</si>
  <si>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</si>
  <si>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</si>
  <si>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</si>
  <si>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</si>
  <si>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</si>
  <si>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</si>
  <si>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</si>
  <si>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</si>
  <si>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</si>
  <si>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</si>
  <si>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</si>
  <si>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</si>
  <si>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</si>
  <si>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</si>
  <si>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</si>
  <si>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</si>
  <si>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</si>
  <si>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</si>
  <si>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</si>
  <si>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</si>
  <si>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</si>
  <si>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</si>
  <si>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</si>
  <si>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</si>
  <si>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</si>
  <si>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</si>
  <si>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</si>
  <si>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</si>
  <si>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</si>
  <si>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</si>
  <si>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</si>
  <si>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</si>
  <si>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</si>
  <si>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</si>
  <si>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</si>
  <si>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</si>
  <si>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</si>
  <si>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</si>
  <si>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</si>
  <si>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</si>
  <si>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</si>
  <si>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</si>
  <si>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</si>
  <si>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</si>
  <si>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</si>
  <si>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</si>
  <si>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</si>
  <si>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</si>
  <si>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</si>
  <si>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</si>
  <si>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</si>
  <si>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</si>
  <si>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</si>
  <si>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</si>
  <si>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</si>
  <si>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</si>
  <si>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</si>
  <si>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</si>
  <si>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</si>
  <si>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</si>
  <si>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</si>
  <si>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</si>
  <si>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</si>
  <si>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</si>
  <si>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</si>
  <si>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</si>
  <si>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</si>
  <si>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</si>
  <si>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</si>
  <si>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</si>
  <si>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</si>
  <si>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</si>
  <si>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</si>
  <si>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</si>
  <si>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</si>
  <si>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</si>
  <si>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</si>
  <si>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</si>
  <si>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</si>
  <si>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</si>
  <si>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</si>
  <si>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</si>
  <si>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</si>
  <si>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</si>
  <si>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</si>
  <si>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</si>
  <si>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</si>
  <si>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</si>
  <si>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</si>
  <si>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</si>
  <si>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</si>
  <si>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</si>
  <si>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</si>
  <si>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</si>
  <si>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</si>
  <si>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</si>
  <si>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</si>
  <si>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</si>
  <si>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</si>
  <si>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</si>
  <si>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</si>
  <si>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</si>
  <si>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</si>
  <si>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</si>
  <si>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</si>
  <si>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</si>
  <si>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</si>
  <si>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</si>
  <si>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</si>
  <si>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</si>
  <si>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</si>
  <si>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</si>
  <si>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</si>
  <si>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</si>
  <si>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</si>
  <si>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</si>
  <si>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</si>
  <si>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</si>
  <si>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</si>
  <si>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</si>
  <si>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</si>
  <si>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</si>
  <si>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</si>
  <si>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</si>
  <si>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</si>
  <si>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</si>
  <si>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</si>
  <si>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</si>
  <si>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</si>
  <si>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</si>
  <si>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</si>
  <si>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</si>
  <si>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</si>
  <si>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</si>
  <si>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</si>
  <si>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</si>
  <si>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</si>
  <si>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</si>
  <si>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</si>
  <si>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</si>
  <si>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</si>
  <si>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</si>
  <si>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</si>
  <si>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</si>
  <si>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</si>
  <si>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</si>
  <si>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</si>
  <si>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</si>
  <si>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</si>
  <si>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</si>
  <si>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</si>
  <si>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</si>
  <si>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</si>
  <si>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</si>
  <si>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</si>
  <si>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</si>
  <si>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</si>
  <si>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</si>
  <si>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</si>
  <si>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</si>
  <si>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</si>
  <si>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</si>
  <si>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</si>
  <si>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</si>
  <si>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</si>
  <si>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</si>
  <si>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</si>
  <si>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</si>
  <si>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</si>
  <si>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</si>
  <si>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</si>
  <si>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</si>
  <si>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</si>
  <si>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</si>
  <si>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</si>
  <si>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</si>
  <si>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</si>
  <si>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</si>
  <si>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</si>
  <si>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</si>
  <si>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</si>
  <si>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</si>
  <si>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</si>
  <si>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</si>
  <si>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</si>
  <si>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</si>
  <si>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</si>
  <si>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</si>
  <si>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</si>
  <si>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</si>
  <si>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</si>
  <si>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</si>
  <si>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</si>
  <si>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</si>
  <si>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</si>
  <si>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</si>
  <si>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</si>
  <si>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</si>
  <si>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</si>
  <si>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</si>
  <si>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</si>
  <si>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</si>
  <si>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</si>
  <si>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</si>
  <si>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</si>
  <si>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</si>
  <si>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</si>
  <si>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</si>
  <si>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</si>
  <si>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</si>
  <si>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</si>
  <si>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</si>
  <si>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</si>
  <si>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</si>
  <si>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</si>
  <si>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</si>
  <si>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</si>
  <si>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</si>
  <si>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</si>
  <si>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</si>
  <si>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</si>
  <si>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</si>
  <si>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</si>
  <si>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</si>
  <si>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</si>
  <si>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</si>
  <si>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</si>
  <si>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</si>
  <si>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</si>
  <si>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</si>
  <si>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</si>
  <si>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</si>
  <si>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</si>
  <si>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</si>
  <si>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</si>
  <si>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</si>
  <si>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</si>
  <si>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</si>
  <si>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</si>
  <si>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</si>
  <si>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</si>
  <si>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</si>
  <si>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</si>
  <si>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</si>
  <si>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</si>
  <si>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</si>
  <si>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</si>
  <si>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</si>
  <si>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</si>
  <si>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</si>
  <si>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</si>
  <si>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</si>
  <si>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</si>
  <si>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</si>
  <si>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</si>
  <si>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</si>
  <si>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</si>
  <si>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</si>
  <si>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</si>
  <si>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</si>
  <si>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</si>
  <si>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</si>
  <si>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</si>
  <si>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</si>
  <si>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</si>
  <si>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</si>
  <si>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</si>
  <si>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</si>
  <si>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</si>
  <si>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</si>
  <si>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</si>
  <si>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</si>
  <si>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</si>
  <si>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</si>
  <si>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</si>
  <si>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</si>
  <si>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</si>
  <si>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</si>
  <si>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</si>
  <si>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</si>
  <si>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</si>
  <si>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</si>
  <si>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</si>
  <si>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</si>
  <si>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</si>
  <si>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</si>
  <si>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</si>
  <si>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</si>
  <si>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</si>
  <si>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</si>
  <si>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</si>
  <si>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</si>
  <si>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</si>
  <si>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</si>
  <si>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</si>
  <si>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</si>
  <si>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</si>
  <si>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</si>
  <si>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</si>
  <si>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</si>
  <si>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</si>
  <si>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</si>
  <si>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</si>
  <si>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</si>
  <si>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</si>
  <si>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</si>
  <si>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</si>
  <si>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</si>
  <si>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</si>
  <si>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</si>
  <si>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</si>
  <si>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</si>
  <si>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</si>
  <si>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</si>
  <si>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</si>
  <si>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</si>
  <si>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</si>
  <si>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</si>
  <si>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</si>
  <si>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</si>
  <si>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</si>
  <si>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</si>
  <si>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</si>
  <si>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</si>
  <si>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</si>
  <si>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</si>
  <si>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</si>
  <si>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</si>
  <si>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</si>
  <si>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</si>
  <si>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</si>
  <si>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</si>
  <si>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</si>
  <si>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</si>
  <si>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</si>
  <si>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</si>
  <si>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</si>
  <si>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</si>
  <si>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</si>
  <si>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</si>
  <si>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</si>
  <si>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</si>
  <si>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</si>
  <si>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</si>
  <si>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</si>
  <si>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</si>
  <si>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</si>
  <si>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</si>
  <si>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</si>
  <si>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</si>
  <si>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</si>
  <si>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</si>
  <si>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</si>
  <si>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</si>
  <si>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</si>
  <si>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</si>
  <si>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</si>
  <si>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</si>
  <si>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</si>
  <si>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</si>
  <si>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</si>
  <si>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</si>
  <si>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</si>
  <si>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</si>
  <si>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</si>
  <si>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</si>
  <si>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</si>
  <si>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</si>
  <si>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</si>
  <si>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</si>
  <si>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</si>
  <si>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</si>
  <si>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</si>
  <si>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</si>
  <si>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</si>
  <si>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</si>
  <si>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</si>
  <si>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</si>
  <si>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</si>
  <si>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</si>
  <si>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</si>
  <si>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</si>
  <si>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</si>
  <si>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</si>
  <si>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</si>
  <si>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</si>
  <si>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</si>
  <si>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</si>
  <si>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</si>
  <si>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</si>
  <si>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</si>
  <si>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</si>
  <si>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</si>
  <si>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</si>
  <si>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</si>
  <si>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</si>
  <si>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</si>
  <si>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</si>
  <si>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</si>
  <si>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</si>
  <si>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</si>
  <si>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</si>
  <si>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</si>
  <si>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</si>
  <si>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</si>
  <si>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</si>
  <si>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</si>
  <si>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</si>
  <si>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</si>
  <si>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</si>
  <si>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</si>
  <si>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</si>
  <si>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</si>
  <si>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</si>
  <si>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</si>
  <si>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</si>
  <si>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</si>
  <si>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</si>
  <si>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</si>
  <si>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</si>
  <si>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</si>
  <si>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</si>
  <si>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</si>
  <si>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</si>
  <si>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</si>
  <si>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</si>
  <si>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</si>
  <si>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</si>
  <si>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</si>
  <si>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</si>
  <si>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</si>
  <si>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</si>
  <si>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</si>
  <si>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</si>
  <si>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</si>
  <si>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</si>
  <si>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</si>
  <si>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</si>
  <si>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</si>
  <si>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</si>
  <si>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</si>
  <si>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</si>
  <si>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</si>
  <si>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</si>
  <si>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</si>
  <si>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</si>
  <si>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</si>
  <si>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</si>
  <si>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</si>
  <si>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</si>
  <si>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</si>
  <si>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</si>
  <si>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</si>
  <si>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</si>
  <si>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</si>
  <si>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</si>
  <si>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</si>
  <si>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</si>
  <si>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</si>
  <si>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</si>
  <si>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</si>
  <si>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</si>
  <si>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</si>
  <si>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</si>
  <si>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</si>
  <si>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</si>
  <si>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</si>
  <si>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</si>
  <si>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</si>
  <si>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</si>
  <si>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</si>
  <si>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</si>
  <si>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</si>
  <si>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</si>
  <si>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</si>
  <si>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</si>
  <si>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</si>
  <si>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</si>
  <si>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</si>
  <si>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</si>
  <si>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</si>
  <si>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</si>
  <si>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</si>
  <si>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</si>
  <si>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</si>
  <si>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</si>
  <si>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</si>
  <si>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</si>
  <si>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</si>
  <si>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</si>
  <si>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</si>
  <si>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</si>
  <si>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</si>
  <si>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</si>
  <si>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</si>
  <si>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</si>
  <si>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</si>
  <si>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</si>
  <si>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</si>
  <si>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</si>
  <si>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</si>
  <si>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</si>
  <si>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</si>
  <si>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</si>
  <si>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</si>
  <si>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</si>
  <si>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</si>
  <si>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</si>
  <si>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</si>
  <si>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</si>
  <si>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</si>
  <si>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</si>
  <si>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</si>
  <si>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</si>
  <si>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</si>
  <si>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</si>
  <si>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</si>
  <si>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</si>
  <si>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</si>
  <si>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</si>
  <si>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</si>
  <si>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</si>
  <si>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</si>
  <si>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</si>
  <si>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</si>
  <si>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</si>
  <si>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</si>
  <si>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</si>
  <si>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</si>
  <si>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</si>
  <si>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</si>
  <si>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</si>
  <si>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</si>
  <si>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</si>
  <si>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</si>
  <si>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</si>
  <si>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</si>
  <si>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</si>
  <si>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</si>
  <si>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</si>
  <si>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</si>
  <si>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</si>
  <si>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</si>
  <si>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</si>
  <si>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</si>
  <si>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</si>
  <si>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</si>
  <si>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</si>
  <si>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</si>
  <si>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</si>
  <si>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</si>
  <si>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</si>
  <si>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</si>
  <si>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</si>
  <si>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</si>
  <si>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</si>
  <si>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</si>
  <si>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</si>
  <si>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</si>
  <si>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</si>
  <si>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</si>
  <si>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</si>
  <si>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</si>
  <si>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</si>
  <si>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</si>
  <si>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</si>
  <si>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</si>
  <si>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</si>
  <si>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</si>
  <si>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</si>
  <si>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</si>
  <si>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</si>
  <si>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</si>
  <si>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</si>
  <si>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</si>
  <si>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</si>
  <si>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</si>
  <si>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</si>
  <si>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</si>
  <si>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</si>
  <si>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</si>
  <si>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</si>
  <si>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</si>
  <si>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</si>
  <si>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</si>
  <si>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</si>
  <si>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</si>
  <si>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</si>
  <si>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</si>
  <si>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</si>
  <si>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</si>
  <si>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</si>
  <si>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</si>
  <si>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</si>
  <si>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</si>
  <si>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</si>
  <si>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</si>
  <si>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</si>
  <si>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</si>
  <si>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</si>
  <si>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</si>
  <si>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</si>
  <si>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</si>
  <si>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</si>
  <si>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</si>
  <si>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</si>
  <si>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</si>
  <si>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</si>
  <si>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</si>
  <si>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</si>
  <si>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</si>
  <si>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</si>
  <si>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</si>
  <si>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</si>
  <si>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</si>
  <si>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</si>
  <si>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</si>
  <si>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</si>
  <si>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</si>
  <si>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</si>
  <si>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</si>
  <si>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</si>
  <si>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</si>
  <si>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</si>
  <si>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</si>
  <si>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</si>
  <si>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</si>
  <si>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</si>
  <si>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</si>
  <si>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</si>
  <si>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</si>
  <si>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</si>
  <si>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</si>
  <si>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</si>
  <si>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</si>
  <si>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</si>
  <si>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</si>
  <si>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</si>
  <si>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</si>
  <si>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</si>
  <si>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</si>
  <si>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</si>
  <si>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</si>
  <si>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</si>
  <si>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</si>
  <si>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</si>
  <si>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</si>
  <si>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</si>
  <si>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</si>
  <si>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</si>
  <si>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</si>
  <si>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</si>
  <si>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</si>
  <si>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</si>
  <si>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</si>
  <si>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</si>
  <si>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</si>
  <si>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</si>
  <si>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</si>
  <si>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</si>
  <si>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</si>
  <si>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</si>
  <si>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</si>
  <si>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</si>
  <si>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</si>
  <si>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</si>
  <si>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</si>
  <si>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</si>
  <si>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</si>
  <si>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</si>
  <si>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</si>
  <si>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</si>
  <si>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</si>
  <si>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</si>
  <si>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</si>
  <si>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</si>
  <si>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</si>
  <si>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</si>
  <si>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</si>
  <si>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</si>
  <si>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</si>
  <si>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</si>
  <si>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</si>
  <si>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</si>
  <si>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</si>
  <si>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</si>
  <si>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</si>
  <si>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</si>
  <si>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</si>
  <si>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</si>
  <si>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</si>
  <si>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</si>
  <si>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</si>
  <si>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</si>
  <si>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</si>
  <si>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</si>
  <si>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</si>
  <si>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</si>
  <si>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</si>
  <si>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</si>
  <si>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</si>
  <si>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</si>
  <si>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</si>
  <si>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</si>
  <si>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</si>
  <si>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</si>
  <si>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</si>
  <si>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</si>
  <si>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</si>
  <si>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</si>
  <si>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</si>
  <si>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</si>
  <si>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</si>
  <si>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</si>
  <si>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</si>
  <si>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</si>
  <si>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</si>
  <si>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</si>
  <si>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</si>
  <si>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</si>
  <si>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</si>
  <si>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</si>
  <si>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</si>
  <si>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</si>
  <si>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</si>
  <si>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</si>
  <si>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</si>
  <si>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</si>
  <si>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</si>
  <si>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</si>
  <si>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</si>
  <si>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</si>
  <si>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</si>
  <si>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</si>
  <si>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</si>
  <si>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</si>
  <si>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</si>
  <si>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</si>
  <si>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</si>
  <si>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</si>
  <si>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</si>
  <si>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</si>
  <si>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</si>
  <si>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</si>
  <si>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</si>
  <si>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</si>
  <si>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</si>
  <si>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</si>
  <si>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</si>
  <si>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</si>
  <si>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</si>
  <si>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</si>
  <si>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</si>
  <si>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</si>
  <si>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</si>
  <si>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</si>
  <si>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</si>
  <si>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</si>
  <si>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</si>
  <si>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</si>
  <si>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</si>
  <si>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</si>
  <si>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</si>
  <si>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</si>
  <si>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</si>
  <si>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</si>
  <si>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</si>
  <si>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</si>
  <si>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</si>
  <si>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</si>
  <si>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</si>
  <si>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</si>
  <si>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</si>
  <si>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</si>
  <si>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</si>
  <si>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</si>
  <si>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</si>
  <si>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</si>
  <si>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</si>
  <si>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</si>
  <si>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</si>
  <si>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</si>
  <si>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</si>
  <si>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</si>
  <si>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</si>
  <si>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</si>
  <si>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</si>
  <si>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</si>
  <si>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</si>
  <si>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</si>
  <si>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</si>
  <si>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</si>
  <si>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</si>
  <si>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</si>
  <si>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</si>
  <si>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</si>
  <si>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</si>
  <si>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</si>
  <si>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</si>
  <si>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</si>
  <si>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</si>
  <si>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</si>
  <si>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</si>
  <si>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</si>
  <si>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</si>
  <si>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</si>
  <si>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</si>
  <si>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</si>
  <si>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</si>
  <si>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</si>
  <si>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</si>
  <si>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</si>
  <si>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</si>
  <si>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</si>
  <si>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</si>
  <si>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</si>
  <si>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</si>
  <si>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</si>
  <si>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</si>
  <si>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</si>
  <si>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</si>
  <si>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</si>
  <si>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</si>
  <si>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</si>
  <si>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</si>
  <si>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</si>
  <si>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</si>
  <si>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</si>
  <si>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</si>
  <si>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</si>
  <si>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</si>
  <si>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</si>
  <si>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</si>
  <si>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</si>
  <si>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</si>
  <si>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</si>
  <si>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</si>
  <si>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</si>
  <si>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</si>
  <si>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</si>
  <si>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</si>
  <si>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</si>
  <si>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</si>
  <si>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</si>
  <si>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</si>
  <si>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</si>
  <si>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</si>
  <si>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</si>
  <si>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</si>
  <si>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</si>
  <si>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</si>
  <si>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</si>
  <si>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</si>
  <si>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</si>
  <si>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</si>
  <si>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</si>
  <si>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</si>
  <si>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</si>
  <si>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</si>
  <si>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</si>
  <si>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</si>
  <si>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</si>
  <si>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</si>
  <si>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</si>
  <si>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</si>
  <si>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</si>
  <si>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</si>
  <si>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</si>
  <si>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</si>
  <si>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</si>
  <si>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</si>
  <si>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</si>
  <si>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</si>
  <si>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</si>
  <si>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</si>
  <si>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</si>
  <si>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</si>
  <si>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</si>
  <si>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</si>
  <si>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</si>
  <si>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</si>
  <si>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</si>
  <si>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</si>
  <si>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</si>
  <si>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</si>
  <si>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</si>
  <si>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</si>
  <si>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</si>
  <si>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</si>
  <si>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</si>
  <si>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</si>
  <si>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</si>
  <si>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</si>
  <si>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</si>
  <si>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</si>
  <si>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</si>
  <si>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</si>
  <si>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</si>
  <si>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</si>
  <si>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</si>
  <si>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</si>
  <si>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</si>
  <si>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</si>
  <si>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</si>
  <si>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</si>
  <si>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</si>
  <si>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</si>
  <si>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</si>
  <si>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</si>
  <si>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</si>
  <si>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</si>
  <si>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</si>
  <si>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</si>
  <si>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</si>
  <si>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</si>
  <si>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</si>
  <si>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</si>
  <si>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</si>
  <si>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</si>
  <si>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</si>
  <si>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</si>
  <si>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</si>
  <si>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</si>
  <si>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</si>
  <si>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</si>
  <si>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</si>
  <si>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</si>
  <si>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</si>
  <si>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</si>
  <si>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</si>
  <si>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</si>
  <si>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</si>
  <si>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</si>
  <si>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</si>
  <si>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</si>
  <si>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</si>
  <si>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</si>
  <si>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</si>
  <si>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</si>
  <si>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</si>
  <si>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</si>
  <si>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</si>
  <si>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</si>
  <si>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</si>
  <si>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</si>
  <si>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</si>
  <si>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</si>
  <si>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</si>
  <si>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</si>
  <si>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</si>
  <si>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</si>
  <si>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</si>
  <si>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</si>
  <si>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</si>
  <si>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</si>
  <si>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</si>
  <si>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</si>
  <si>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</si>
  <si>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</si>
  <si>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</si>
  <si>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</si>
  <si>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</si>
  <si>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</si>
  <si>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</si>
  <si>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</si>
  <si>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</si>
  <si>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</si>
  <si>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</si>
  <si>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</si>
  <si>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</si>
  <si>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</si>
  <si>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</si>
  <si>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</si>
  <si>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</si>
  <si>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</si>
  <si>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</si>
  <si>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</si>
  <si>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</si>
  <si>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</si>
  <si>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</si>
  <si>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</si>
  <si>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</si>
  <si>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</si>
  <si>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</si>
  <si>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</si>
  <si>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</si>
  <si>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</si>
  <si>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</si>
  <si>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</si>
  <si>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</si>
  <si>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</si>
  <si>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</si>
  <si>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</si>
  <si>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</si>
  <si>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</si>
  <si>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</si>
  <si>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</si>
  <si>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</si>
  <si>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</si>
  <si>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</si>
  <si>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</si>
  <si>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</si>
  <si>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</si>
  <si>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</si>
  <si>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</si>
  <si>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</si>
  <si>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</si>
  <si>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</si>
  <si>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</si>
  <si>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</si>
  <si>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</si>
  <si>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</si>
  <si>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</si>
  <si>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</si>
  <si>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</si>
  <si>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</si>
  <si>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</si>
  <si>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</si>
  <si>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</si>
  <si>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</si>
  <si>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</si>
  <si>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</si>
  <si>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</si>
  <si>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</si>
  <si>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</si>
  <si>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</si>
  <si>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</si>
  <si>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</si>
  <si>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</si>
  <si>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</si>
  <si>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</si>
  <si>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</si>
  <si>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</si>
  <si>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</si>
  <si>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</si>
  <si>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</si>
  <si>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</si>
  <si>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</si>
  <si>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</si>
  <si>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</si>
  <si>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</si>
  <si>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</si>
  <si>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</si>
  <si>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</si>
  <si>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</si>
  <si>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</si>
  <si>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</si>
  <si>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</si>
  <si>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</si>
  <si>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</si>
  <si>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</si>
  <si>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</si>
  <si>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</si>
  <si>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</si>
  <si>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</si>
  <si>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</si>
  <si>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</si>
  <si>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</si>
  <si>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</si>
  <si>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</si>
  <si>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</si>
  <si>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</si>
  <si>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</si>
  <si>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</si>
  <si>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</si>
  <si>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</si>
  <si>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</si>
  <si>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</si>
  <si>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</si>
  <si>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</si>
  <si>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</si>
  <si>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</si>
  <si>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</si>
  <si>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</si>
  <si>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</si>
  <si>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</si>
  <si>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</si>
  <si>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</si>
  <si>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</si>
  <si>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</si>
  <si>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</si>
  <si>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</si>
  <si>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</si>
  <si>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</si>
  <si>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</si>
  <si>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</si>
  <si>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</si>
  <si>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</si>
  <si>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</si>
  <si>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</si>
  <si>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</si>
  <si>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</si>
  <si>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</si>
  <si>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</si>
  <si>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</si>
  <si>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</si>
  <si>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</si>
  <si>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</si>
  <si>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</si>
  <si>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</si>
  <si>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</si>
  <si>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</si>
  <si>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</si>
  <si>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</si>
  <si>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</si>
  <si>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</si>
  <si>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</si>
  <si>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</si>
  <si>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</si>
  <si>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</si>
  <si>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</si>
  <si>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</si>
  <si>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</si>
  <si>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</si>
  <si>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</si>
  <si>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</si>
  <si>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</si>
  <si>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</si>
  <si>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</si>
  <si>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</si>
  <si>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</si>
  <si>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</si>
  <si>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</si>
  <si>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</si>
  <si>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</si>
  <si>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</si>
  <si>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</si>
  <si>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</si>
  <si>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</si>
  <si>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</si>
  <si>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</si>
  <si>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</si>
  <si>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</si>
  <si>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</si>
  <si>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</si>
  <si>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</si>
  <si>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</si>
  <si>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</si>
  <si>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</si>
  <si>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</si>
  <si>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</si>
  <si>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</si>
  <si>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</si>
  <si>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</si>
  <si>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</si>
  <si>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</si>
  <si>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</si>
  <si>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</si>
  <si>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</si>
  <si>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</si>
  <si>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</si>
  <si>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</si>
  <si>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</si>
  <si>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</si>
  <si>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</si>
  <si>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</si>
  <si>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</si>
  <si>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</si>
  <si>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</si>
  <si>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</si>
  <si>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</si>
  <si>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</si>
  <si>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</si>
  <si>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</si>
  <si>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</si>
  <si>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</si>
  <si>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</si>
  <si>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</si>
  <si>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</si>
  <si>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</si>
  <si>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</si>
  <si>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</si>
  <si>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</si>
  <si>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</si>
  <si>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</si>
  <si>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</si>
  <si>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</si>
  <si>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</si>
  <si>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</si>
  <si>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</si>
  <si>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</si>
  <si>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</si>
  <si>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</si>
  <si>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</si>
  <si>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</si>
  <si>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</si>
  <si>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</si>
  <si>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</si>
  <si>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</si>
  <si>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</si>
  <si>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</si>
  <si>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</si>
  <si>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</si>
  <si>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</si>
  <si>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</si>
  <si>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</si>
  <si>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</si>
  <si>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</si>
  <si>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</si>
  <si>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</si>
  <si>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</si>
  <si>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</si>
  <si>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</si>
  <si>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</si>
  <si>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</si>
  <si>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</si>
  <si>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</si>
  <si>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</si>
  <si>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</si>
  <si>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</si>
  <si>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</si>
  <si>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</si>
  <si>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</si>
  <si>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</si>
  <si>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</si>
  <si>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</si>
  <si>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</si>
  <si>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</si>
  <si>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</si>
  <si>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</si>
  <si>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</si>
  <si>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</si>
  <si>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</si>
  <si>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</si>
  <si>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</si>
  <si>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</si>
  <si>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</si>
  <si>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</si>
  <si>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</si>
  <si>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</si>
  <si>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</si>
  <si>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</si>
  <si>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</si>
  <si>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</si>
  <si>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</si>
  <si>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</si>
  <si>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</si>
  <si>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</si>
  <si>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</si>
  <si>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</si>
  <si>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</si>
  <si>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</si>
  <si>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</si>
  <si>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</si>
  <si>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</si>
  <si>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</si>
  <si>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</si>
  <si>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</si>
  <si>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</si>
  <si>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</si>
  <si>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</si>
  <si>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</si>
  <si>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</si>
  <si>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</si>
  <si>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</si>
  <si>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</si>
  <si>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</si>
  <si>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</si>
  <si>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</si>
  <si>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</si>
  <si>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</si>
  <si>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</si>
  <si>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</si>
  <si>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</si>
  <si>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</si>
  <si>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</si>
  <si>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</si>
  <si>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</si>
  <si>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</si>
  <si>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</si>
  <si>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</si>
  <si>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</si>
  <si>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</si>
  <si>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</si>
  <si>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</si>
  <si>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</si>
  <si>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</si>
  <si>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</si>
  <si>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</si>
  <si>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</si>
  <si>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</si>
  <si>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</si>
  <si>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</si>
  <si>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</si>
  <si>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</si>
  <si>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</si>
  <si>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</si>
  <si>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</si>
  <si>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</si>
  <si>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</si>
  <si>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</si>
  <si>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</si>
  <si>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</si>
  <si>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</si>
  <si>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</si>
  <si>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</si>
  <si>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</si>
  <si>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</si>
  <si>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</si>
  <si>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</si>
  <si>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</si>
  <si>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</si>
  <si>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</si>
  <si>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</si>
  <si>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</si>
  <si>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</si>
  <si>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</si>
  <si>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</si>
  <si>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</si>
  <si>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</si>
  <si>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</si>
  <si>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</si>
  <si>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</si>
  <si>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</si>
  <si>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</si>
  <si>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</si>
  <si>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</si>
  <si>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</si>
  <si>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</si>
  <si>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</si>
  <si>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</si>
  <si>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</si>
  <si>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</si>
  <si>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</si>
  <si>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</si>
  <si>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</si>
  <si>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</si>
  <si>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</si>
  <si>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</si>
  <si>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</si>
  <si>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</si>
  <si>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</si>
  <si>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</si>
  <si>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</si>
  <si>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</si>
  <si>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</si>
  <si>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</si>
  <si>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</si>
  <si>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</si>
  <si>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</si>
  <si>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</si>
  <si>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</si>
  <si>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</si>
  <si>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</si>
  <si>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</si>
  <si>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</si>
  <si>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</si>
  <si>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</si>
  <si>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</si>
  <si>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</si>
  <si>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</si>
  <si>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</si>
  <si>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</si>
  <si>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</si>
  <si>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</si>
  <si>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</si>
  <si>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</si>
  <si>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</si>
  <si>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</si>
  <si>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</si>
  <si>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</si>
  <si>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</si>
  <si>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</si>
  <si>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</si>
  <si>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</si>
  <si>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</si>
  <si>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</si>
  <si>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</si>
  <si>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</si>
  <si>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</si>
  <si>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</si>
  <si>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</si>
  <si>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</si>
  <si>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</si>
  <si>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</si>
  <si>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</si>
  <si>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</si>
  <si>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</si>
  <si>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</si>
  <si>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</si>
  <si>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</si>
  <si>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</si>
  <si>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</si>
  <si>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</si>
  <si>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</si>
  <si>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</si>
  <si>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</si>
  <si>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</si>
  <si>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</si>
  <si>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</si>
  <si>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</si>
  <si>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</si>
  <si>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</si>
  <si>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</si>
  <si>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</si>
  <si>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</si>
  <si>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</si>
  <si>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</si>
  <si>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</si>
  <si>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</si>
  <si>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</si>
  <si>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</si>
  <si>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</si>
  <si>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</si>
  <si>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</si>
  <si>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</si>
  <si>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</si>
  <si>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</si>
  <si>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</si>
  <si>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</si>
  <si>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</si>
  <si>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</si>
  <si>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</si>
  <si>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</si>
  <si>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</si>
  <si>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</si>
  <si>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</si>
  <si>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</si>
  <si>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</si>
  <si>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</si>
  <si>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</si>
  <si>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</si>
  <si>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</si>
  <si>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</si>
  <si>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</si>
  <si>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</si>
  <si>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</si>
  <si>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</si>
  <si>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</si>
  <si>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</si>
  <si>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</si>
  <si>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</si>
  <si>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</si>
  <si>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</si>
  <si>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</si>
  <si>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</si>
  <si>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</si>
  <si>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</si>
  <si>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</si>
  <si>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</si>
  <si>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</si>
  <si>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</si>
  <si>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</si>
  <si>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</si>
  <si>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</si>
  <si>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</si>
  <si>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</si>
  <si>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</si>
  <si>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</si>
  <si>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</si>
  <si>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</si>
  <si>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</si>
  <si>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</si>
  <si>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</si>
  <si>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</si>
  <si>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</si>
  <si>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</si>
  <si>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</si>
  <si>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</si>
  <si>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</si>
  <si>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</si>
  <si>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</si>
  <si>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</si>
  <si>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</si>
  <si>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</si>
  <si>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</si>
  <si>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</si>
  <si>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</si>
  <si>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</si>
  <si>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</si>
  <si>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</si>
  <si>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</si>
  <si>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</si>
  <si>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</si>
  <si>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</si>
  <si>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</si>
  <si>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</si>
  <si>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</si>
  <si>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</si>
  <si>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</si>
  <si>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</si>
  <si>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</si>
  <si>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</si>
  <si>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</si>
  <si>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</si>
  <si>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</si>
  <si>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</si>
  <si>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</si>
  <si>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</si>
  <si>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</si>
  <si>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</si>
  <si>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</si>
  <si>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</si>
  <si>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</si>
  <si>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</si>
  <si>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</si>
  <si>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</si>
  <si>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</si>
  <si>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</si>
  <si>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</si>
  <si>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</si>
  <si>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</si>
  <si>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</si>
  <si>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</si>
  <si>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</si>
  <si>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</si>
  <si>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</si>
  <si>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</si>
  <si>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</si>
  <si>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</si>
  <si>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</si>
  <si>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</si>
  <si>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</si>
  <si>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</si>
  <si>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</si>
  <si>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</si>
  <si>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</si>
  <si>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</si>
  <si>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</si>
  <si>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</si>
  <si>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</si>
  <si>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</si>
  <si>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</si>
  <si>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</si>
  <si>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</si>
  <si>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</si>
  <si>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</si>
  <si>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</si>
  <si>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</si>
  <si>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</si>
  <si>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</si>
  <si>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</si>
  <si>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</si>
  <si>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</si>
  <si>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</si>
  <si>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</si>
  <si>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</si>
  <si>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</si>
  <si>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</si>
  <si>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</si>
  <si>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</si>
  <si>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</si>
  <si>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</si>
  <si>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</si>
  <si>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</si>
  <si>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</si>
  <si>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</si>
  <si>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</si>
  <si>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</si>
  <si>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</si>
  <si>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</si>
  <si>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</si>
  <si>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</si>
  <si>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</si>
  <si>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</si>
  <si>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</si>
  <si>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</si>
  <si>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</si>
  <si>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</si>
  <si>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</si>
  <si>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</si>
  <si>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</si>
  <si>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</si>
  <si>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</si>
  <si>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</si>
  <si>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</si>
  <si>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</si>
  <si>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</si>
  <si>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</si>
  <si>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</si>
  <si>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</si>
  <si>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</si>
  <si>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</si>
  <si>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</si>
  <si>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</si>
  <si>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</si>
  <si>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</si>
  <si>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</si>
  <si>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</si>
  <si>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</si>
  <si>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</si>
  <si>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</si>
  <si>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</si>
  <si>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</si>
  <si>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</si>
  <si>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</si>
  <si>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</si>
  <si>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</si>
  <si>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</si>
  <si>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</si>
  <si>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</si>
  <si>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</si>
  <si>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</si>
  <si>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</si>
  <si>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</si>
  <si>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</si>
  <si>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</si>
  <si>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</si>
  <si>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</si>
  <si>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</si>
  <si>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</si>
  <si>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</si>
  <si>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</si>
  <si>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</si>
  <si>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</si>
  <si>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</si>
  <si>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</si>
  <si>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</si>
  <si>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</si>
  <si>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</si>
  <si>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</si>
  <si>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</si>
  <si>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</si>
  <si>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</si>
  <si>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</si>
  <si>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</si>
  <si>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</si>
  <si>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</si>
  <si>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</si>
  <si>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</si>
  <si>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</si>
  <si>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</si>
  <si>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</si>
  <si>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</si>
  <si>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</si>
  <si>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</si>
  <si>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</si>
  <si>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</si>
  <si>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</si>
  <si>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</si>
  <si>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</si>
  <si>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</si>
  <si>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</si>
  <si>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</si>
  <si>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</si>
  <si>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</si>
  <si>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</si>
  <si>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</si>
  <si>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</si>
  <si>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</si>
  <si>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</si>
  <si>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</si>
  <si>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</si>
  <si>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</si>
  <si>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</si>
  <si>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</si>
  <si>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</si>
  <si>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</si>
  <si>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</si>
  <si>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</si>
  <si>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</si>
  <si>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</si>
  <si>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</si>
  <si>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</si>
  <si>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</si>
  <si>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</si>
  <si>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</si>
  <si>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</si>
  <si>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</si>
  <si>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</si>
  <si>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</si>
  <si>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</si>
  <si>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</si>
  <si>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</si>
  <si>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</si>
  <si>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</si>
  <si>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</si>
  <si>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</si>
  <si>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</si>
  <si>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</si>
  <si>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</si>
  <si>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</si>
  <si>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</si>
  <si>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</si>
  <si>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</si>
  <si>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</si>
  <si>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</si>
  <si>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</si>
  <si>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</si>
  <si>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</si>
  <si>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</si>
  <si>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</si>
  <si>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</si>
  <si>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</si>
  <si>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</si>
  <si>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</si>
  <si>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</si>
  <si>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</si>
  <si>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</si>
  <si>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</si>
  <si>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</si>
  <si>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</si>
  <si>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</si>
  <si>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</si>
  <si>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</si>
  <si>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</si>
  <si>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</si>
  <si>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</si>
  <si>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</si>
  <si>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</si>
  <si>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</si>
  <si>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</si>
  <si>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</si>
  <si>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</si>
  <si>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</si>
  <si>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</si>
  <si>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</si>
  <si>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</si>
  <si>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</si>
  <si>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</si>
  <si>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</si>
  <si>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</si>
  <si>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</si>
  <si>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</si>
  <si>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</si>
  <si>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</si>
  <si>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</si>
  <si>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</si>
  <si>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</si>
  <si>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</si>
  <si>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</si>
  <si>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</si>
  <si>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</si>
  <si>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</si>
  <si>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</si>
  <si>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</si>
  <si>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</si>
  <si>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</si>
  <si>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</si>
  <si>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</si>
  <si>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</si>
  <si>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</si>
  <si>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</si>
  <si>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</si>
  <si>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</si>
  <si>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</si>
  <si>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</si>
  <si>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</si>
  <si>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</si>
  <si>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</si>
  <si>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</si>
  <si>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</si>
  <si>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</si>
  <si>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</si>
  <si>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</si>
  <si>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</si>
  <si>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</si>
  <si>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</si>
  <si>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</si>
  <si>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</si>
  <si>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</si>
  <si>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</si>
  <si>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</si>
  <si>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</si>
  <si>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</si>
  <si>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</si>
  <si>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</si>
  <si>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</si>
  <si>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</si>
  <si>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</si>
  <si>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</si>
  <si>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</si>
  <si>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</si>
  <si>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</si>
  <si>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</si>
  <si>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</si>
  <si>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</si>
  <si>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</si>
  <si>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</si>
  <si>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</si>
  <si>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</si>
  <si>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</si>
  <si>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</si>
  <si>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</si>
  <si>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</si>
  <si>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</si>
  <si>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</si>
  <si>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</si>
  <si>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</si>
  <si>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</si>
  <si>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</si>
  <si>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</si>
  <si>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</si>
  <si>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</si>
  <si>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</si>
  <si>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</si>
  <si>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</si>
  <si>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</si>
  <si>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</si>
  <si>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</si>
  <si>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</si>
  <si>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</si>
  <si>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</si>
  <si>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</si>
  <si>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</si>
  <si>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</si>
  <si>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</si>
  <si>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</si>
  <si>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</si>
  <si>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</si>
  <si>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</si>
  <si>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</si>
  <si>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</si>
  <si>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</si>
  <si>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</si>
  <si>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</si>
  <si>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</si>
  <si>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</si>
  <si>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</si>
  <si>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</si>
  <si>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</si>
  <si>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</si>
  <si>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</si>
  <si>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</si>
  <si>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</si>
  <si>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</si>
  <si>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</si>
  <si>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</si>
  <si>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</si>
  <si>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</si>
  <si>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</si>
  <si>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</si>
  <si>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</si>
  <si>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</si>
  <si>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</si>
  <si>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</si>
  <si>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</si>
  <si>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</si>
  <si>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</si>
  <si>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</si>
  <si>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</si>
  <si>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</si>
  <si>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</si>
  <si>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</si>
  <si>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</si>
  <si>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</si>
  <si>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</si>
  <si>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</si>
  <si>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</si>
  <si>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</si>
  <si>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</si>
  <si>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</si>
  <si>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</si>
  <si>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</si>
  <si>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</si>
  <si>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</si>
  <si>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</si>
  <si>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</si>
  <si>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</si>
  <si>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</si>
  <si>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</si>
  <si>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</si>
  <si>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</si>
  <si>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</si>
  <si>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</si>
  <si>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</si>
  <si>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</si>
  <si>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</si>
  <si>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</si>
  <si>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</si>
  <si>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</si>
  <si>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</si>
  <si>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</si>
  <si>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</si>
  <si>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</si>
  <si>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</si>
  <si>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</si>
  <si>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</si>
  <si>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</si>
  <si>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</si>
  <si>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</si>
  <si>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</si>
  <si>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</si>
  <si>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</si>
  <si>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</si>
  <si>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</si>
  <si>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</si>
  <si>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</si>
  <si>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</si>
  <si>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</si>
  <si>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</si>
  <si>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</si>
  <si>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</si>
  <si>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</si>
  <si>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</si>
  <si>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</si>
  <si>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</si>
  <si>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</si>
  <si>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</si>
  <si>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</si>
  <si>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</si>
  <si>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</si>
  <si>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</si>
  <si>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</si>
  <si>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</si>
  <si>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</si>
  <si>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</si>
  <si>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</si>
  <si>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</si>
  <si>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</si>
  <si>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</si>
  <si>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</si>
  <si>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</si>
  <si>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</si>
  <si>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</si>
  <si>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</si>
  <si>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</si>
  <si>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</si>
  <si>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</si>
  <si>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</si>
  <si>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</si>
  <si>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</si>
  <si>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</si>
  <si>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</si>
  <si>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</si>
  <si>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</si>
  <si>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</si>
  <si>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</si>
  <si>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</si>
  <si>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</si>
  <si>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</si>
  <si>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</si>
  <si>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</si>
  <si>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</si>
  <si>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</si>
  <si>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</si>
  <si>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</si>
  <si>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</si>
  <si>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</si>
  <si>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</si>
  <si>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</si>
  <si>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</si>
  <si>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</si>
  <si>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</si>
  <si>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</si>
  <si>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</si>
  <si>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</si>
  <si>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</si>
  <si>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</si>
  <si>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</si>
  <si>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</si>
  <si>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</si>
  <si>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</si>
  <si>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</si>
  <si>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</si>
  <si>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</si>
  <si>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</si>
  <si>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</si>
  <si>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</si>
  <si>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</si>
  <si>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</si>
  <si>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</si>
  <si>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</si>
  <si>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</si>
  <si>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</si>
  <si>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</si>
  <si>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</si>
  <si>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</si>
  <si>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</si>
  <si>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</si>
  <si>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</si>
  <si>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</si>
  <si>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</si>
  <si>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</si>
  <si>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</si>
  <si>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</si>
  <si>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</si>
  <si>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</si>
  <si>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</si>
  <si>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</si>
  <si>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</si>
  <si>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</si>
  <si>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</si>
  <si>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</si>
  <si>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</si>
  <si>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</si>
  <si>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</si>
  <si>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</si>
  <si>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</si>
  <si>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</si>
  <si>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</si>
  <si>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</si>
  <si>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</si>
  <si>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</si>
  <si>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</si>
  <si>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</si>
  <si>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</si>
  <si>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</si>
  <si>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</si>
  <si>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</si>
  <si>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</si>
  <si>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</si>
  <si>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</si>
  <si>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</si>
  <si>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</si>
  <si>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</si>
  <si>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</si>
  <si>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</si>
  <si>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</si>
  <si>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</si>
  <si>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</si>
  <si>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</si>
  <si>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</si>
  <si>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</si>
  <si>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</si>
  <si>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</si>
  <si>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</si>
  <si>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</si>
  <si>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</si>
  <si>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</si>
  <si>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</si>
  <si>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</si>
  <si>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</si>
  <si>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</si>
  <si>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</si>
  <si>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</si>
  <si>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</si>
  <si>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</si>
  <si>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</si>
  <si>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</si>
  <si>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</si>
  <si>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</si>
  <si>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</si>
  <si>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</si>
  <si>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</si>
  <si>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</si>
  <si>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</si>
  <si>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</si>
  <si>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</si>
  <si>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</si>
  <si>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</si>
  <si>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</si>
  <si>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</si>
  <si>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</si>
  <si>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</si>
  <si>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</si>
  <si>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</si>
  <si>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</si>
  <si>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</si>
  <si>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</si>
  <si>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</si>
  <si>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</si>
  <si>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</si>
  <si>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</si>
  <si>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</si>
  <si>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</si>
  <si>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</si>
  <si>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</si>
  <si>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</si>
  <si>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</si>
  <si>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</si>
  <si>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</si>
  <si>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</si>
  <si>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</si>
  <si>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</si>
  <si>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</si>
  <si>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</si>
  <si>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</si>
  <si>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</si>
  <si>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</si>
  <si>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</si>
  <si>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</si>
  <si>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</si>
  <si>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</si>
  <si>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</si>
  <si>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</si>
  <si>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</si>
  <si>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</si>
  <si>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</si>
  <si>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</si>
  <si>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</si>
  <si>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</si>
  <si>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</si>
  <si>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</si>
  <si>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</si>
  <si>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</si>
  <si>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</si>
  <si>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</si>
  <si>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</si>
  <si>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</si>
  <si>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</si>
  <si>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</si>
  <si>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</si>
  <si>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</si>
  <si>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</si>
  <si>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</si>
  <si>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</si>
  <si>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</si>
  <si>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</si>
  <si>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</si>
  <si>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</si>
  <si>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</si>
  <si>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</si>
  <si>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</si>
  <si>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</si>
  <si>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</si>
  <si>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</si>
  <si>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</si>
  <si>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</si>
  <si>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</si>
  <si>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</si>
  <si>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</si>
  <si>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</si>
  <si>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</si>
  <si>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</si>
  <si>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</si>
  <si>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</si>
  <si>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</si>
  <si>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</si>
  <si>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</si>
  <si>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</si>
  <si>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</si>
  <si>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</si>
  <si>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</si>
  <si>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</si>
  <si>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</si>
  <si>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</si>
  <si>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</si>
  <si>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</si>
  <si>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</si>
  <si>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</si>
  <si>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</si>
  <si>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</si>
  <si>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</si>
  <si>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</si>
  <si>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</si>
  <si>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</si>
  <si>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</si>
  <si>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</si>
  <si>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</si>
  <si>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</si>
  <si>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</si>
  <si>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</si>
  <si>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</si>
  <si>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</si>
  <si>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</si>
  <si>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</si>
  <si>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</si>
  <si>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</si>
  <si>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</si>
  <si>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</si>
  <si>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</si>
  <si>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</si>
  <si>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</si>
  <si>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</si>
  <si>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</si>
  <si>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</si>
  <si>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</si>
  <si>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</si>
  <si>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</si>
  <si>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</si>
  <si>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</si>
  <si>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</si>
  <si>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</si>
  <si>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</si>
  <si>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</si>
  <si>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</si>
  <si>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</si>
  <si>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</si>
  <si>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</si>
  <si>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</si>
  <si>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</si>
  <si>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</si>
  <si>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</si>
  <si>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</si>
  <si>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</si>
  <si>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</si>
  <si>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</si>
  <si>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</si>
  <si>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</si>
  <si>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</si>
  <si>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</si>
  <si>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</si>
  <si>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</si>
  <si>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</si>
  <si>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</si>
  <si>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</si>
  <si>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</si>
  <si>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</si>
  <si>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</si>
  <si>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</si>
  <si>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</si>
  <si>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</si>
  <si>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</si>
  <si>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</si>
  <si>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</si>
  <si>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</si>
  <si>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</si>
  <si>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</si>
  <si>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</si>
  <si>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</si>
  <si>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</si>
  <si>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</si>
  <si>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</si>
  <si>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</si>
  <si>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</si>
  <si>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</si>
  <si>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</si>
  <si>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</si>
  <si>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</si>
  <si>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</si>
  <si>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</si>
  <si>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</si>
  <si>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</si>
  <si>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</si>
  <si>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</si>
  <si>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</si>
  <si>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</si>
  <si>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</si>
  <si>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</si>
  <si>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</si>
  <si>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</si>
  <si>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</si>
  <si>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</si>
  <si>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</si>
  <si>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</si>
  <si>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</si>
  <si>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</si>
  <si>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</si>
  <si>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</si>
  <si>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</si>
  <si>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</si>
  <si>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</si>
  <si>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</si>
  <si>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</si>
  <si>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</si>
  <si>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</si>
  <si>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</si>
  <si>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</si>
  <si>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</si>
  <si>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</si>
  <si>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</si>
  <si>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</si>
  <si>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</si>
  <si>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</si>
  <si>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</si>
  <si>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</si>
  <si>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</si>
  <si>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</si>
  <si>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</si>
  <si>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</si>
  <si>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</si>
  <si>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</si>
  <si>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</si>
  <si>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</si>
  <si>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</si>
  <si>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</si>
  <si>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</si>
  <si>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</si>
  <si>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</si>
  <si>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</si>
  <si>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</si>
  <si>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</si>
  <si>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</si>
  <si>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</si>
  <si>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</si>
  <si>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</si>
  <si>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</si>
  <si>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</si>
  <si>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</si>
  <si>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</si>
  <si>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</si>
  <si>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</si>
  <si>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</si>
  <si>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</si>
  <si>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</si>
  <si>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</si>
  <si>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</si>
  <si>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</si>
  <si>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</si>
  <si>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</si>
  <si>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</si>
  <si>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</si>
  <si>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</si>
  <si>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</si>
  <si>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</si>
  <si>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</si>
  <si>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</si>
  <si>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</si>
  <si>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</si>
  <si>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</si>
  <si>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</si>
  <si>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</si>
  <si>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</si>
  <si>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</si>
  <si>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</si>
  <si>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</si>
  <si>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</si>
  <si>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</si>
  <si>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</si>
  <si>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</si>
  <si>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</si>
  <si>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</si>
  <si>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</si>
  <si>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</si>
  <si>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</si>
  <si>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</si>
  <si>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</si>
  <si>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</si>
  <si>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</si>
  <si>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</si>
  <si>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</si>
  <si>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</si>
  <si>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</si>
  <si>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</si>
  <si>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</si>
  <si>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</si>
  <si>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</si>
  <si>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</si>
  <si>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</si>
  <si>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</si>
  <si>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</si>
  <si>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</si>
  <si>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</si>
  <si>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</si>
  <si>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</si>
  <si>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</si>
  <si>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</si>
  <si>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</si>
  <si>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</si>
  <si>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</si>
  <si>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</si>
  <si>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</si>
  <si>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</si>
  <si>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</si>
  <si>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</si>
  <si>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</si>
  <si>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</si>
  <si>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</si>
  <si>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</si>
  <si>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</si>
  <si>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</si>
  <si>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</si>
  <si>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</si>
  <si>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</si>
  <si>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</si>
  <si>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</si>
  <si>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</si>
  <si>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</si>
  <si>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</si>
  <si>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</si>
  <si>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</si>
  <si>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</si>
  <si>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</si>
  <si>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</si>
  <si>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</si>
  <si>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</si>
  <si>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</si>
  <si>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</si>
  <si>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</si>
  <si>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</si>
  <si>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</si>
  <si>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</si>
  <si>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</si>
  <si>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</si>
  <si>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</si>
  <si>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</si>
  <si>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</si>
  <si>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</si>
  <si>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</si>
  <si>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</si>
  <si>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</si>
  <si>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</si>
  <si>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</si>
  <si>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</si>
  <si>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</si>
  <si>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</si>
  <si>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</si>
  <si>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</si>
  <si>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</si>
  <si>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</si>
  <si>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</si>
  <si>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</si>
  <si>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</si>
  <si>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</si>
  <si>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</si>
  <si>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</si>
  <si>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</si>
  <si>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</si>
  <si>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</si>
  <si>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</si>
  <si>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</si>
  <si>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</si>
  <si>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</si>
  <si>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</si>
  <si>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</si>
  <si>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</si>
  <si>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</si>
  <si>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</si>
  <si>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</si>
  <si>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</si>
  <si>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</si>
  <si>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</si>
  <si>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</si>
  <si>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</si>
  <si>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</si>
  <si>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</si>
  <si>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</si>
  <si>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</si>
  <si>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</si>
  <si>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</si>
  <si>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</si>
  <si>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</si>
  <si>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</si>
  <si>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</si>
  <si>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</si>
  <si>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</si>
  <si>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</si>
  <si>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</si>
  <si>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</si>
  <si>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</si>
  <si>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</si>
  <si>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</si>
  <si>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</si>
  <si>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</si>
  <si>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</si>
  <si>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</si>
  <si>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</si>
  <si>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</si>
  <si>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</si>
  <si>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</si>
  <si>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</si>
  <si>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</si>
  <si>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</si>
  <si>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</si>
  <si>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</si>
  <si>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</si>
  <si>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</si>
  <si>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</si>
  <si>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</si>
  <si>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</si>
  <si>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</si>
  <si>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</si>
  <si>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</si>
  <si>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</si>
  <si>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</si>
  <si>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</si>
  <si>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</si>
  <si>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</si>
  <si>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</si>
  <si>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</si>
  <si>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</si>
  <si>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</si>
  <si>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</si>
  <si>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</si>
  <si>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</si>
  <si>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</si>
  <si>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</si>
  <si>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</si>
  <si>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</si>
  <si>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</si>
  <si>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</si>
  <si>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</si>
  <si>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</si>
  <si>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</si>
  <si>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</si>
  <si>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</si>
  <si>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</si>
  <si>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</si>
  <si>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</si>
  <si>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</si>
  <si>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</si>
  <si>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</si>
  <si>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</si>
  <si>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</si>
  <si>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</si>
  <si>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</si>
  <si>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</si>
  <si>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</si>
  <si>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</si>
  <si>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</si>
  <si>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</si>
  <si>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</si>
  <si>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</si>
  <si>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</si>
  <si>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</si>
  <si>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</si>
  <si>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</si>
  <si>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</si>
  <si>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</si>
  <si>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</si>
  <si>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</si>
  <si>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</si>
  <si>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</si>
  <si>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</si>
  <si>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</si>
  <si>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</si>
  <si>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</si>
  <si>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</si>
  <si>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</si>
  <si>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</si>
  <si>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</si>
  <si>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</si>
  <si>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</si>
  <si>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</si>
  <si>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</si>
  <si>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</si>
  <si>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</si>
  <si>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</si>
  <si>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</si>
  <si>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</si>
  <si>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</si>
  <si>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</si>
  <si>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</si>
  <si>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</si>
  <si>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</si>
  <si>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</si>
  <si>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</si>
  <si>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</si>
  <si>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</si>
  <si>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</si>
  <si>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</si>
  <si>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</si>
  <si>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</si>
  <si>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</si>
  <si>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</si>
  <si>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</si>
  <si>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</si>
  <si>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</si>
  <si>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</si>
  <si>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</si>
  <si>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</si>
  <si>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</si>
  <si>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</si>
  <si>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</si>
  <si>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</si>
  <si>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</si>
  <si>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</si>
  <si>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</si>
  <si>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</si>
  <si>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</si>
  <si>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</si>
  <si>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</si>
  <si>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</si>
  <si>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</si>
  <si>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</si>
  <si>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</si>
  <si>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</si>
  <si>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</si>
  <si>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</si>
  <si>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</si>
  <si>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</si>
  <si>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</si>
  <si>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</si>
  <si>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</si>
  <si>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</si>
  <si>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</si>
  <si>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</si>
  <si>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</si>
  <si>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</si>
  <si>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</si>
  <si>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</si>
  <si>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</si>
  <si>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</si>
  <si>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</si>
  <si>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</si>
  <si>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</si>
  <si>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</si>
  <si>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</si>
  <si>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</si>
  <si>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</si>
  <si>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</si>
  <si>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</si>
  <si>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</si>
  <si>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</si>
  <si>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</si>
  <si>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</si>
  <si>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</si>
  <si>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</si>
  <si>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</si>
  <si>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</si>
  <si>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</si>
  <si>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</si>
  <si>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</si>
  <si>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</si>
  <si>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</si>
  <si>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</si>
  <si>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</si>
  <si>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</si>
  <si>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</si>
  <si>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</si>
  <si>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</si>
  <si>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</si>
  <si>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</si>
  <si>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</si>
  <si>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</si>
  <si>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</si>
  <si>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</si>
  <si>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</si>
  <si>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</si>
  <si>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</si>
  <si>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</si>
  <si>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</si>
  <si>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</si>
  <si>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</si>
  <si>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</si>
  <si>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</si>
  <si>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</si>
  <si>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</si>
  <si>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</si>
  <si>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</si>
  <si>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</si>
  <si>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</si>
  <si>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</si>
  <si>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</si>
  <si>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</si>
  <si>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</si>
  <si>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</si>
  <si>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</si>
  <si>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</si>
  <si>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</si>
  <si>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</si>
  <si>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</si>
  <si>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</si>
  <si>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</si>
  <si>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</si>
  <si>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</si>
  <si>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</si>
  <si>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</si>
  <si>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</si>
  <si>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</si>
  <si>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</si>
  <si>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</si>
  <si>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</si>
  <si>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</si>
  <si>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</si>
  <si>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</si>
  <si>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</si>
  <si>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</si>
  <si>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</si>
  <si>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</si>
  <si>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</si>
  <si>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</si>
  <si>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</si>
  <si>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</si>
  <si>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</si>
  <si>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</si>
  <si>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</si>
  <si>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</si>
  <si>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</si>
  <si>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</si>
  <si>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</si>
  <si>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</si>
  <si>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</si>
  <si>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</si>
  <si>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</si>
  <si>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</si>
  <si>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</si>
  <si>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</si>
  <si>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</si>
  <si>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</si>
  <si>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</si>
  <si>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</si>
  <si>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</si>
  <si>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</si>
  <si>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</si>
  <si>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</si>
  <si>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</si>
  <si>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</si>
  <si>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</si>
  <si>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</si>
  <si>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</si>
  <si>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</si>
  <si>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</si>
  <si>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</si>
  <si>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</si>
  <si>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</si>
  <si>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</si>
  <si>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</si>
  <si>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</si>
  <si>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</si>
  <si>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</si>
  <si>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</si>
  <si>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</si>
  <si>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</si>
  <si>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</si>
  <si>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</si>
  <si>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</si>
  <si>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</si>
  <si>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</si>
  <si>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</si>
  <si>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</si>
  <si>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</si>
  <si>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</si>
  <si>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</si>
  <si>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</si>
  <si>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</si>
  <si>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</si>
  <si>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</si>
  <si>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</si>
  <si>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</si>
  <si>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</si>
  <si>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</si>
  <si>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</si>
  <si>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</si>
  <si>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</si>
  <si>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</si>
  <si>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</si>
  <si>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</si>
  <si>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</si>
  <si>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</si>
  <si>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</si>
  <si>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</si>
  <si>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</si>
  <si>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</si>
  <si>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</si>
  <si>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</si>
  <si>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</si>
  <si>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</si>
  <si>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</si>
  <si>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</si>
  <si>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</si>
  <si>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</si>
  <si>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</si>
  <si>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</si>
  <si>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</si>
  <si>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</si>
  <si>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</si>
  <si>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</si>
  <si>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</si>
  <si>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</si>
  <si>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</si>
  <si>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</si>
  <si>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</si>
  <si>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</si>
  <si>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</si>
  <si>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</si>
  <si>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</si>
  <si>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</si>
  <si>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</si>
  <si>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</si>
  <si>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</si>
  <si>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</si>
  <si>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</si>
  <si>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</si>
  <si>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</si>
  <si>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</si>
  <si>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</si>
  <si>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</si>
  <si>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</si>
  <si>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</si>
  <si>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</si>
  <si>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</si>
  <si>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</si>
  <si>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</si>
  <si>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</si>
  <si>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</si>
  <si>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</si>
  <si>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</si>
  <si>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</si>
  <si>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</si>
  <si>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</si>
  <si>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</si>
  <si>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</si>
  <si>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</si>
  <si>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</si>
  <si>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</si>
  <si>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</si>
  <si>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</si>
  <si>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</si>
  <si>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</si>
  <si>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</si>
  <si>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</si>
  <si>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</si>
  <si>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</si>
  <si>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</si>
  <si>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</si>
  <si>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</si>
  <si>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</si>
  <si>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</si>
  <si>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</si>
  <si>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</si>
  <si>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</si>
  <si>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</si>
  <si>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</si>
  <si>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</si>
  <si>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</si>
  <si>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</si>
  <si>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</si>
  <si>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</si>
  <si>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</si>
  <si>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</si>
  <si>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</si>
  <si>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</si>
  <si>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</si>
  <si>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</si>
  <si>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</si>
  <si>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</si>
  <si>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</si>
  <si>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</si>
  <si>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</si>
  <si>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</si>
  <si>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</si>
  <si>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</si>
  <si>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</si>
  <si>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</si>
  <si>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</si>
  <si>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</si>
  <si>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</si>
  <si>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</si>
  <si>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</si>
  <si>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</si>
  <si>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</si>
  <si>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</si>
  <si>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</si>
  <si>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</si>
  <si>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</si>
  <si>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</si>
  <si>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</si>
  <si>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</si>
  <si>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</si>
  <si>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</si>
  <si>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</si>
  <si>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</si>
  <si>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</si>
  <si>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</si>
  <si>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</si>
  <si>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</si>
  <si>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</si>
  <si>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</si>
  <si>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</si>
  <si>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</si>
  <si>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</si>
  <si>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</si>
  <si>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</si>
  <si>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</si>
  <si>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</si>
  <si>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</si>
  <si>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</si>
  <si>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</si>
  <si>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</si>
  <si>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</si>
  <si>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</si>
  <si>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</si>
  <si>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</si>
  <si>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</si>
  <si>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</si>
  <si>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</si>
  <si>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</si>
  <si>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</si>
  <si>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</si>
  <si>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</si>
  <si>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</si>
  <si>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</si>
  <si>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</si>
  <si>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</si>
  <si>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</si>
  <si>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</si>
  <si>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</si>
  <si>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</si>
  <si>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</si>
  <si>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</si>
  <si>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</si>
  <si>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</si>
  <si>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</si>
  <si>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</si>
  <si>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</si>
  <si>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</si>
  <si>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</si>
  <si>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</si>
  <si>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</si>
  <si>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</si>
  <si>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</si>
  <si>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</si>
  <si>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</si>
  <si>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</si>
  <si>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</si>
  <si>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</si>
  <si>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</si>
  <si>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</si>
  <si>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</si>
  <si>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</si>
  <si>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</si>
  <si>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</si>
  <si>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</si>
  <si>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</si>
  <si>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</si>
  <si>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</si>
  <si>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</si>
  <si>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</si>
  <si>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</si>
  <si>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</si>
  <si>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</si>
  <si>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</si>
  <si>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</si>
  <si>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</si>
  <si>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</si>
  <si>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</si>
  <si>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</si>
  <si>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</si>
  <si>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</si>
  <si>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</si>
  <si>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</si>
  <si>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</si>
  <si>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</si>
  <si>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</si>
  <si>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</si>
  <si>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</si>
  <si>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</si>
  <si>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</si>
  <si>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</si>
  <si>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</si>
  <si>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</si>
  <si>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</si>
  <si>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</si>
  <si>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</si>
  <si>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</si>
  <si>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</si>
  <si>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</si>
  <si>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</si>
  <si>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</si>
  <si>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</si>
  <si>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</si>
  <si>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</si>
  <si>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</si>
  <si>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</si>
  <si>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</si>
  <si>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</si>
  <si>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</si>
  <si>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</si>
  <si>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</si>
  <si>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</si>
  <si>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</si>
  <si>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</si>
  <si>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</si>
  <si>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</si>
  <si>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</si>
  <si>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</si>
  <si>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</si>
  <si>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</si>
  <si>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</si>
  <si>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</si>
  <si>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</si>
  <si>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</si>
  <si>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</si>
  <si>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</si>
  <si>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</si>
  <si>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</si>
  <si>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</si>
  <si>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</si>
  <si>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</si>
  <si>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</si>
  <si>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</si>
  <si>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</si>
  <si>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</si>
  <si>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</si>
  <si>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</si>
  <si>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</si>
  <si>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</si>
  <si>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</si>
  <si>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</si>
  <si>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</si>
  <si>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</si>
  <si>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</si>
  <si>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</si>
  <si>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</si>
  <si>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</si>
  <si>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</si>
  <si>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</si>
  <si>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</si>
  <si>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</si>
  <si>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</si>
  <si>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</si>
  <si>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</si>
  <si>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</si>
  <si>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</si>
  <si>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</si>
  <si>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</si>
  <si>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</si>
  <si>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</si>
  <si>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</si>
  <si>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</si>
  <si>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</si>
  <si>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</si>
  <si>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</si>
  <si>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</si>
  <si>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</si>
  <si>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</si>
  <si>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</si>
  <si>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</si>
  <si>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</si>
  <si>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</si>
  <si>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</si>
  <si>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</si>
  <si>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</si>
  <si>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</si>
  <si>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</si>
  <si>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</si>
  <si>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</si>
  <si>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</si>
  <si>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</si>
  <si>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</si>
  <si>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</si>
  <si>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</si>
  <si>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</si>
  <si>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</si>
  <si>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</si>
  <si>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</si>
  <si>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</si>
  <si>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</si>
  <si>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</si>
  <si>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</si>
  <si>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</si>
  <si>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</si>
  <si>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</si>
  <si>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</si>
  <si>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</si>
  <si>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</si>
  <si>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</si>
  <si>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</si>
  <si>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</si>
  <si>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</si>
  <si>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</si>
  <si>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</si>
  <si>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</si>
  <si>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</si>
  <si>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</si>
  <si>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</si>
  <si>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</si>
  <si>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</si>
  <si>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</si>
  <si>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</si>
  <si>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</si>
  <si>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</si>
  <si>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</si>
  <si>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</si>
  <si>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</si>
  <si>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</si>
  <si>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</si>
  <si>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</si>
  <si>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</si>
  <si>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</si>
  <si>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</si>
  <si>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</si>
  <si>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</si>
  <si>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</si>
  <si>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</si>
  <si>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</si>
  <si>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</si>
  <si>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</si>
  <si>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</si>
  <si>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</si>
  <si>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</si>
  <si>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</si>
  <si>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</si>
  <si>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</si>
  <si>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</si>
  <si>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</si>
  <si>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</si>
  <si>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</si>
  <si>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</si>
  <si>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</si>
  <si>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</si>
  <si>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</si>
  <si>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</si>
  <si>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</si>
  <si>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</si>
  <si>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</si>
  <si>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</si>
  <si>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</si>
  <si>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</si>
  <si>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</si>
  <si>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</si>
  <si>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</si>
  <si>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</si>
  <si>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</si>
  <si>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</si>
  <si>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</si>
  <si>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</si>
  <si>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</si>
  <si>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</si>
  <si>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</si>
  <si>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</si>
  <si>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</si>
  <si>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</si>
  <si>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</si>
  <si>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</si>
  <si>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</si>
  <si>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</si>
  <si>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</si>
  <si>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</si>
  <si>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</si>
  <si>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</si>
  <si>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</si>
  <si>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</si>
  <si>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</si>
  <si>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</si>
  <si>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</si>
  <si>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</si>
  <si>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</si>
  <si>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</si>
  <si>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</si>
  <si>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</si>
  <si>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</si>
  <si>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</si>
  <si>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</si>
  <si>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</si>
  <si>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</si>
  <si>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</si>
  <si>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</si>
  <si>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</si>
  <si>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</si>
  <si>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</si>
  <si>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</si>
  <si>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</si>
  <si>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</si>
  <si>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</si>
  <si>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</si>
  <si>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</si>
  <si>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</si>
  <si>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</si>
  <si>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</si>
  <si>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</si>
  <si>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</si>
  <si>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</si>
  <si>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</si>
  <si>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</si>
  <si>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</si>
  <si>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</si>
  <si>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</si>
  <si>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</si>
  <si>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</si>
  <si>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</si>
  <si>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</si>
  <si>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</si>
  <si>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</si>
  <si>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</si>
  <si>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</si>
  <si>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</si>
  <si>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</si>
  <si>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</si>
  <si>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</si>
  <si>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</si>
  <si>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</si>
  <si>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</si>
  <si>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</si>
  <si>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</si>
  <si>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</si>
  <si>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</si>
  <si>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</si>
  <si>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</si>
  <si>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</si>
  <si>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</si>
  <si>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</si>
  <si>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</si>
  <si>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</si>
  <si>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</si>
  <si>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</si>
  <si>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</si>
  <si>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</si>
  <si>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</si>
  <si>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</si>
  <si>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</si>
  <si>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</si>
  <si>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</si>
  <si>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</si>
  <si>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</si>
  <si>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</si>
  <si>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</si>
  <si>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</si>
  <si>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</si>
  <si>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</si>
  <si>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</si>
  <si>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</si>
  <si>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</si>
  <si>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</si>
  <si>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</si>
  <si>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</si>
  <si>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</si>
  <si>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</si>
  <si>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</si>
  <si>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</si>
  <si>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</si>
  <si>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</si>
  <si>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</si>
  <si>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</si>
  <si>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</si>
  <si>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</si>
  <si>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</si>
  <si>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</si>
  <si>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</si>
  <si>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</si>
  <si>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</si>
  <si>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</si>
  <si>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</si>
  <si>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</si>
  <si>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</si>
  <si>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</si>
  <si>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</si>
  <si>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</si>
  <si>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</si>
  <si>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</si>
  <si>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</si>
  <si>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</si>
  <si>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</si>
  <si>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</si>
  <si>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</si>
  <si>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</si>
  <si>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</si>
  <si>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</si>
  <si>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</si>
  <si>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</si>
  <si>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</si>
  <si>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</si>
  <si>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</si>
  <si>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</si>
  <si>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</si>
  <si>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</si>
  <si>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</si>
  <si>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</si>
  <si>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</si>
  <si>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</si>
  <si>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</si>
  <si>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</si>
  <si>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</si>
  <si>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</si>
  <si>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</si>
  <si>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</si>
  <si>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</si>
  <si>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</si>
  <si>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</si>
  <si>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</si>
  <si>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</si>
  <si>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</si>
  <si>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</si>
  <si>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</si>
  <si>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</si>
  <si>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</si>
  <si>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</si>
  <si>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</si>
  <si>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</si>
  <si>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</si>
  <si>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</si>
  <si>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</si>
  <si>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</si>
  <si>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</si>
  <si>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</si>
  <si>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</si>
  <si>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</si>
  <si>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</si>
  <si>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</si>
  <si>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</si>
  <si>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</si>
  <si>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</si>
  <si>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</si>
  <si>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</si>
  <si>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</si>
  <si>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</si>
  <si>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</si>
  <si>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</si>
  <si>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</si>
  <si>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</si>
  <si>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</si>
  <si>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</si>
  <si>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</si>
  <si>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</si>
  <si>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</si>
  <si>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</si>
  <si>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</si>
  <si>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</si>
  <si>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</si>
  <si>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</si>
  <si>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</si>
  <si>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</si>
  <si>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</si>
  <si>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</si>
  <si>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</si>
  <si>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</si>
  <si>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</si>
  <si>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</si>
  <si>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</si>
  <si>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</si>
  <si>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</si>
  <si>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</si>
  <si>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</si>
  <si>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</si>
  <si>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</si>
  <si>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</si>
  <si>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</si>
  <si>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</si>
  <si>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</si>
  <si>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</si>
  <si>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</si>
  <si>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</si>
  <si>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</si>
  <si>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</si>
  <si>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</si>
  <si>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</si>
  <si>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</si>
  <si>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</si>
  <si>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</si>
  <si>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</si>
  <si>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</si>
  <si>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</si>
  <si>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</si>
  <si>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</si>
  <si>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</si>
  <si>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</si>
  <si>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</si>
  <si>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</si>
  <si>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</si>
  <si>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</si>
  <si>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</si>
  <si>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</si>
  <si>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</si>
  <si>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</si>
  <si>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</si>
  <si>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</si>
  <si>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</si>
  <si>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</si>
  <si>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</si>
  <si>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</si>
  <si>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</si>
  <si>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</si>
  <si>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</si>
  <si>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</si>
  <si>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</si>
  <si>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</si>
  <si>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</si>
  <si>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</si>
  <si>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</si>
  <si>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</si>
  <si>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</si>
  <si>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</si>
  <si>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</si>
  <si>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</si>
  <si>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</si>
  <si>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</si>
  <si>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</si>
  <si>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</si>
  <si>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</si>
  <si>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</si>
  <si>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</si>
  <si>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</si>
  <si>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</si>
  <si>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</si>
  <si>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</si>
  <si>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</si>
  <si>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</si>
  <si>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</si>
  <si>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</si>
  <si>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</si>
  <si>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</si>
  <si>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</si>
  <si>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</si>
  <si>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</si>
  <si>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</si>
  <si>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</si>
  <si>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</si>
  <si>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</si>
  <si>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</si>
  <si>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</si>
  <si>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</si>
  <si>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</si>
  <si>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</si>
  <si>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</si>
  <si>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</si>
  <si>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</si>
  <si>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</si>
  <si>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</si>
  <si>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</si>
  <si>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</si>
  <si>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</si>
  <si>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</si>
  <si>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</si>
  <si>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</si>
  <si>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</si>
  <si>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</si>
  <si>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</si>
  <si>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</si>
  <si>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</si>
  <si>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</si>
  <si>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</si>
  <si>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</si>
  <si>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</si>
  <si>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</si>
  <si>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</si>
  <si>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</si>
  <si>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</si>
  <si>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</si>
  <si>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</si>
  <si>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</si>
  <si>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</si>
  <si>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</si>
  <si>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</si>
  <si>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</si>
  <si>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</si>
  <si>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</si>
  <si>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</si>
  <si>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</si>
  <si>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</si>
  <si>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</si>
  <si>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</si>
  <si>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</si>
  <si>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</si>
  <si>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</si>
  <si>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</si>
  <si>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</si>
  <si>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</si>
  <si>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</si>
  <si>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</si>
  <si>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</si>
  <si>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</si>
  <si>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</si>
  <si>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</si>
  <si>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</si>
  <si>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</si>
  <si>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</si>
  <si>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</si>
  <si>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</si>
  <si>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</si>
  <si>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</si>
  <si>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</si>
  <si>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</si>
  <si>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</si>
  <si>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</si>
  <si>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</si>
  <si>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</si>
  <si>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</si>
  <si>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</si>
  <si>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</si>
  <si>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</si>
  <si>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</si>
  <si>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</si>
  <si>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</si>
  <si>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</si>
  <si>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</si>
  <si>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</si>
  <si>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</si>
  <si>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</si>
  <si>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</si>
  <si>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</si>
  <si>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</si>
  <si>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</si>
  <si>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</si>
  <si>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</si>
  <si>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</si>
  <si>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</si>
  <si>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</si>
  <si>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</si>
  <si>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</si>
  <si>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</si>
  <si>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</si>
  <si>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</si>
  <si>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</si>
  <si>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</si>
  <si>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</si>
  <si>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</si>
  <si>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</si>
  <si>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</si>
  <si>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</si>
  <si>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</si>
  <si>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</si>
  <si>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</si>
  <si>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</si>
  <si>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</si>
  <si>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</si>
  <si>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</si>
  <si>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</si>
  <si>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</si>
  <si>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</si>
  <si>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</si>
  <si>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</si>
  <si>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</si>
  <si>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</si>
  <si>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</si>
  <si>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</si>
  <si>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</si>
  <si>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</si>
  <si>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</si>
  <si>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</si>
  <si>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</si>
  <si>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</si>
  <si>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</si>
  <si>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</si>
  <si>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</si>
  <si>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</si>
  <si>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</si>
  <si>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</si>
  <si>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</si>
  <si>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</si>
  <si>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</si>
  <si>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</si>
  <si>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</si>
  <si>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</si>
  <si>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</si>
  <si>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</si>
  <si>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</si>
  <si>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</si>
  <si>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</si>
  <si>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</si>
  <si>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</si>
  <si>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</si>
  <si>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</si>
  <si>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</si>
  <si>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</si>
  <si>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</si>
  <si>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</si>
  <si>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</si>
  <si>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</si>
  <si>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</si>
  <si>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</si>
  <si>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</si>
  <si>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</si>
  <si>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</si>
  <si>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</si>
  <si>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</si>
  <si>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</si>
  <si>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</si>
  <si>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</si>
  <si>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</si>
  <si>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</si>
  <si>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</si>
  <si>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</si>
  <si>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</si>
  <si>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</si>
  <si>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</si>
  <si>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</si>
  <si>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</si>
  <si>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</si>
  <si>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</si>
  <si>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</si>
  <si>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</si>
  <si>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</si>
  <si>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</si>
  <si>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</si>
  <si>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</si>
  <si>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</si>
  <si>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</si>
  <si>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</si>
  <si>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</si>
  <si>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</si>
  <si>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</si>
  <si>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</si>
  <si>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</si>
  <si>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</si>
  <si>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</si>
  <si>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</si>
  <si>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</si>
  <si>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</si>
  <si>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</si>
  <si>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</si>
  <si>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</si>
  <si>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</si>
  <si>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</si>
  <si>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</si>
  <si>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</si>
  <si>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</si>
  <si>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</si>
  <si>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</si>
  <si>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</si>
  <si>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</si>
  <si>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</si>
  <si>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</si>
  <si>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</si>
  <si>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</si>
  <si>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</si>
  <si>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</si>
  <si>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</si>
  <si>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</si>
  <si>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</si>
  <si>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</si>
  <si>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</si>
  <si>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</si>
  <si>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</si>
  <si>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</si>
  <si>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</si>
  <si>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</si>
  <si>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</si>
  <si>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</si>
  <si>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</si>
  <si>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</si>
  <si>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</si>
  <si>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</si>
  <si>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</si>
  <si>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</si>
  <si>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</si>
  <si>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</si>
  <si>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</si>
  <si>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</si>
  <si>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</si>
  <si>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</si>
  <si>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</si>
  <si>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</si>
  <si>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</si>
  <si>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</si>
  <si>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</si>
  <si>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</si>
  <si>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</si>
  <si>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</si>
  <si>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</si>
  <si>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</si>
  <si>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</si>
  <si>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</si>
  <si>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</si>
  <si>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</si>
  <si>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</si>
  <si>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</si>
  <si>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</si>
  <si>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DMART</t>
  </si>
  <si>
    <t>Football Field Analysis - Data</t>
  </si>
  <si>
    <t>OpenLow</t>
  </si>
  <si>
    <t>OpenHigh</t>
  </si>
  <si>
    <t>Comps</t>
  </si>
  <si>
    <t>DCF Bear</t>
  </si>
  <si>
    <t>DCF Base</t>
  </si>
  <si>
    <t>DCF Bull</t>
  </si>
  <si>
    <t>52W H/L</t>
  </si>
  <si>
    <t>Return on Equity (ROE)</t>
  </si>
  <si>
    <t>Dupont Equation - ROA</t>
  </si>
  <si>
    <t>Return on Assets (ROA)</t>
  </si>
  <si>
    <t>Dupont Equation - ROE</t>
  </si>
  <si>
    <t>52 Week (HIGH - INR  464.90 &amp; LOW - INR 342.35 )</t>
  </si>
  <si>
    <t>Tata Power is India's largest integrated electricity company and a key subsidiary of the Tata Group.Its operations span the entire power value chain, including energy generation, transmission, and distribution.The company manages a massive diversified generation capacity exceeding 14,700 megawatts across the nation.It is rapidly shifting away from fossil fuels, aiming for 70% clean energy capacity by 2030.Their renewable portfolio includes massive utility-scale investments in solar, wind, and hydroelectric power plants.They are building India's largest public and residential electric vehicle charging networks to support green transit.</t>
  </si>
  <si>
    <t xml:space="preserve">Financial Summary </t>
  </si>
  <si>
    <t>ROE %</t>
  </si>
  <si>
    <t>Dividend Payout %</t>
  </si>
  <si>
    <t>Growth %</t>
  </si>
  <si>
    <t>Beta(Risk)</t>
  </si>
  <si>
    <t>Nifty 50</t>
  </si>
  <si>
    <t xml:space="preserve">Expected Return </t>
  </si>
  <si>
    <t xml:space="preserve">Covariance </t>
  </si>
  <si>
    <t xml:space="preserve">Total portfolio </t>
  </si>
  <si>
    <t xml:space="preserve">Portfolio Value </t>
  </si>
  <si>
    <t xml:space="preserve">Weight of Tata Power Ltd. </t>
  </si>
  <si>
    <t>Weight of Nifty 50</t>
  </si>
  <si>
    <t xml:space="preserve">Portfolio Variance </t>
  </si>
  <si>
    <t>St. dev.</t>
  </si>
  <si>
    <t>Portfolio St. dev.</t>
  </si>
  <si>
    <t>Value at Risk (VaR)</t>
  </si>
  <si>
    <t xml:space="preserve">Days </t>
  </si>
  <si>
    <t xml:space="preserve">Confidence Interval </t>
  </si>
  <si>
    <t>Z.score</t>
  </si>
  <si>
    <t>VaR</t>
  </si>
  <si>
    <t xml:space="preserve">Expected return </t>
  </si>
  <si>
    <t>St. dev. nifty</t>
  </si>
  <si>
    <t xml:space="preserve">2 Year Weekly return </t>
  </si>
  <si>
    <t>Simulation</t>
  </si>
  <si>
    <t>Monte Carlo VaR</t>
  </si>
  <si>
    <t xml:space="preserve">Monte Carlo 10000 Simulation </t>
  </si>
  <si>
    <t>P/L (Historical)</t>
  </si>
  <si>
    <t xml:space="preserve">Altman's Z Score Analysis Calculation </t>
  </si>
  <si>
    <t>Altman's Z Score Analysis</t>
  </si>
  <si>
    <t>Working Capital/ Total Assets</t>
  </si>
  <si>
    <t>Working Capital (with Cash )</t>
  </si>
  <si>
    <t>Retained Earning / Total Assets</t>
  </si>
  <si>
    <t xml:space="preserve">Retained Earning </t>
  </si>
  <si>
    <t>EBIT / Total Assets</t>
  </si>
  <si>
    <t xml:space="preserve">Market Cap </t>
  </si>
  <si>
    <t>Sales / Total Assets</t>
  </si>
  <si>
    <t>Altman's Z Score</t>
  </si>
  <si>
    <t>Final Score</t>
  </si>
  <si>
    <t>Financial Stability</t>
  </si>
  <si>
    <t>Tata Power Company Limited is an Indian electric utility and electricity generation company, based in Mumbai and part of the Tata Group. With an installed electricity generation capacity of 14,707 MW from thermal power and green energy sources, it is India's largest integrated power company. In February 2017, Tata Power became the first Indian company to ship over 1 GW solar modules.</t>
  </si>
  <si>
    <t>Growth y-o-y</t>
  </si>
  <si>
    <t>Gross Profit Margins (%)</t>
  </si>
  <si>
    <t>EBITDA Margins (%)</t>
  </si>
  <si>
    <t>EBIT Margins (%)</t>
  </si>
  <si>
    <t>Net Margins (%)</t>
  </si>
  <si>
    <t>Earning per Share (in Rs.)</t>
  </si>
  <si>
    <t>Key Financial Metrics (in millions)</t>
  </si>
  <si>
    <t>Net  Margin (%)</t>
  </si>
  <si>
    <t xml:space="preserve">Dividend per Share </t>
  </si>
  <si>
    <t>Cash</t>
  </si>
  <si>
    <t>EV/Sales</t>
  </si>
  <si>
    <t>Sales  (in Rs.)</t>
  </si>
  <si>
    <t>DPS Growth (%)</t>
  </si>
  <si>
    <t>Price to Earnings</t>
  </si>
  <si>
    <t>Price to Book Value</t>
  </si>
  <si>
    <t>Return on Equity (%)</t>
  </si>
  <si>
    <t>Return on Capital Employed (%)</t>
  </si>
  <si>
    <t>Volume</t>
  </si>
  <si>
    <t>% of holding</t>
  </si>
  <si>
    <t>Tata Sons Private Limited</t>
  </si>
  <si>
    <t>Nippon Life India Asset Management Limited</t>
  </si>
  <si>
    <t>BlackRock, Inc.</t>
  </si>
  <si>
    <t>Vanguard Capital Management, LLC</t>
  </si>
  <si>
    <t>quant Money Managers Ltd.</t>
  </si>
  <si>
    <t>Tata Steel Limited</t>
  </si>
  <si>
    <t>Mirae Asset Global Investments Co., Ltd.</t>
  </si>
  <si>
    <t>GIC Asset Management Company Ltd.</t>
  </si>
  <si>
    <t>Canara Robeco Asset Management Company Limited</t>
  </si>
  <si>
    <t>Vanguard STAR Funds - Vanguard Total International Stock ETF</t>
  </si>
  <si>
    <t>Vanguard International Equity Index Funds - Vanguard FTSE Emerging Markets ETF</t>
  </si>
  <si>
    <t>Nippon Mutual Funds - Nippon Large Cap Fund</t>
  </si>
  <si>
    <t>Nippon India Mutual Fund - Nippon India Multi Cap Fund</t>
  </si>
  <si>
    <t>iShares, Inc. - iShares Core MSCI Emerging Markets ETF</t>
  </si>
  <si>
    <t>Quant Mutual Fund-Quant Elss Tax Saver Fund</t>
  </si>
  <si>
    <t>Vanguard Fiduciary Trust Company Institutional Total International Stock Market Index Trust II</t>
  </si>
  <si>
    <t>SBI Mutual Fund - SBI Flexicap Fund</t>
  </si>
  <si>
    <t>ICICI Prudential Mutual Fund - ICICI Prudential Bluechip Fund</t>
  </si>
  <si>
    <t>Canara Robeco Mutual Fund - Canara Robeco Emerging Equities</t>
  </si>
  <si>
    <t>Market Value (in millions)</t>
  </si>
  <si>
    <t>N. Shares (in millions)</t>
  </si>
  <si>
    <t xml:space="preserve">Shareholders Pattern </t>
  </si>
  <si>
    <t>Promoters</t>
  </si>
  <si>
    <t>FIIs</t>
  </si>
  <si>
    <t>DIIs</t>
  </si>
  <si>
    <t>Government</t>
  </si>
  <si>
    <t>Public</t>
  </si>
  <si>
    <t xml:space="preserve">Share Price as on </t>
  </si>
  <si>
    <t>Number of Shares o/s</t>
  </si>
  <si>
    <t xml:space="preserve">Market Capitalization </t>
  </si>
  <si>
    <t>Less: Cash &amp; Equivalents</t>
  </si>
  <si>
    <t>Designation</t>
  </si>
  <si>
    <t>X of Median Salary</t>
  </si>
  <si>
    <t>Add: Total Debt</t>
  </si>
  <si>
    <t>Add:Minority Interest</t>
  </si>
  <si>
    <t xml:space="preserve">Enterprise Value </t>
  </si>
  <si>
    <t>Dr. Praveer Sinha</t>
  </si>
  <si>
    <t>Mr. Sanjeev Churiwala</t>
  </si>
  <si>
    <t>Mr. Sanjay Banga</t>
  </si>
  <si>
    <t>Mr. Ajay Kapoor</t>
  </si>
  <si>
    <t>Mr. Dwarka Srinath</t>
  </si>
  <si>
    <t>President – Renewables</t>
  </si>
  <si>
    <t>Ms. Anjali Pandey</t>
  </si>
  <si>
    <t>President – Generation</t>
  </si>
  <si>
    <t>CFO &amp; COS</t>
  </si>
  <si>
    <t>Chief – LR&amp;A</t>
  </si>
  <si>
    <t>CDIO</t>
  </si>
  <si>
    <t xml:space="preserve"> CEO &amp; MD</t>
  </si>
  <si>
    <t>Remuneration(in millions )</t>
  </si>
  <si>
    <t>76:01</t>
  </si>
  <si>
    <t>02:01</t>
  </si>
  <si>
    <t>Key Financial Ratios (in millions)</t>
  </si>
  <si>
    <t>Deepak Kapoor Onboarded: Former PwC India Chairman, Mr. Deepak Kapoor, stepped into his role as an Additional Non-Executive Independent Director on June 1, 2026, with a fixed five-year term ending in 2031.</t>
  </si>
  <si>
    <t>Nishi Vasudeva Appointment: Former HPCL Chief, Ms. Nishi Vasudeva, was also added to the board as an Additional Non-Executive Independent Director, effective May 13, 2026.</t>
  </si>
  <si>
    <r>
      <t>Dividend Payout Execution</t>
    </r>
    <r>
      <rPr>
        <sz val="11"/>
        <color theme="1"/>
        <rFont val="Arial"/>
        <family val="2"/>
      </rPr>
      <t>: Following a recommended dividend of ₹2.50 per equity share (250% value) for the past financial year, the official record date was locked on June 23, 2026. Approved dividend payments will be released electronically starting July 10, 2026.</t>
    </r>
  </si>
  <si>
    <t>3-Year Capacity Mix Transition (In Percentage)</t>
  </si>
  <si>
    <t>Generation Source</t>
  </si>
  <si>
    <t>Thermal Power (Coal &amp; Gas)</t>
  </si>
  <si>
    <t>Solar Energy</t>
  </si>
  <si>
    <t>Wind Energy</t>
  </si>
  <si>
    <t>Hydroelectric Power</t>
  </si>
  <si>
    <t>Waste Heat / Others</t>
  </si>
  <si>
    <t xml:space="preserve">3-Year Capacity Mix Transition </t>
  </si>
  <si>
    <t>Disclaimer : The contents of this financial project, including all data, charts, analysis, and conclusions, are provided strictly for educational, research, and informational purposes. No part of this project constitutes investment, financial, legal, tax, or professional advice.</t>
  </si>
  <si>
    <t>Note :-</t>
  </si>
  <si>
    <t xml:space="preserve">n.a. </t>
  </si>
  <si>
    <t>Top 10 Shareholder's(2026)</t>
  </si>
  <si>
    <t>Top 10 Mutual Fund Holders(2026)</t>
  </si>
  <si>
    <t>Managerial Remuneration (2026)</t>
  </si>
  <si>
    <t>Recent Updates :-</t>
  </si>
  <si>
    <t>Return On Assets(A*B)</t>
  </si>
  <si>
    <t>Equity Value per Share (in Rs.)</t>
  </si>
  <si>
    <t>Share Price (in Rs.)</t>
  </si>
  <si>
    <t>Sensitivity Analysis (in Rs.)</t>
  </si>
  <si>
    <t>Implied Value per Share (in Rs.)</t>
  </si>
  <si>
    <t>Share Price - 2Y (weekly)</t>
  </si>
  <si>
    <t>Share Volume - 2Y(weekly)</t>
  </si>
  <si>
    <t>Source</t>
  </si>
  <si>
    <t>https://in.investing.com/equities/</t>
  </si>
  <si>
    <t xml:space="preserve">Add- Investments </t>
  </si>
  <si>
    <t xml:space="preserve">Weighted Average Cost of Capital </t>
  </si>
  <si>
    <t>Unlevered Beta</t>
  </si>
  <si>
    <t>Levered Beta</t>
  </si>
  <si>
    <r>
      <rPr>
        <sz val="11"/>
        <color theme="1"/>
        <rFont val="Calibri"/>
        <family val="2"/>
      </rPr>
      <t xml:space="preserve">Levered Beta </t>
    </r>
    <r>
      <rPr>
        <vertAlign val="superscript"/>
        <sz val="11"/>
        <color theme="1"/>
        <rFont val="Calibri"/>
        <family val="2"/>
      </rPr>
      <t>4</t>
    </r>
  </si>
  <si>
    <t xml:space="preserve">Unlevered </t>
  </si>
  <si>
    <t xml:space="preserve">Levered </t>
  </si>
  <si>
    <t>Sovereign CDS </t>
  </si>
  <si>
    <t>ERP based on sovereign CDS</t>
  </si>
  <si>
    <t xml:space="preserve">US treasury 10 y bond </t>
  </si>
  <si>
    <t>4 year average</t>
  </si>
  <si>
    <t>Forecaust</t>
  </si>
  <si>
    <t xml:space="preserve">Reinvestment Rate (Scenario) </t>
  </si>
  <si>
    <t>Terminal Growth</t>
  </si>
  <si>
    <t xml:space="preserve">Value of Operating Assets </t>
  </si>
  <si>
    <t xml:space="preserve">Implied Enterprise Value </t>
  </si>
  <si>
    <t xml:space="preserve">25th Percentile </t>
  </si>
  <si>
    <t xml:space="preserve">75th Percentile </t>
  </si>
  <si>
    <t>Regression P/E</t>
  </si>
  <si>
    <t xml:space="preserve">Average Total Assets </t>
  </si>
  <si>
    <t>Average ShareHolders Equity</t>
  </si>
  <si>
    <t>Asset Turnover Ratio (B)</t>
  </si>
  <si>
    <t>Long Term Liabilities</t>
  </si>
  <si>
    <t>Calculation of Value at Risk - Tata power Ltd. &amp; Nifty 50  (Historical)</t>
  </si>
  <si>
    <t>Calculation of Value at Risk - Tata power Ltd. &amp; Nifty 50 (Monte Carlo )</t>
  </si>
  <si>
    <t>Calculation of Value at Risk - Tata power Ltd. &amp; Nifty 50 (Parametric )</t>
  </si>
  <si>
    <t>Scenario VaR</t>
  </si>
  <si>
    <t>Name of the Comparable company</t>
  </si>
  <si>
    <t>Comparable company Valuation(in Rs.)</t>
  </si>
  <si>
    <t>MAX</t>
  </si>
  <si>
    <t>MIN</t>
  </si>
  <si>
    <t>Market Cap / Long Term Liabilities</t>
  </si>
  <si>
    <t>Discount/Premium (%)</t>
  </si>
  <si>
    <t>Debt to Market Equity</t>
  </si>
  <si>
    <t>Target based on observed 10-year trend in market-value debt/equity, extrapolated forward</t>
  </si>
  <si>
    <t>NOTE :-</t>
  </si>
  <si>
    <t>Comparable company Regression-Based Valuation</t>
  </si>
  <si>
    <t>NOTE:-</t>
  </si>
  <si>
    <t>Note:-</t>
  </si>
  <si>
    <t xml:space="preserve">DCF Assumptions </t>
  </si>
  <si>
    <t>ERP (Returns-based) is negative due to volatility in India's short/medium-term historical equity returns and is not used in this model. ERP (Rating-based) derived from India's sovereign default spread is used instead, consistent with Damodaran's guidance that rating-based ERP is more stable for emerging markets than trailing historical returns.</t>
  </si>
  <si>
    <t>Reinvestment rate anchor (157% 4-year median) reflects Tata Power's active renewable capex buildout, funded substantially by debt/equity issuance rather than retained NOPAT.                                           This is a materially higher and more volatile reinvestment rate than the pre-2021 period, and is a primary driver of the suppressed near-term FCFF in this DCF. ROIC used in the terminal growth calculation (g = ROIC × Reinvestment Rate) also varies significantly year to year (5.6%–11.3%) during this transition period and should be read as illustrative of a business still scaling its renewable asset base, not a fully stabilized steady-state return.</t>
  </si>
  <si>
    <t xml:space="preserve">Source </t>
  </si>
  <si>
    <t>screener</t>
  </si>
  <si>
    <t>Interest Coverage</t>
  </si>
  <si>
    <t>Ratio</t>
  </si>
  <si>
    <t>Net Debt / EBITDA</t>
  </si>
  <si>
    <t>Debt / EBITDA</t>
  </si>
  <si>
    <t>FFO / Debt</t>
  </si>
  <si>
    <t>Score</t>
  </si>
  <si>
    <t>Operating Cash Flow / Debt</t>
  </si>
  <si>
    <t>Current Ratio</t>
  </si>
  <si>
    <t>3. Funds From Operations (FFO) / Debt (Maximum Score = 15)</t>
  </si>
  <si>
    <t>Altman Z Score</t>
  </si>
  <si>
    <t>Credit Rating</t>
  </si>
  <si>
    <t>4. Operating Cash Flow / Debt (Maximum Score = 10)</t>
  </si>
  <si>
    <t>OCF / Debt</t>
  </si>
  <si>
    <t>6. Current Ratio (Maximum Score = 5)</t>
  </si>
  <si>
    <t>7. Return on Invested Capital (ROIC) (Maximum Score = 10)</t>
  </si>
  <si>
    <t>8. Altman Z-Score (Maximum Score = 5)</t>
  </si>
  <si>
    <t>Altman Z-Score</t>
  </si>
  <si>
    <r>
      <t>Note:</t>
    </r>
    <r>
      <rPr>
        <sz val="11"/>
        <color theme="1"/>
        <rFont val="Calibri"/>
        <family val="2"/>
        <scheme val="minor"/>
      </rPr>
      <t xml:space="preserve"> Because the Altman Z-Score has known limitations for regulated utilities, it receives a relatively low weighting in the overall framework.</t>
    </r>
  </si>
  <si>
    <t>AAA</t>
  </si>
  <si>
    <t>AA+</t>
  </si>
  <si>
    <t xml:space="preserve"> AA</t>
  </si>
  <si>
    <t xml:space="preserve"> AA−</t>
  </si>
  <si>
    <t>A+</t>
  </si>
  <si>
    <t xml:space="preserve"> A</t>
  </si>
  <si>
    <t xml:space="preserve"> A−</t>
  </si>
  <si>
    <t>BBB+</t>
  </si>
  <si>
    <t xml:space="preserve"> BBB</t>
  </si>
  <si>
    <t xml:space="preserve"> BBB−</t>
  </si>
  <si>
    <t>Below BBB−</t>
  </si>
  <si>
    <t>FFO / Net Debt</t>
  </si>
  <si>
    <t>Debt / Capitalization</t>
  </si>
  <si>
    <t>Debt/Cap</t>
  </si>
  <si>
    <t>9.Debt/Cap (Maximum Score = 5)</t>
  </si>
  <si>
    <t>Total Score</t>
  </si>
  <si>
    <t>10. External Credit Rating (Maximum Score = 5)</t>
  </si>
  <si>
    <t>Dividend Payout Ratio</t>
  </si>
  <si>
    <t>Score(Maximum Score = 5)</t>
  </si>
  <si>
    <t>Score(Maximum Score = 20)</t>
  </si>
  <si>
    <t>Score(Maximum Score = 15)</t>
  </si>
  <si>
    <t>Score(Maximum Score = 10)</t>
  </si>
  <si>
    <t>Score(Maximum Score = 25)</t>
  </si>
  <si>
    <t>9.Dividend Payout Ratio (Maximum Score = 5)</t>
  </si>
  <si>
    <t>Final Utility Financial Strength Score</t>
  </si>
  <si>
    <t>Assessment</t>
  </si>
  <si>
    <t>Excellent</t>
  </si>
  <si>
    <t>Very Strong</t>
  </si>
  <si>
    <t>Strong</t>
  </si>
  <si>
    <t>Satisfactory</t>
  </si>
  <si>
    <t>Moderate</t>
  </si>
  <si>
    <t>Weak</t>
  </si>
  <si>
    <t>Below 40</t>
  </si>
  <si>
    <t>High Risk</t>
  </si>
  <si>
    <t>AA-</t>
  </si>
  <si>
    <t>AA</t>
  </si>
  <si>
    <t xml:space="preserve">CRISIL Rating </t>
  </si>
  <si>
    <t>Max Score = 100</t>
  </si>
  <si>
    <t>Utility Credit Quality Scorecard</t>
  </si>
  <si>
    <r>
      <rPr>
        <sz val="11"/>
        <color theme="1" tint="0.14999847407452621"/>
        <rFont val="Calibri"/>
        <family val="2"/>
        <scheme val="minor"/>
      </rPr>
      <t xml:space="preserve">This regression (P/E against ROE, Dividend Payout, Growth, and Beta) yields a low </t>
    </r>
    <r>
      <rPr>
        <sz val="11"/>
        <color rgb="FFFF0000"/>
        <rFont val="Calibri"/>
        <family val="2"/>
        <scheme val="minor"/>
      </rPr>
      <t xml:space="preserve">R² (0.058) </t>
    </r>
    <r>
      <rPr>
        <sz val="11"/>
        <color theme="1" tint="0.14999847407452621"/>
        <rFont val="Calibri"/>
        <family val="2"/>
        <scheme val="minor"/>
      </rPr>
      <t xml:space="preserve">and statistically insignificant coefficients (all p-values &gt; 0.37), meaning it does not reliably explain cross-sectional P/E variation for this peer set. This section is retained to demonstrate multi-variable regression methodology, statistical output interpretation (R², t-stats, p-values, F-significance), and the ability to identify when a model fails to meet statistical thresholds — a key analytical skill in its own right. </t>
    </r>
    <r>
      <rPr>
        <b/>
        <sz val="11"/>
        <color theme="1" tint="0.14999847407452621"/>
        <rFont val="Calibri"/>
        <family val="2"/>
        <scheme val="minor"/>
      </rPr>
      <t>The output of this regression is excluded from the valuation conclusion and should not be used to inform any investment decision.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</si>
</sst>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quot;₹&quot;\ * #,##0.00_ ;_ &quot;₹&quot;\ * \-#,##0.00_ ;_ &quot;₹&quot;\ * &quot;-&quot;??_ ;_ @_ "/>
    <numFmt numFmtId="43" formatCode="_ * #,##0.00_ ;_ * \-#,##0.00_ ;_ * &quot;-&quot;??_ ;_ @_ "/>
    <numFmt numFmtId="164" formatCode="_(* #,##0.00_);_(* \(#,##0.00\);_(* &quot;-&quot;??_);_(@_)"/>
    <numFmt numFmtId="165" formatCode="[$-409]mmm\-yy;@"/>
    <numFmt numFmtId="166" formatCode="mmm/yy&quot;A&quot;"/>
    <numFmt numFmtId="167" formatCode="mmm/yy&quot;E&quot;"/>
    <numFmt numFmtId="168" formatCode="_ &quot;₹&quot;\ * #,##0.00_ ;_ &quot;₹&quot;\ * \(#,##0.00_)\ ;_ &quot;₹&quot;\ * &quot;-&quot;??_ ;_ @_ "/>
    <numFmt numFmtId="169" formatCode="_ &quot;₹&quot;\ * #,##0.00_ ;_ &quot;₹&quot;\ * \(#,##0.00\)_ ;_ &quot;₹&quot;\ * &quot;-&quot;??_ ;_ @_ "/>
    <numFmt numFmtId="170" formatCode="_ \ * #,##0.00_ ;_ * \(#,##0.00\)_ ;_ * &quot;-&quot;??_ ;_ @_ "/>
    <numFmt numFmtId="171" formatCode="0.00&quot;x&quot;"/>
    <numFmt numFmtId="172" formatCode="0.0&quot;x&quot;"/>
    <numFmt numFmtId="173" formatCode="_ [$₹-4009]\ * #,##0.00_ ;_ [$₹-4009]\ * \-#,##0.00_ ;_ [$₹-4009]\ * &quot;-&quot;??_ ;_ @_ "/>
    <numFmt numFmtId="174" formatCode="_ &quot;₹&quot;\ \ #,##0.00_ ;_ &quot;₹&quot;\ * \(#,##0.00\)_ ;_ &quot;₹&quot;\ * &quot;-&quot;??_ ;_ @_ "/>
    <numFmt numFmtId="175" formatCode="_ &quot;₹&quot;\ #,##0.00_ ;_ &quot;₹&quot;\ \(#,##0.00\)_ ;_ &quot;₹&quot;\ &quot;-&quot;??_ ;_ @_ "/>
    <numFmt numFmtId="176" formatCode="_ * #,##0.000_ ;_ * \-#,##0.000_ ;_ * &quot;-&quot;??_ ;_ @_ "/>
  </numFmts>
  <fonts count="74">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color theme="1"/>
      <name val="Calibri"/>
      <family val="2"/>
    </font>
    <font>
      <sz val="11"/>
      <color theme="1"/>
      <name val="Calibri"/>
      <family val="2"/>
    </font>
    <font>
      <sz val="11"/>
      <color theme="0"/>
      <name val="Calibri"/>
      <family val="2"/>
    </font>
    <font>
      <sz val="11"/>
      <name val="Calibri"/>
      <family val="2"/>
    </font>
    <font>
      <sz val="11"/>
      <color rgb="FF7F7F7F"/>
      <name val="Calibri"/>
      <family val="2"/>
    </font>
    <font>
      <sz val="11"/>
      <color rgb="FFA5A5A5"/>
      <name val="Calibri"/>
      <family val="2"/>
    </font>
    <font>
      <sz val="11"/>
      <color rgb="FF22222F"/>
      <name val="Arial"/>
      <family val="2"/>
    </font>
    <font>
      <sz val="11"/>
      <color rgb="FF665EFD"/>
      <name val="Arial"/>
      <family val="2"/>
    </font>
    <font>
      <sz val="11"/>
      <color rgb="FF22222F"/>
      <name val="Arial"/>
      <family val="2"/>
    </font>
    <font>
      <vertAlign val="superscript"/>
      <sz val="11"/>
      <color theme="1"/>
      <name val="Calibri"/>
      <family val="2"/>
    </font>
    <font>
      <sz val="11"/>
      <color rgb="FF002060"/>
      <name val="Calibri"/>
      <family val="2"/>
    </font>
    <font>
      <sz val="11"/>
      <color theme="0"/>
      <name val="Arial"/>
      <family val="2"/>
    </font>
    <font>
      <sz val="11"/>
      <color rgb="FF0070C0"/>
      <name val="Calibri"/>
      <family val="2"/>
      <scheme val="minor"/>
    </font>
    <font>
      <sz val="11"/>
      <color rgb="FFFFFFFF"/>
      <name val="Calibri"/>
      <family val="2"/>
    </font>
    <font>
      <b/>
      <sz val="11"/>
      <name val="Calibri"/>
      <family val="2"/>
      <scheme val="minor"/>
    </font>
    <font>
      <i/>
      <sz val="11"/>
      <color theme="1"/>
      <name val="Calibri"/>
      <family val="2"/>
      <scheme val="minor"/>
    </font>
    <font>
      <i/>
      <sz val="9"/>
      <name val="Times New Roman"/>
      <family val="1"/>
    </font>
    <font>
      <i/>
      <sz val="9"/>
      <name val="Geneva"/>
    </font>
    <font>
      <sz val="9"/>
      <name val="Times New Roman"/>
      <family val="1"/>
    </font>
    <font>
      <sz val="9"/>
      <name val="Geneva"/>
    </font>
    <font>
      <sz val="11"/>
      <color rgb="FF7030A0"/>
      <name val="Calibri"/>
      <family val="2"/>
      <scheme val="minor"/>
    </font>
    <font>
      <sz val="11"/>
      <color rgb="FF22222F"/>
      <name val="Arial"/>
      <family val="2"/>
    </font>
    <font>
      <sz val="11"/>
      <color rgb="FF7030A0"/>
      <name val="Calibri"/>
      <family val="2"/>
    </font>
    <font>
      <sz val="10"/>
      <color rgb="FF7030A0"/>
      <name val="Calibri"/>
      <family val="2"/>
      <scheme val="minor"/>
    </font>
    <font>
      <sz val="10"/>
      <color theme="1" tint="0.34998626667073579"/>
      <name val="Calibri"/>
      <family val="2"/>
      <scheme val="minor"/>
    </font>
    <font>
      <b/>
      <sz val="10"/>
      <color theme="0"/>
      <name val="Calibri"/>
      <family val="2"/>
      <scheme val="minor"/>
    </font>
    <font>
      <sz val="10"/>
      <color theme="0"/>
      <name val="Calibri"/>
      <family val="2"/>
      <scheme val="minor"/>
    </font>
    <font>
      <b/>
      <sz val="9"/>
      <color theme="0"/>
      <name val="Arial"/>
      <family val="2"/>
    </font>
    <font>
      <b/>
      <sz val="11"/>
      <color rgb="FF0070C0"/>
      <name val="Calibri"/>
      <family val="2"/>
      <scheme val="minor"/>
    </font>
    <font>
      <sz val="12"/>
      <color theme="1"/>
      <name val="Calibri"/>
      <family val="2"/>
      <scheme val="minor"/>
    </font>
    <font>
      <sz val="11"/>
      <color theme="8" tint="0.79998168889431442"/>
      <name val="Calibri"/>
      <family val="2"/>
      <scheme val="minor"/>
    </font>
    <font>
      <b/>
      <sz val="11"/>
      <color theme="0"/>
      <name val="calibri"/>
      <family val="2"/>
    </font>
    <font>
      <sz val="12"/>
      <color theme="1"/>
      <name val="Arial"/>
      <family val="2"/>
    </font>
    <font>
      <sz val="11"/>
      <color rgb="FF002060"/>
      <name val="Calibri"/>
      <family val="2"/>
      <scheme val="minor"/>
    </font>
    <font>
      <b/>
      <sz val="12"/>
      <color rgb="FF002060"/>
      <name val="Calibri"/>
      <family val="2"/>
      <scheme val="minor"/>
    </font>
    <font>
      <sz val="12"/>
      <name val="Calibri"/>
      <family val="2"/>
      <scheme val="minor"/>
    </font>
    <font>
      <b/>
      <sz val="18"/>
      <color rgb="FF002060"/>
      <name val="Calibri"/>
      <family val="2"/>
      <scheme val="minor"/>
    </font>
    <font>
      <sz val="11"/>
      <color rgb="FF00B0F0"/>
      <name val="Calibri"/>
      <family val="2"/>
      <scheme val="minor"/>
    </font>
    <font>
      <sz val="12"/>
      <color theme="0"/>
      <name val="Calibri"/>
      <family val="2"/>
      <scheme val="minor"/>
    </font>
    <font>
      <b/>
      <sz val="24"/>
      <color rgb="FF002060"/>
      <name val="Calibri"/>
      <family val="2"/>
      <scheme val="minor"/>
    </font>
    <font>
      <b/>
      <sz val="20"/>
      <color rgb="FF002060"/>
      <name val="Calibri"/>
      <family val="2"/>
      <scheme val="minor"/>
    </font>
    <font>
      <b/>
      <sz val="12"/>
      <color theme="1"/>
      <name val="Calibri"/>
      <family val="2"/>
      <scheme val="minor"/>
    </font>
    <font>
      <sz val="11"/>
      <name val="Arial"/>
      <family val="2"/>
    </font>
    <font>
      <i/>
      <sz val="10"/>
      <color theme="1"/>
      <name val="Calibri"/>
      <family val="2"/>
      <scheme val="minor"/>
    </font>
    <font>
      <sz val="10"/>
      <color theme="1"/>
      <name val="Calibri"/>
      <family val="2"/>
      <scheme val="minor"/>
    </font>
    <font>
      <sz val="14"/>
      <color theme="0"/>
      <name val="Calibri"/>
      <family val="2"/>
      <scheme val="minor"/>
    </font>
    <font>
      <sz val="11"/>
      <color rgb="FF232526"/>
      <name val="Segoe UI"/>
      <family val="2"/>
    </font>
    <font>
      <sz val="11"/>
      <color rgb="FF232526"/>
      <name val="Calibri"/>
      <family val="2"/>
      <scheme val="minor"/>
    </font>
    <font>
      <b/>
      <sz val="11"/>
      <color theme="0"/>
      <name val="Segoe UI"/>
      <family val="2"/>
    </font>
    <font>
      <sz val="11"/>
      <color theme="1"/>
      <name val="Arial"/>
      <family val="2"/>
    </font>
    <font>
      <b/>
      <sz val="11"/>
      <color theme="1"/>
      <name val="Arial"/>
      <family val="2"/>
    </font>
    <font>
      <sz val="15"/>
      <color theme="1"/>
      <name val="Arial"/>
      <family val="2"/>
    </font>
    <font>
      <sz val="11"/>
      <color theme="3"/>
      <name val="Calibri"/>
      <family val="2"/>
      <scheme val="minor"/>
    </font>
    <font>
      <sz val="18"/>
      <color theme="0"/>
      <name val="Calibri"/>
      <family val="2"/>
      <scheme val="minor"/>
    </font>
    <font>
      <b/>
      <sz val="28"/>
      <color rgb="FF002060"/>
      <name val="Calibri"/>
      <family val="2"/>
      <scheme val="minor"/>
    </font>
    <font>
      <sz val="11"/>
      <color rgb="FF00B0F0"/>
      <name val="Calibri"/>
      <family val="2"/>
    </font>
    <font>
      <sz val="11"/>
      <color theme="1" tint="0.14999847407452621"/>
      <name val="Calibri"/>
      <family val="2"/>
      <scheme val="minor"/>
    </font>
    <font>
      <b/>
      <sz val="11"/>
      <color theme="1" tint="0.14999847407452621"/>
      <name val="Calibri"/>
      <family val="2"/>
      <scheme val="minor"/>
    </font>
    <font>
      <sz val="11"/>
      <color theme="1" tint="0.249977111117893"/>
      <name val="Calibri"/>
      <family val="2"/>
      <scheme val="minor"/>
    </font>
    <font>
      <b/>
      <u/>
      <sz val="12"/>
      <color theme="10"/>
      <name val="Calibri"/>
      <family val="2"/>
    </font>
    <font>
      <b/>
      <sz val="24"/>
      <color theme="1"/>
      <name val="Calibri"/>
      <family val="2"/>
      <scheme val="minor"/>
    </font>
    <font>
      <b/>
      <sz val="11"/>
      <color theme="0" tint="-0.499984740745262"/>
      <name val="Calibri"/>
      <family val="2"/>
      <scheme val="minor"/>
    </font>
    <font>
      <b/>
      <sz val="11"/>
      <color rgb="FFC00000"/>
      <name val="Calibri"/>
      <family val="2"/>
      <scheme val="minor"/>
    </font>
    <font>
      <sz val="11"/>
      <color rgb="FFFF0000"/>
      <name val="Calibri"/>
      <family val="2"/>
      <scheme val="minor"/>
    </font>
  </fonts>
  <fills count="27">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theme="0"/>
        <bgColor theme="0"/>
      </patternFill>
    </fill>
    <fill>
      <patternFill patternType="solid">
        <fgColor rgb="FF002060"/>
        <bgColor rgb="FF002060"/>
      </patternFill>
    </fill>
    <fill>
      <patternFill patternType="solid">
        <fgColor rgb="FFFFC000"/>
        <bgColor rgb="FFFFC000"/>
      </patternFill>
    </fill>
    <fill>
      <patternFill patternType="solid">
        <fgColor rgb="FF00B0F0"/>
        <bgColor rgb="FF00B0F0"/>
      </patternFill>
    </fill>
    <fill>
      <patternFill patternType="solid">
        <fgColor rgb="FFFFFF00"/>
        <bgColor rgb="FFFFFF00"/>
      </patternFill>
    </fill>
    <fill>
      <patternFill patternType="solid">
        <fgColor theme="0"/>
        <bgColor rgb="FFFFFF00"/>
      </patternFill>
    </fill>
    <fill>
      <patternFill patternType="solid">
        <fgColor theme="0"/>
        <bgColor rgb="FF00B0F0"/>
      </patternFill>
    </fill>
    <fill>
      <patternFill patternType="solid">
        <fgColor theme="0"/>
        <bgColor indexed="64"/>
      </patternFill>
    </fill>
    <fill>
      <patternFill patternType="solid">
        <fgColor rgb="FFFFFFFF"/>
        <bgColor indexed="64"/>
      </patternFill>
    </fill>
    <fill>
      <patternFill patternType="solid">
        <fgColor rgb="FFF2F2F2"/>
        <bgColor rgb="FFF2F2F2"/>
      </patternFill>
    </fill>
    <fill>
      <patternFill patternType="solid">
        <fgColor rgb="FF002060"/>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rgb="FFFFFFFF"/>
        <bgColor rgb="FFFFFFFF"/>
      </patternFill>
    </fill>
    <fill>
      <patternFill patternType="solid">
        <fgColor rgb="FF073763"/>
        <bgColor rgb="FF073763"/>
      </patternFill>
    </fill>
    <fill>
      <patternFill patternType="solid">
        <fgColor theme="0" tint="-0.14996795556505021"/>
        <bgColor indexed="64"/>
      </patternFill>
    </fill>
    <fill>
      <patternFill patternType="solid">
        <fgColor rgb="FF002060"/>
        <bgColor rgb="FF00B0F0"/>
      </patternFill>
    </fill>
    <fill>
      <patternFill patternType="solid">
        <fgColor rgb="FF0070C0"/>
        <bgColor rgb="FF002060"/>
      </patternFill>
    </fill>
    <fill>
      <patternFill patternType="solid">
        <fgColor rgb="FF0070C0"/>
        <bgColor indexed="64"/>
      </patternFill>
    </fill>
    <fill>
      <patternFill patternType="solid">
        <fgColor rgb="FF002060"/>
        <bgColor theme="0"/>
      </patternFill>
    </fill>
    <fill>
      <patternFill patternType="solid">
        <fgColor theme="0" tint="-0.14999847407452621"/>
        <bgColor theme="0"/>
      </patternFill>
    </fill>
  </fills>
  <borders count="38">
    <border>
      <left/>
      <right/>
      <top/>
      <bottom/>
      <diagonal/>
    </border>
    <border>
      <left/>
      <right/>
      <top style="dotted">
        <color rgb="FF000000"/>
      </top>
      <bottom style="dotted">
        <color rgb="FF000000"/>
      </bottom>
      <diagonal/>
    </border>
    <border>
      <left/>
      <right/>
      <top/>
      <bottom style="thin">
        <color indexed="64"/>
      </bottom>
      <diagonal/>
    </border>
    <border>
      <left/>
      <right/>
      <top style="thin">
        <color indexed="64"/>
      </top>
      <bottom/>
      <diagonal/>
    </border>
    <border>
      <left/>
      <right/>
      <top style="dotted">
        <color rgb="FF000000"/>
      </top>
      <bottom/>
      <diagonal/>
    </border>
    <border>
      <left/>
      <right/>
      <top/>
      <bottom style="dotted">
        <color rgb="FF000000"/>
      </bottom>
      <diagonal/>
    </border>
    <border>
      <left/>
      <right/>
      <top style="thin">
        <color rgb="FF000000"/>
      </top>
      <bottom/>
      <diagonal/>
    </border>
    <border>
      <left/>
      <right/>
      <top/>
      <bottom style="thin">
        <color rgb="FF000000"/>
      </bottom>
      <diagonal/>
    </border>
    <border>
      <left/>
      <right/>
      <top style="dashed">
        <color indexed="64"/>
      </top>
      <bottom style="dashed">
        <color indexed="64"/>
      </bottom>
      <diagonal/>
    </border>
    <border>
      <left/>
      <right/>
      <top style="dashed">
        <color indexed="64"/>
      </top>
      <bottom/>
      <diagonal/>
    </border>
    <border>
      <left/>
      <right/>
      <top style="thin">
        <color indexed="64"/>
      </top>
      <bottom style="thin">
        <color indexed="64"/>
      </bottom>
      <diagonal/>
    </border>
    <border>
      <left/>
      <right/>
      <top/>
      <bottom style="thick">
        <color rgb="FF002060"/>
      </bottom>
      <diagonal/>
    </border>
    <border>
      <left/>
      <right/>
      <top/>
      <bottom style="thin">
        <color theme="0"/>
      </bottom>
      <diagonal/>
    </border>
    <border>
      <left/>
      <right/>
      <top style="dashed">
        <color rgb="FF002060"/>
      </top>
      <bottom style="dashed">
        <color rgb="FF00206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indexed="64"/>
      </top>
      <bottom style="thin">
        <color auto="1"/>
      </bottom>
      <diagonal/>
    </border>
    <border>
      <left/>
      <right/>
      <top style="thin">
        <color auto="1"/>
      </top>
      <bottom style="medium">
        <color auto="1"/>
      </bottom>
      <diagonal/>
    </border>
    <border>
      <left/>
      <right/>
      <top/>
      <bottom style="medium">
        <color rgb="FFDCDFE5"/>
      </bottom>
      <diagonal/>
    </border>
    <border>
      <left/>
      <right/>
      <top style="thin">
        <color rgb="FF000000"/>
      </top>
      <bottom style="dashed">
        <color rgb="FF000000"/>
      </bottom>
      <diagonal/>
    </border>
    <border>
      <left/>
      <right/>
      <top style="dashed">
        <color rgb="FF000000"/>
      </top>
      <bottom style="thin">
        <color rgb="FF000000"/>
      </bottom>
      <diagonal/>
    </border>
    <border>
      <left/>
      <right/>
      <top style="thin">
        <color indexed="64"/>
      </top>
      <bottom style="double">
        <color indexed="64"/>
      </bottom>
      <diagonal/>
    </border>
    <border>
      <left/>
      <right/>
      <top/>
      <bottom style="dashed">
        <color auto="1"/>
      </bottom>
      <diagonal/>
    </border>
    <border>
      <left/>
      <right/>
      <top/>
      <bottom style="double">
        <color auto="1"/>
      </bottom>
      <diagonal/>
    </border>
  </borders>
  <cellStyleXfs count="8">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cellStyleXfs>
  <cellXfs count="449">
    <xf numFmtId="0" fontId="0" fillId="0" borderId="0" xfId="0"/>
    <xf numFmtId="43" fontId="1" fillId="0" borderId="0" xfId="1" applyFont="1" applyBorder="1"/>
    <xf numFmtId="0" fontId="1" fillId="0" borderId="0" xfId="0" applyFont="1"/>
    <xf numFmtId="0" fontId="8" fillId="0" borderId="0" xfId="0" applyFont="1"/>
    <xf numFmtId="43" fontId="0" fillId="0" borderId="0" xfId="1" applyFont="1" applyBorder="1"/>
    <xf numFmtId="10" fontId="0" fillId="0" borderId="0" xfId="0" applyNumberFormat="1"/>
    <xf numFmtId="43" fontId="3" fillId="0" borderId="0" xfId="1" applyFont="1" applyBorder="1"/>
    <xf numFmtId="9" fontId="3" fillId="0" borderId="0" xfId="1" applyNumberFormat="1" applyFont="1"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xf numFmtId="165" fontId="2" fillId="5" borderId="0" xfId="0" applyNumberFormat="1" applyFont="1" applyFill="1" applyAlignment="1">
      <alignment horizontal="center"/>
    </xf>
    <xf numFmtId="0" fontId="2" fillId="5" borderId="0" xfId="0" applyFont="1" applyFill="1" applyAlignment="1">
      <alignment horizontal="center"/>
    </xf>
    <xf numFmtId="43" fontId="0" fillId="0" borderId="0" xfId="1" applyFont="1" applyBorder="1" applyAlignment="1">
      <alignment horizontal="center"/>
    </xf>
    <xf numFmtId="43" fontId="1" fillId="0" borderId="0" xfId="1" applyFont="1" applyBorder="1" applyAlignment="1">
      <alignment horizontal="center"/>
    </xf>
    <xf numFmtId="10" fontId="1" fillId="0" borderId="0" xfId="0" applyNumberFormat="1" applyFont="1"/>
    <xf numFmtId="165" fontId="2" fillId="5" borderId="0" xfId="1" applyNumberFormat="1" applyFont="1" applyFill="1" applyBorder="1"/>
    <xf numFmtId="165" fontId="9" fillId="0" borderId="0" xfId="1" applyNumberFormat="1" applyFont="1" applyFill="1" applyBorder="1"/>
    <xf numFmtId="0" fontId="7" fillId="0" borderId="0" xfId="0" applyFont="1"/>
    <xf numFmtId="0" fontId="0" fillId="0" borderId="0" xfId="0"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9" fillId="0" borderId="0" xfId="0" applyFont="1"/>
    <xf numFmtId="164" fontId="0" fillId="0" borderId="0" xfId="1" applyNumberFormat="1" applyFont="1" applyBorder="1"/>
    <xf numFmtId="0" fontId="3" fillId="0" borderId="0" xfId="0" applyFont="1"/>
    <xf numFmtId="0" fontId="11" fillId="6" borderId="0" xfId="0" applyFont="1" applyFill="1"/>
    <xf numFmtId="0" fontId="11" fillId="6" borderId="0" xfId="0" applyFont="1" applyFill="1" applyAlignment="1">
      <alignment horizontal="center"/>
    </xf>
    <xf numFmtId="0" fontId="12" fillId="7" borderId="0" xfId="0" applyFont="1" applyFill="1"/>
    <xf numFmtId="166" fontId="12" fillId="7" borderId="0" xfId="0" applyNumberFormat="1" applyFont="1" applyFill="1"/>
    <xf numFmtId="0" fontId="12" fillId="7" borderId="0" xfId="0" applyFont="1" applyFill="1" applyAlignment="1">
      <alignment horizontal="right"/>
    </xf>
    <xf numFmtId="167" fontId="12" fillId="7" borderId="0" xfId="0" applyNumberFormat="1" applyFont="1" applyFill="1"/>
    <xf numFmtId="0" fontId="10" fillId="9" borderId="0" xfId="0" applyFont="1" applyFill="1"/>
    <xf numFmtId="0" fontId="11" fillId="9" borderId="0" xfId="0" applyFont="1" applyFill="1"/>
    <xf numFmtId="169" fontId="11" fillId="6" borderId="0" xfId="0" applyNumberFormat="1" applyFont="1" applyFill="1"/>
    <xf numFmtId="10" fontId="14" fillId="6" borderId="0" xfId="0" applyNumberFormat="1" applyFont="1" applyFill="1"/>
    <xf numFmtId="0" fontId="10" fillId="6" borderId="1" xfId="0" applyFont="1" applyFill="1" applyBorder="1"/>
    <xf numFmtId="169" fontId="10" fillId="6" borderId="1" xfId="0" applyNumberFormat="1" applyFont="1" applyFill="1" applyBorder="1"/>
    <xf numFmtId="169" fontId="10" fillId="6" borderId="0" xfId="0" applyNumberFormat="1" applyFont="1" applyFill="1"/>
    <xf numFmtId="44" fontId="10" fillId="6" borderId="1" xfId="0" applyNumberFormat="1" applyFont="1" applyFill="1" applyBorder="1"/>
    <xf numFmtId="164" fontId="11" fillId="6" borderId="0" xfId="0" applyNumberFormat="1" applyFont="1" applyFill="1"/>
    <xf numFmtId="2" fontId="11" fillId="6" borderId="0" xfId="0" applyNumberFormat="1" applyFont="1" applyFill="1"/>
    <xf numFmtId="0" fontId="11" fillId="10" borderId="0" xfId="0" applyFont="1" applyFill="1"/>
    <xf numFmtId="169" fontId="11" fillId="10" borderId="0" xfId="0" applyNumberFormat="1" applyFont="1" applyFill="1"/>
    <xf numFmtId="169" fontId="11" fillId="11" borderId="0" xfId="0" applyNumberFormat="1" applyFont="1" applyFill="1"/>
    <xf numFmtId="10" fontId="14" fillId="10" borderId="0" xfId="0" applyNumberFormat="1" applyFont="1" applyFill="1"/>
    <xf numFmtId="10" fontId="14" fillId="11" borderId="0" xfId="0" applyNumberFormat="1" applyFont="1" applyFill="1"/>
    <xf numFmtId="9" fontId="11" fillId="6" borderId="0" xfId="0" applyNumberFormat="1" applyFont="1" applyFill="1"/>
    <xf numFmtId="0" fontId="11" fillId="12" borderId="0" xfId="0" applyFont="1" applyFill="1"/>
    <xf numFmtId="0" fontId="10" fillId="6" borderId="2" xfId="0" applyFont="1" applyFill="1" applyBorder="1"/>
    <xf numFmtId="170" fontId="10" fillId="6" borderId="2" xfId="0" applyNumberFormat="1" applyFont="1" applyFill="1" applyBorder="1"/>
    <xf numFmtId="0" fontId="11" fillId="6" borderId="0" xfId="0" applyFont="1" applyFill="1" applyAlignment="1">
      <alignment horizontal="left" indent="2"/>
    </xf>
    <xf numFmtId="170" fontId="11" fillId="6" borderId="0" xfId="0" applyNumberFormat="1" applyFont="1" applyFill="1"/>
    <xf numFmtId="0" fontId="10" fillId="6" borderId="3" xfId="0" applyFont="1" applyFill="1" applyBorder="1" applyAlignment="1">
      <alignment horizontal="left"/>
    </xf>
    <xf numFmtId="170" fontId="10" fillId="6" borderId="3" xfId="0" applyNumberFormat="1" applyFont="1" applyFill="1" applyBorder="1"/>
    <xf numFmtId="0" fontId="10" fillId="6" borderId="2" xfId="0" applyFont="1" applyFill="1" applyBorder="1" applyAlignment="1">
      <alignment horizontal="left"/>
    </xf>
    <xf numFmtId="169" fontId="10" fillId="6" borderId="2" xfId="0" applyNumberFormat="1" applyFont="1" applyFill="1" applyBorder="1"/>
    <xf numFmtId="0" fontId="11" fillId="7" borderId="0" xfId="0" applyFont="1" applyFill="1"/>
    <xf numFmtId="17" fontId="12" fillId="7" borderId="0" xfId="0" applyNumberFormat="1" applyFont="1" applyFill="1"/>
    <xf numFmtId="0" fontId="11" fillId="6" borderId="4" xfId="0" applyFont="1" applyFill="1" applyBorder="1"/>
    <xf numFmtId="10" fontId="11" fillId="6" borderId="4" xfId="0" applyNumberFormat="1" applyFont="1" applyFill="1" applyBorder="1"/>
    <xf numFmtId="10" fontId="11" fillId="6" borderId="0" xfId="0" applyNumberFormat="1" applyFont="1" applyFill="1"/>
    <xf numFmtId="0" fontId="11" fillId="6" borderId="5" xfId="0" applyFont="1" applyFill="1" applyBorder="1"/>
    <xf numFmtId="10" fontId="11" fillId="6" borderId="5" xfId="0" applyNumberFormat="1" applyFont="1" applyFill="1" applyBorder="1"/>
    <xf numFmtId="171" fontId="11" fillId="6" borderId="5" xfId="0" applyNumberFormat="1" applyFont="1" applyFill="1" applyBorder="1"/>
    <xf numFmtId="171" fontId="11" fillId="6" borderId="4" xfId="0" applyNumberFormat="1" applyFont="1" applyFill="1" applyBorder="1"/>
    <xf numFmtId="171" fontId="11" fillId="6" borderId="0" xfId="0" applyNumberFormat="1" applyFont="1" applyFill="1"/>
    <xf numFmtId="2" fontId="11" fillId="6" borderId="4" xfId="0" applyNumberFormat="1" applyFont="1" applyFill="1" applyBorder="1"/>
    <xf numFmtId="0" fontId="15" fillId="6" borderId="0" xfId="0" applyFont="1" applyFill="1"/>
    <xf numFmtId="2" fontId="15" fillId="6" borderId="0" xfId="0" applyNumberFormat="1" applyFont="1" applyFill="1"/>
    <xf numFmtId="2" fontId="11" fillId="6" borderId="5" xfId="0" applyNumberFormat="1" applyFont="1" applyFill="1" applyBorder="1"/>
    <xf numFmtId="0" fontId="10" fillId="6" borderId="3" xfId="0" applyFont="1" applyFill="1" applyBorder="1" applyAlignment="1">
      <alignment horizontal="left" indent="2"/>
    </xf>
    <xf numFmtId="0" fontId="11" fillId="0" borderId="6" xfId="0" applyFont="1" applyBorder="1"/>
    <xf numFmtId="0" fontId="11" fillId="0" borderId="7" xfId="0" applyFont="1" applyBorder="1"/>
    <xf numFmtId="10" fontId="11" fillId="0" borderId="6" xfId="0" applyNumberFormat="1" applyFont="1" applyBorder="1"/>
    <xf numFmtId="2" fontId="11" fillId="0" borderId="6" xfId="0" applyNumberFormat="1" applyFont="1" applyBorder="1"/>
    <xf numFmtId="0" fontId="10" fillId="0" borderId="7" xfId="0" applyFont="1" applyBorder="1"/>
    <xf numFmtId="10" fontId="20" fillId="0" borderId="0" xfId="0" applyNumberFormat="1" applyFont="1"/>
    <xf numFmtId="9" fontId="20" fillId="0" borderId="0" xfId="0" applyNumberFormat="1" applyFont="1"/>
    <xf numFmtId="2" fontId="11" fillId="0" borderId="0" xfId="0" applyNumberFormat="1" applyFont="1"/>
    <xf numFmtId="0" fontId="10" fillId="0" borderId="6" xfId="0" applyFont="1" applyBorder="1"/>
    <xf numFmtId="10" fontId="11" fillId="15" borderId="6" xfId="0" applyNumberFormat="1" applyFont="1" applyFill="1" applyBorder="1"/>
    <xf numFmtId="0" fontId="11" fillId="0" borderId="0" xfId="0" applyFont="1"/>
    <xf numFmtId="10" fontId="11" fillId="0" borderId="0" xfId="0" applyNumberFormat="1" applyFont="1"/>
    <xf numFmtId="43" fontId="11" fillId="0" borderId="6" xfId="0" applyNumberFormat="1" applyFont="1" applyBorder="1"/>
    <xf numFmtId="9" fontId="11" fillId="0" borderId="6" xfId="0" applyNumberFormat="1" applyFont="1" applyBorder="1"/>
    <xf numFmtId="10" fontId="11" fillId="0" borderId="6" xfId="6" applyNumberFormat="1" applyFont="1" applyBorder="1"/>
    <xf numFmtId="0" fontId="5" fillId="16" borderId="0" xfId="0" applyFont="1" applyFill="1"/>
    <xf numFmtId="0" fontId="0" fillId="13" borderId="0" xfId="0" applyFill="1"/>
    <xf numFmtId="17" fontId="21" fillId="16" borderId="3" xfId="0" applyNumberFormat="1" applyFont="1" applyFill="1" applyBorder="1" applyAlignment="1">
      <alignment horizontal="right" vertical="center" indent="1"/>
    </xf>
    <xf numFmtId="17" fontId="21" fillId="16" borderId="3" xfId="0" applyNumberFormat="1" applyFont="1" applyFill="1" applyBorder="1" applyAlignment="1">
      <alignment horizontal="right" vertical="center" wrapText="1" indent="1"/>
    </xf>
    <xf numFmtId="0" fontId="1" fillId="13" borderId="0" xfId="0" applyFont="1" applyFill="1"/>
    <xf numFmtId="4" fontId="3" fillId="13" borderId="0" xfId="0" applyNumberFormat="1" applyFont="1" applyFill="1"/>
    <xf numFmtId="4" fontId="0" fillId="13" borderId="8" xfId="0" applyNumberFormat="1" applyFill="1" applyBorder="1"/>
    <xf numFmtId="4" fontId="0" fillId="13" borderId="9" xfId="0" applyNumberFormat="1" applyFill="1" applyBorder="1"/>
    <xf numFmtId="0" fontId="1" fillId="13" borderId="3" xfId="0" applyFont="1" applyFill="1" applyBorder="1"/>
    <xf numFmtId="4" fontId="1" fillId="13" borderId="3" xfId="0" applyNumberFormat="1" applyFont="1" applyFill="1" applyBorder="1"/>
    <xf numFmtId="4" fontId="0" fillId="13" borderId="0" xfId="0" applyNumberFormat="1" applyFill="1"/>
    <xf numFmtId="4" fontId="18" fillId="13" borderId="0" xfId="0" applyNumberFormat="1" applyFont="1" applyFill="1" applyAlignment="1">
      <alignment horizontal="left" vertical="center"/>
    </xf>
    <xf numFmtId="4" fontId="1" fillId="13" borderId="0" xfId="0" applyNumberFormat="1" applyFont="1" applyFill="1"/>
    <xf numFmtId="9" fontId="0" fillId="13" borderId="0" xfId="6" applyFont="1" applyFill="1"/>
    <xf numFmtId="0" fontId="3" fillId="13" borderId="0" xfId="0" applyFont="1" applyFill="1"/>
    <xf numFmtId="0" fontId="1" fillId="13" borderId="10" xfId="0" applyFont="1" applyFill="1" applyBorder="1"/>
    <xf numFmtId="0" fontId="3" fillId="13" borderId="10" xfId="0" applyFont="1" applyFill="1" applyBorder="1"/>
    <xf numFmtId="0" fontId="0" fillId="13" borderId="10" xfId="0" applyFill="1" applyBorder="1"/>
    <xf numFmtId="9" fontId="0" fillId="13" borderId="10" xfId="6" applyFont="1" applyFill="1" applyBorder="1"/>
    <xf numFmtId="17" fontId="21" fillId="16" borderId="3" xfId="0" applyNumberFormat="1" applyFont="1" applyFill="1" applyBorder="1" applyAlignment="1">
      <alignment vertical="center"/>
    </xf>
    <xf numFmtId="9" fontId="1" fillId="13" borderId="0" xfId="6" applyFont="1" applyFill="1"/>
    <xf numFmtId="0" fontId="1" fillId="17" borderId="3" xfId="0" applyFont="1" applyFill="1" applyBorder="1"/>
    <xf numFmtId="9" fontId="1" fillId="17" borderId="3" xfId="6" applyFont="1" applyFill="1" applyBorder="1"/>
    <xf numFmtId="0" fontId="1" fillId="17" borderId="2" xfId="0" applyFont="1" applyFill="1" applyBorder="1"/>
    <xf numFmtId="9" fontId="1" fillId="17" borderId="2" xfId="6" applyFont="1" applyFill="1" applyBorder="1"/>
    <xf numFmtId="10" fontId="1" fillId="13" borderId="10" xfId="0" applyNumberFormat="1" applyFont="1" applyFill="1" applyBorder="1"/>
    <xf numFmtId="10" fontId="0" fillId="13" borderId="0" xfId="6" applyNumberFormat="1" applyFont="1" applyFill="1"/>
    <xf numFmtId="0" fontId="5" fillId="16" borderId="0" xfId="0" applyFont="1" applyFill="1" applyAlignment="1">
      <alignment horizontal="center"/>
    </xf>
    <xf numFmtId="0" fontId="0" fillId="17" borderId="0" xfId="0" applyFill="1"/>
    <xf numFmtId="9" fontId="0" fillId="17" borderId="0" xfId="0" applyNumberFormat="1" applyFill="1"/>
    <xf numFmtId="9" fontId="0" fillId="13" borderId="0" xfId="0" applyNumberFormat="1" applyFill="1"/>
    <xf numFmtId="0" fontId="22" fillId="13" borderId="0" xfId="0" applyFont="1" applyFill="1"/>
    <xf numFmtId="17" fontId="21" fillId="16" borderId="3" xfId="0" applyNumberFormat="1" applyFont="1" applyFill="1" applyBorder="1" applyAlignment="1">
      <alignment horizontal="left" vertical="center" indent="1"/>
    </xf>
    <xf numFmtId="2" fontId="0" fillId="13" borderId="0" xfId="0" applyNumberFormat="1" applyFill="1"/>
    <xf numFmtId="43" fontId="0" fillId="13" borderId="0" xfId="0" applyNumberFormat="1" applyFill="1"/>
    <xf numFmtId="0" fontId="0" fillId="0" borderId="11" xfId="0" applyBorder="1"/>
    <xf numFmtId="44" fontId="0" fillId="0" borderId="0" xfId="7" applyFont="1"/>
    <xf numFmtId="0" fontId="5" fillId="18" borderId="0" xfId="0" applyFont="1" applyFill="1"/>
    <xf numFmtId="10" fontId="5" fillId="18" borderId="0" xfId="6" applyNumberFormat="1" applyFont="1" applyFill="1"/>
    <xf numFmtId="9" fontId="0" fillId="0" borderId="0" xfId="6" applyFont="1"/>
    <xf numFmtId="2" fontId="0" fillId="0" borderId="0" xfId="0" applyNumberFormat="1"/>
    <xf numFmtId="44" fontId="0" fillId="0" borderId="0" xfId="0" applyNumberFormat="1"/>
    <xf numFmtId="44" fontId="0" fillId="0" borderId="0" xfId="6" applyNumberFormat="1" applyFont="1"/>
    <xf numFmtId="10" fontId="0" fillId="0" borderId="0" xfId="6" applyNumberFormat="1" applyFont="1"/>
    <xf numFmtId="0" fontId="11" fillId="13" borderId="0" xfId="0" applyFont="1" applyFill="1"/>
    <xf numFmtId="0" fontId="3" fillId="19" borderId="0" xfId="0" applyFont="1" applyFill="1"/>
    <xf numFmtId="0" fontId="11" fillId="19" borderId="0" xfId="0" applyFont="1" applyFill="1"/>
    <xf numFmtId="0" fontId="23" fillId="19" borderId="0" xfId="0" applyFont="1" applyFill="1"/>
    <xf numFmtId="166" fontId="12" fillId="19" borderId="0" xfId="0" applyNumberFormat="1" applyFont="1" applyFill="1"/>
    <xf numFmtId="43" fontId="3" fillId="19" borderId="0" xfId="0" applyNumberFormat="1" applyFont="1" applyFill="1"/>
    <xf numFmtId="9" fontId="3" fillId="19" borderId="0" xfId="6" applyFont="1" applyFill="1"/>
    <xf numFmtId="10" fontId="3" fillId="19" borderId="0" xfId="0" applyNumberFormat="1" applyFont="1" applyFill="1"/>
    <xf numFmtId="43" fontId="3" fillId="19" borderId="0" xfId="6" applyNumberFormat="1" applyFont="1" applyFill="1"/>
    <xf numFmtId="0" fontId="0" fillId="16" borderId="0" xfId="0" applyFill="1"/>
    <xf numFmtId="12" fontId="1" fillId="13" borderId="2" xfId="0" applyNumberFormat="1" applyFont="1" applyFill="1" applyBorder="1"/>
    <xf numFmtId="12" fontId="0" fillId="13" borderId="2" xfId="0" applyNumberFormat="1" applyFill="1" applyBorder="1"/>
    <xf numFmtId="0" fontId="5" fillId="16" borderId="0" xfId="0" applyFont="1" applyFill="1" applyAlignment="1">
      <alignment horizontal="left" vertical="center" wrapText="1"/>
    </xf>
    <xf numFmtId="0" fontId="5" fillId="16" borderId="0" xfId="0" applyFont="1" applyFill="1" applyAlignment="1">
      <alignment horizontal="left" vertical="center"/>
    </xf>
    <xf numFmtId="0" fontId="5" fillId="16" borderId="0" xfId="0" applyFont="1" applyFill="1" applyAlignment="1">
      <alignment horizontal="right"/>
    </xf>
    <xf numFmtId="0" fontId="0" fillId="13" borderId="13" xfId="0" applyFill="1" applyBorder="1"/>
    <xf numFmtId="43" fontId="0" fillId="17" borderId="0" xfId="0" applyNumberFormat="1" applyFill="1" applyAlignment="1">
      <alignment horizontal="right" vertical="center"/>
    </xf>
    <xf numFmtId="172" fontId="9" fillId="17" borderId="0" xfId="0" applyNumberFormat="1" applyFont="1" applyFill="1"/>
    <xf numFmtId="0" fontId="0" fillId="17" borderId="0" xfId="0" applyFill="1" applyAlignment="1">
      <alignment horizontal="right" vertical="center"/>
    </xf>
    <xf numFmtId="0" fontId="1" fillId="17" borderId="0" xfId="0" applyFont="1" applyFill="1"/>
    <xf numFmtId="43" fontId="1" fillId="17" borderId="0" xfId="0" applyNumberFormat="1" applyFont="1" applyFill="1" applyAlignment="1">
      <alignment horizontal="right" vertical="center"/>
    </xf>
    <xf numFmtId="172" fontId="24" fillId="17" borderId="0" xfId="0" applyNumberFormat="1" applyFont="1" applyFill="1"/>
    <xf numFmtId="0" fontId="1" fillId="21" borderId="0" xfId="0" applyFont="1" applyFill="1"/>
    <xf numFmtId="0" fontId="0" fillId="0" borderId="14" xfId="0" applyBorder="1"/>
    <xf numFmtId="4" fontId="0" fillId="0" borderId="0" xfId="0" applyNumberFormat="1"/>
    <xf numFmtId="14" fontId="0" fillId="0" borderId="15" xfId="0" applyNumberFormat="1" applyBorder="1"/>
    <xf numFmtId="14" fontId="0" fillId="0" borderId="16" xfId="0" applyNumberFormat="1" applyBorder="1"/>
    <xf numFmtId="4" fontId="0" fillId="0" borderId="2" xfId="0" applyNumberFormat="1" applyBorder="1"/>
    <xf numFmtId="0" fontId="0" fillId="0" borderId="2" xfId="0" applyBorder="1"/>
    <xf numFmtId="10" fontId="0" fillId="0" borderId="17" xfId="0" applyNumberFormat="1" applyBorder="1"/>
    <xf numFmtId="10" fontId="0" fillId="0" borderId="18" xfId="0" applyNumberFormat="1" applyBorder="1"/>
    <xf numFmtId="0" fontId="0" fillId="0" borderId="19" xfId="0" applyBorder="1"/>
    <xf numFmtId="0" fontId="0" fillId="0" borderId="10" xfId="0" applyBorder="1"/>
    <xf numFmtId="0" fontId="0" fillId="0" borderId="20" xfId="0" applyBorder="1"/>
    <xf numFmtId="0" fontId="25" fillId="0" borderId="21" xfId="0" applyFont="1" applyBorder="1" applyAlignment="1">
      <alignment horizontal="center"/>
    </xf>
    <xf numFmtId="0" fontId="25" fillId="0" borderId="21" xfId="0" applyFont="1" applyBorder="1" applyAlignment="1">
      <alignment horizontal="centerContinuous"/>
    </xf>
    <xf numFmtId="0" fontId="26" fillId="14" borderId="14" xfId="0" applyFont="1" applyFill="1" applyBorder="1"/>
    <xf numFmtId="0" fontId="26" fillId="14" borderId="22" xfId="0" applyFont="1" applyFill="1" applyBorder="1" applyAlignment="1">
      <alignment horizontal="center"/>
    </xf>
    <xf numFmtId="0" fontId="27" fillId="14" borderId="22" xfId="0" applyFont="1" applyFill="1" applyBorder="1" applyAlignment="1">
      <alignment horizontal="center"/>
    </xf>
    <xf numFmtId="0" fontId="27" fillId="14" borderId="22" xfId="0" applyFont="1" applyFill="1" applyBorder="1"/>
    <xf numFmtId="0" fontId="28" fillId="14" borderId="23" xfId="0" applyFont="1" applyFill="1" applyBorder="1"/>
    <xf numFmtId="0" fontId="28" fillId="14" borderId="24" xfId="0" applyFont="1" applyFill="1" applyBorder="1" applyAlignment="1">
      <alignment horizontal="center"/>
    </xf>
    <xf numFmtId="10" fontId="28" fillId="14" borderId="24" xfId="0" applyNumberFormat="1" applyFont="1" applyFill="1" applyBorder="1" applyAlignment="1">
      <alignment horizontal="center"/>
    </xf>
    <xf numFmtId="10" fontId="29" fillId="14" borderId="24" xfId="0" applyNumberFormat="1" applyFont="1" applyFill="1" applyBorder="1" applyAlignment="1">
      <alignment horizontal="center"/>
    </xf>
    <xf numFmtId="0" fontId="4" fillId="0" borderId="0" xfId="2" applyAlignment="1" applyProtection="1"/>
    <xf numFmtId="10" fontId="22" fillId="0" borderId="0" xfId="0" applyNumberFormat="1" applyFont="1"/>
    <xf numFmtId="9" fontId="22" fillId="0" borderId="0" xfId="0" applyNumberFormat="1" applyFont="1"/>
    <xf numFmtId="10" fontId="30" fillId="0" borderId="0" xfId="0" applyNumberFormat="1" applyFont="1"/>
    <xf numFmtId="2" fontId="30" fillId="0" borderId="0" xfId="0" applyNumberFormat="1" applyFont="1"/>
    <xf numFmtId="0" fontId="12" fillId="22" borderId="0" xfId="0" applyFont="1" applyFill="1"/>
    <xf numFmtId="0" fontId="4" fillId="14" borderId="0" xfId="2" applyFill="1" applyAlignment="1" applyProtection="1">
      <alignment horizontal="left" vertical="center" indent="1"/>
    </xf>
    <xf numFmtId="0" fontId="31" fillId="14" borderId="0" xfId="0" applyFont="1" applyFill="1" applyAlignment="1">
      <alignment horizontal="right" vertical="center" wrapText="1" indent="1"/>
    </xf>
    <xf numFmtId="9" fontId="11" fillId="0" borderId="0" xfId="6" applyFont="1" applyBorder="1"/>
    <xf numFmtId="9" fontId="30" fillId="0" borderId="0" xfId="0" applyNumberFormat="1" applyFont="1"/>
    <xf numFmtId="2" fontId="32" fillId="0" borderId="0" xfId="0" applyNumberFormat="1" applyFont="1"/>
    <xf numFmtId="10" fontId="32" fillId="0" borderId="0" xfId="0" applyNumberFormat="1" applyFont="1"/>
    <xf numFmtId="9" fontId="32" fillId="0" borderId="0" xfId="0" applyNumberFormat="1" applyFont="1"/>
    <xf numFmtId="0" fontId="11" fillId="0" borderId="6" xfId="0" applyFont="1" applyBorder="1" applyAlignment="1">
      <alignment horizontal="right"/>
    </xf>
    <xf numFmtId="0" fontId="11" fillId="0" borderId="7" xfId="0" applyFont="1" applyBorder="1" applyAlignment="1">
      <alignment horizontal="right"/>
    </xf>
    <xf numFmtId="4" fontId="16" fillId="13" borderId="0" xfId="0" applyNumberFormat="1" applyFont="1" applyFill="1" applyAlignment="1">
      <alignment horizontal="left" vertical="center"/>
    </xf>
    <xf numFmtId="0" fontId="10" fillId="6" borderId="0" xfId="0" applyFont="1" applyFill="1"/>
    <xf numFmtId="170" fontId="10" fillId="6" borderId="0" xfId="0" applyNumberFormat="1" applyFont="1" applyFill="1"/>
    <xf numFmtId="0" fontId="10" fillId="12" borderId="0" xfId="0" applyFont="1" applyFill="1"/>
    <xf numFmtId="10" fontId="3" fillId="19" borderId="0" xfId="6" applyNumberFormat="1" applyFont="1" applyFill="1"/>
    <xf numFmtId="10" fontId="1" fillId="19" borderId="3" xfId="6" applyNumberFormat="1" applyFont="1" applyFill="1" applyBorder="1"/>
    <xf numFmtId="10" fontId="1" fillId="19" borderId="0" xfId="6" applyNumberFormat="1" applyFont="1" applyFill="1"/>
    <xf numFmtId="170" fontId="11" fillId="6" borderId="0" xfId="0" applyNumberFormat="1" applyFont="1" applyFill="1" applyAlignment="1">
      <alignment horizontal="right"/>
    </xf>
    <xf numFmtId="9" fontId="30" fillId="13" borderId="0" xfId="0" applyNumberFormat="1" applyFont="1" applyFill="1"/>
    <xf numFmtId="9" fontId="30" fillId="17" borderId="0" xfId="0" applyNumberFormat="1" applyFont="1" applyFill="1"/>
    <xf numFmtId="0" fontId="30" fillId="13" borderId="0" xfId="0" applyFont="1" applyFill="1"/>
    <xf numFmtId="9" fontId="33" fillId="13" borderId="0" xfId="0" applyNumberFormat="1" applyFont="1" applyFill="1"/>
    <xf numFmtId="0" fontId="34" fillId="13" borderId="0" xfId="0" applyFont="1" applyFill="1"/>
    <xf numFmtId="9" fontId="34" fillId="17" borderId="0" xfId="0" applyNumberFormat="1" applyFont="1" applyFill="1"/>
    <xf numFmtId="9" fontId="34" fillId="13" borderId="0" xfId="0" applyNumberFormat="1" applyFont="1" applyFill="1"/>
    <xf numFmtId="0" fontId="35" fillId="16" borderId="0" xfId="0" applyFont="1" applyFill="1"/>
    <xf numFmtId="0" fontId="36" fillId="16" borderId="0" xfId="0" applyFont="1" applyFill="1"/>
    <xf numFmtId="9" fontId="36" fillId="16" borderId="0" xfId="0" applyNumberFormat="1" applyFont="1" applyFill="1"/>
    <xf numFmtId="0" fontId="37" fillId="23" borderId="0" xfId="0" applyFont="1" applyFill="1" applyAlignment="1">
      <alignment horizontal="center"/>
    </xf>
    <xf numFmtId="10" fontId="0" fillId="17" borderId="0" xfId="0" applyNumberFormat="1" applyFill="1"/>
    <xf numFmtId="10" fontId="0" fillId="17" borderId="0" xfId="6" applyNumberFormat="1" applyFont="1" applyFill="1"/>
    <xf numFmtId="10" fontId="0" fillId="13" borderId="0" xfId="0" applyNumberFormat="1" applyFill="1"/>
    <xf numFmtId="0" fontId="16" fillId="13" borderId="0" xfId="0" applyFont="1" applyFill="1" applyAlignment="1">
      <alignment horizontal="right" vertical="center" wrapText="1" indent="1"/>
    </xf>
    <xf numFmtId="0" fontId="9" fillId="13" borderId="0" xfId="2" applyFont="1" applyFill="1" applyBorder="1" applyAlignment="1" applyProtection="1">
      <alignment horizontal="left" vertical="center" indent="1"/>
    </xf>
    <xf numFmtId="43" fontId="0" fillId="13" borderId="0" xfId="1" applyFont="1" applyFill="1" applyBorder="1"/>
    <xf numFmtId="172" fontId="9" fillId="13" borderId="0" xfId="0" applyNumberFormat="1" applyFont="1" applyFill="1"/>
    <xf numFmtId="43" fontId="0" fillId="0" borderId="0" xfId="0" applyNumberFormat="1"/>
    <xf numFmtId="2" fontId="0" fillId="13" borderId="13" xfId="0" applyNumberFormat="1" applyFill="1" applyBorder="1"/>
    <xf numFmtId="0" fontId="0" fillId="13" borderId="13" xfId="0" applyFill="1" applyBorder="1" applyAlignment="1">
      <alignment horizontal="left"/>
    </xf>
    <xf numFmtId="0" fontId="1" fillId="17" borderId="13" xfId="0" applyFont="1" applyFill="1" applyBorder="1" applyAlignment="1">
      <alignment horizontal="left"/>
    </xf>
    <xf numFmtId="0" fontId="1" fillId="17" borderId="13" xfId="0" applyFont="1" applyFill="1" applyBorder="1"/>
    <xf numFmtId="2" fontId="1" fillId="17" borderId="13" xfId="0" applyNumberFormat="1" applyFont="1" applyFill="1" applyBorder="1"/>
    <xf numFmtId="2" fontId="22" fillId="13" borderId="13" xfId="0" applyNumberFormat="1" applyFont="1" applyFill="1" applyBorder="1"/>
    <xf numFmtId="2" fontId="38" fillId="17" borderId="13" xfId="0" applyNumberFormat="1" applyFont="1" applyFill="1" applyBorder="1"/>
    <xf numFmtId="0" fontId="1" fillId="0" borderId="25" xfId="0" applyFont="1" applyBorder="1"/>
    <xf numFmtId="0" fontId="3" fillId="0" borderId="25" xfId="0" applyFont="1" applyBorder="1"/>
    <xf numFmtId="0" fontId="3" fillId="0" borderId="25" xfId="0" applyFont="1" applyBorder="1" applyAlignment="1">
      <alignment horizontal="right"/>
    </xf>
    <xf numFmtId="0" fontId="39" fillId="0" borderId="25" xfId="7" applyNumberFormat="1" applyFont="1" applyBorder="1" applyAlignment="1"/>
    <xf numFmtId="10" fontId="22" fillId="13" borderId="0" xfId="0" applyNumberFormat="1" applyFont="1" applyFill="1"/>
    <xf numFmtId="2" fontId="1" fillId="17" borderId="0" xfId="0" applyNumberFormat="1" applyFont="1" applyFill="1"/>
    <xf numFmtId="43" fontId="40" fillId="13" borderId="0" xfId="0" applyNumberFormat="1" applyFont="1" applyFill="1"/>
    <xf numFmtId="0" fontId="41" fillId="16" borderId="0" xfId="0" applyFont="1" applyFill="1"/>
    <xf numFmtId="0" fontId="0" fillId="0" borderId="0" xfId="0" applyAlignment="1">
      <alignment horizontal="center"/>
    </xf>
    <xf numFmtId="168" fontId="11" fillId="6" borderId="0" xfId="0" applyNumberFormat="1" applyFont="1" applyFill="1" applyAlignment="1">
      <alignment horizontal="left" vertical="top"/>
    </xf>
    <xf numFmtId="17" fontId="1" fillId="0" borderId="0" xfId="0" applyNumberFormat="1" applyFont="1"/>
    <xf numFmtId="171" fontId="1" fillId="17" borderId="0" xfId="0" applyNumberFormat="1" applyFont="1" applyFill="1"/>
    <xf numFmtId="9" fontId="1" fillId="17" borderId="0" xfId="6" applyFont="1" applyFill="1"/>
    <xf numFmtId="10" fontId="1" fillId="17" borderId="0" xfId="6" applyNumberFormat="1" applyFont="1" applyFill="1"/>
    <xf numFmtId="0" fontId="5" fillId="13" borderId="0" xfId="0" applyFont="1" applyFill="1"/>
    <xf numFmtId="0" fontId="42" fillId="0" borderId="0" xfId="0" applyFont="1" applyAlignment="1">
      <alignment horizontal="left" vertical="center" indent="1"/>
    </xf>
    <xf numFmtId="0" fontId="9" fillId="0" borderId="0" xfId="0" applyFont="1" applyAlignment="1">
      <alignment horizontal="left" vertical="top" wrapText="1"/>
    </xf>
    <xf numFmtId="0" fontId="43" fillId="0" borderId="0" xfId="0" applyFont="1"/>
    <xf numFmtId="0" fontId="44" fillId="0" borderId="0" xfId="0" applyFont="1"/>
    <xf numFmtId="43" fontId="0" fillId="13" borderId="0" xfId="0" applyNumberFormat="1" applyFill="1" applyAlignment="1">
      <alignment horizontal="right" vertical="center"/>
    </xf>
    <xf numFmtId="43" fontId="1" fillId="13" borderId="0" xfId="0" applyNumberFormat="1" applyFont="1" applyFill="1" applyAlignment="1">
      <alignment horizontal="right" vertical="center"/>
    </xf>
    <xf numFmtId="9" fontId="22" fillId="13" borderId="13" xfId="6" applyFont="1" applyFill="1" applyBorder="1"/>
    <xf numFmtId="9" fontId="38" fillId="17" borderId="13" xfId="6" applyFont="1" applyFill="1" applyBorder="1"/>
    <xf numFmtId="43" fontId="22" fillId="13" borderId="13" xfId="1" applyFont="1" applyFill="1" applyBorder="1"/>
    <xf numFmtId="43" fontId="38" fillId="17" borderId="13" xfId="1" applyFont="1" applyFill="1" applyBorder="1"/>
    <xf numFmtId="10" fontId="22" fillId="13" borderId="13" xfId="6" applyNumberFormat="1" applyFont="1" applyFill="1" applyBorder="1"/>
    <xf numFmtId="0" fontId="5" fillId="16" borderId="0" xfId="0" applyFont="1" applyFill="1" applyAlignment="1">
      <alignment horizontal="right" vertical="center" wrapText="1"/>
    </xf>
    <xf numFmtId="0" fontId="5" fillId="16" borderId="0" xfId="0" applyFont="1" applyFill="1" applyAlignment="1">
      <alignment horizontal="right" vertical="center"/>
    </xf>
    <xf numFmtId="0" fontId="5" fillId="16" borderId="0" xfId="0" applyFont="1" applyFill="1" applyAlignment="1">
      <alignment horizontal="right" wrapText="1"/>
    </xf>
    <xf numFmtId="43" fontId="38" fillId="13" borderId="13" xfId="1" applyFont="1" applyFill="1" applyBorder="1"/>
    <xf numFmtId="0" fontId="1" fillId="0" borderId="14" xfId="0" applyFont="1" applyBorder="1"/>
    <xf numFmtId="2" fontId="1" fillId="0" borderId="14" xfId="0" applyNumberFormat="1" applyFont="1" applyBorder="1"/>
    <xf numFmtId="0" fontId="0" fillId="0" borderId="15" xfId="0" applyBorder="1"/>
    <xf numFmtId="0" fontId="0" fillId="0" borderId="28" xfId="0" applyBorder="1"/>
    <xf numFmtId="0" fontId="0" fillId="0" borderId="16" xfId="0" applyBorder="1"/>
    <xf numFmtId="9" fontId="0" fillId="0" borderId="28" xfId="6" applyFont="1" applyBorder="1"/>
    <xf numFmtId="9" fontId="0" fillId="0" borderId="28" xfId="0" applyNumberFormat="1" applyBorder="1"/>
    <xf numFmtId="173" fontId="0" fillId="0" borderId="28" xfId="0" applyNumberFormat="1" applyBorder="1"/>
    <xf numFmtId="0" fontId="1" fillId="0" borderId="19" xfId="0" applyFont="1" applyBorder="1"/>
    <xf numFmtId="10" fontId="30" fillId="0" borderId="28" xfId="0" applyNumberFormat="1" applyFont="1" applyBorder="1"/>
    <xf numFmtId="173" fontId="22" fillId="0" borderId="28" xfId="0" applyNumberFormat="1" applyFont="1" applyBorder="1"/>
    <xf numFmtId="9" fontId="22" fillId="13" borderId="28" xfId="0" applyNumberFormat="1" applyFont="1" applyFill="1" applyBorder="1"/>
    <xf numFmtId="9" fontId="22" fillId="0" borderId="28" xfId="0" applyNumberFormat="1" applyFont="1" applyBorder="1"/>
    <xf numFmtId="0" fontId="22" fillId="0" borderId="28" xfId="0" applyFont="1" applyBorder="1"/>
    <xf numFmtId="0" fontId="1" fillId="0" borderId="15" xfId="0" applyFont="1" applyBorder="1"/>
    <xf numFmtId="173" fontId="1" fillId="0" borderId="28" xfId="0" applyNumberFormat="1" applyFont="1" applyBorder="1"/>
    <xf numFmtId="0" fontId="46" fillId="0" borderId="0" xfId="0" applyFont="1" applyAlignment="1">
      <alignment horizontal="left" indent="1"/>
    </xf>
    <xf numFmtId="10" fontId="9" fillId="0" borderId="28" xfId="0" applyNumberFormat="1" applyFont="1" applyBorder="1"/>
    <xf numFmtId="0" fontId="47" fillId="0" borderId="28" xfId="0" applyFont="1" applyBorder="1"/>
    <xf numFmtId="9" fontId="0" fillId="0" borderId="0" xfId="6" applyFont="1" applyAlignment="1">
      <alignment horizontal="center"/>
    </xf>
    <xf numFmtId="0" fontId="48" fillId="16" borderId="0" xfId="0" applyFont="1" applyFill="1" applyAlignment="1">
      <alignment horizontal="center" wrapText="1"/>
    </xf>
    <xf numFmtId="0" fontId="0" fillId="16" borderId="0" xfId="0" applyFill="1" applyAlignment="1">
      <alignment vertical="center"/>
    </xf>
    <xf numFmtId="170" fontId="10" fillId="6" borderId="18" xfId="0" applyNumberFormat="1" applyFont="1" applyFill="1" applyBorder="1" applyAlignment="1">
      <alignment horizontal="right"/>
    </xf>
    <xf numFmtId="10" fontId="10" fillId="6" borderId="14" xfId="6" applyNumberFormat="1" applyFont="1" applyFill="1" applyBorder="1" applyAlignment="1">
      <alignment horizontal="right"/>
    </xf>
    <xf numFmtId="0" fontId="0" fillId="0" borderId="29" xfId="6" applyNumberFormat="1" applyFont="1" applyBorder="1"/>
    <xf numFmtId="169" fontId="1" fillId="0" borderId="30" xfId="0" applyNumberFormat="1" applyFont="1" applyBorder="1"/>
    <xf numFmtId="43" fontId="49" fillId="13" borderId="0" xfId="0" applyNumberFormat="1" applyFont="1" applyFill="1" applyAlignment="1">
      <alignment horizontal="left"/>
    </xf>
    <xf numFmtId="0" fontId="50" fillId="0" borderId="0" xfId="0" applyFont="1" applyAlignment="1">
      <alignment horizontal="left" vertical="center"/>
    </xf>
    <xf numFmtId="17" fontId="1" fillId="0" borderId="0" xfId="6" applyNumberFormat="1" applyFont="1"/>
    <xf numFmtId="0" fontId="51" fillId="0" borderId="0" xfId="0" applyFont="1"/>
    <xf numFmtId="2" fontId="51" fillId="0" borderId="0" xfId="6" applyNumberFormat="1" applyFont="1"/>
    <xf numFmtId="14" fontId="5" fillId="16" borderId="0" xfId="0" applyNumberFormat="1" applyFont="1" applyFill="1"/>
    <xf numFmtId="17" fontId="5" fillId="16" borderId="0" xfId="0" applyNumberFormat="1" applyFont="1" applyFill="1"/>
    <xf numFmtId="0" fontId="53" fillId="0" borderId="0" xfId="0" applyFont="1"/>
    <xf numFmtId="0" fontId="54" fillId="0" borderId="0" xfId="0" applyFont="1"/>
    <xf numFmtId="10" fontId="54" fillId="0" borderId="0" xfId="0" applyNumberFormat="1" applyFont="1"/>
    <xf numFmtId="169" fontId="1" fillId="0" borderId="0" xfId="1" applyNumberFormat="1" applyFont="1" applyAlignment="1">
      <alignment horizontal="right"/>
    </xf>
    <xf numFmtId="174" fontId="0" fillId="0" borderId="0" xfId="0" applyNumberFormat="1"/>
    <xf numFmtId="0" fontId="55" fillId="16" borderId="0" xfId="0" applyFont="1" applyFill="1"/>
    <xf numFmtId="0" fontId="55" fillId="16" borderId="0" xfId="0" applyFont="1" applyFill="1" applyAlignment="1">
      <alignment vertical="center"/>
    </xf>
    <xf numFmtId="171" fontId="0" fillId="0" borderId="0" xfId="0" applyNumberFormat="1"/>
    <xf numFmtId="17" fontId="36" fillId="16" borderId="0" xfId="0" applyNumberFormat="1" applyFont="1" applyFill="1"/>
    <xf numFmtId="0" fontId="56" fillId="0" borderId="0" xfId="0" applyFont="1" applyAlignment="1">
      <alignment horizontal="right" vertical="center"/>
    </xf>
    <xf numFmtId="0" fontId="57" fillId="0" borderId="0" xfId="0" applyFont="1" applyAlignment="1">
      <alignment horizontal="left" vertical="center" wrapText="1"/>
    </xf>
    <xf numFmtId="0" fontId="2" fillId="16" borderId="0" xfId="0" applyFont="1" applyFill="1" applyAlignment="1">
      <alignment horizontal="left" vertical="center" wrapText="1"/>
    </xf>
    <xf numFmtId="0" fontId="2" fillId="16" borderId="0" xfId="0" applyFont="1" applyFill="1"/>
    <xf numFmtId="0" fontId="58" fillId="16" borderId="0" xfId="0" applyFont="1" applyFill="1" applyAlignment="1">
      <alignment horizontal="right" vertical="center"/>
    </xf>
    <xf numFmtId="174" fontId="0" fillId="0" borderId="0" xfId="0" applyNumberFormat="1" applyAlignment="1">
      <alignment horizontal="right" vertical="center"/>
    </xf>
    <xf numFmtId="0" fontId="52" fillId="0" borderId="0" xfId="0" applyFont="1" applyAlignment="1">
      <alignment horizontal="left" vertical="center"/>
    </xf>
    <xf numFmtId="10" fontId="52" fillId="0" borderId="0" xfId="0" applyNumberFormat="1" applyFont="1" applyAlignment="1">
      <alignment horizontal="right" vertical="center"/>
    </xf>
    <xf numFmtId="0" fontId="0" fillId="0" borderId="0" xfId="0" applyAlignment="1">
      <alignment horizontal="left" indent="1"/>
    </xf>
    <xf numFmtId="174" fontId="0" fillId="0" borderId="0" xfId="0" applyNumberFormat="1" applyAlignment="1">
      <alignment horizontal="right"/>
    </xf>
    <xf numFmtId="44" fontId="1" fillId="0" borderId="0" xfId="0" applyNumberFormat="1" applyFont="1"/>
    <xf numFmtId="0" fontId="1" fillId="0" borderId="31" xfId="0" applyFont="1" applyBorder="1"/>
    <xf numFmtId="43" fontId="0" fillId="0" borderId="0" xfId="0" applyNumberFormat="1" applyAlignment="1">
      <alignment horizontal="right"/>
    </xf>
    <xf numFmtId="44" fontId="1" fillId="0" borderId="31" xfId="0" applyNumberFormat="1" applyFont="1" applyBorder="1" applyAlignment="1">
      <alignment horizontal="right"/>
    </xf>
    <xf numFmtId="0" fontId="0" fillId="0" borderId="8" xfId="0" applyBorder="1"/>
    <xf numFmtId="0" fontId="0" fillId="0" borderId="8" xfId="0" applyBorder="1" applyAlignment="1">
      <alignment horizontal="right"/>
    </xf>
    <xf numFmtId="174" fontId="0" fillId="0" borderId="8" xfId="0" applyNumberFormat="1" applyBorder="1" applyAlignment="1">
      <alignment horizontal="right" vertical="center"/>
    </xf>
    <xf numFmtId="0" fontId="0" fillId="0" borderId="8" xfId="0" quotePrefix="1" applyBorder="1" applyAlignment="1">
      <alignment horizontal="right"/>
    </xf>
    <xf numFmtId="46" fontId="0" fillId="0" borderId="8" xfId="0" quotePrefix="1" applyNumberFormat="1" applyBorder="1" applyAlignment="1">
      <alignment horizontal="right"/>
    </xf>
    <xf numFmtId="0" fontId="57" fillId="13" borderId="8" xfId="0" applyFont="1" applyFill="1" applyBorder="1" applyAlignment="1">
      <alignment horizontal="left" vertical="center"/>
    </xf>
    <xf numFmtId="0" fontId="0" fillId="13" borderId="8" xfId="0" applyFill="1" applyBorder="1"/>
    <xf numFmtId="10" fontId="57" fillId="13" borderId="8" xfId="0" applyNumberFormat="1" applyFont="1" applyFill="1" applyBorder="1" applyAlignment="1">
      <alignment horizontal="right" vertical="center"/>
    </xf>
    <xf numFmtId="4" fontId="57" fillId="13" borderId="8" xfId="0" applyNumberFormat="1" applyFont="1" applyFill="1" applyBorder="1" applyAlignment="1">
      <alignment horizontal="right" vertical="center"/>
    </xf>
    <xf numFmtId="10" fontId="57" fillId="0" borderId="8" xfId="0" applyNumberFormat="1" applyFont="1" applyBorder="1" applyAlignment="1">
      <alignment horizontal="right" vertical="center"/>
    </xf>
    <xf numFmtId="0" fontId="61" fillId="0" borderId="0" xfId="0" applyFont="1" applyAlignment="1">
      <alignment vertical="center"/>
    </xf>
    <xf numFmtId="0" fontId="60" fillId="0" borderId="32" xfId="0" applyFont="1" applyBorder="1" applyAlignment="1">
      <alignment horizontal="center" vertical="center"/>
    </xf>
    <xf numFmtId="0" fontId="60" fillId="0" borderId="32" xfId="0" applyFont="1" applyBorder="1" applyAlignment="1">
      <alignment vertical="center"/>
    </xf>
    <xf numFmtId="10" fontId="60" fillId="0" borderId="32" xfId="0" applyNumberFormat="1" applyFont="1" applyBorder="1" applyAlignment="1">
      <alignment vertical="center"/>
    </xf>
    <xf numFmtId="0" fontId="60" fillId="0" borderId="0" xfId="0" applyFont="1" applyAlignment="1">
      <alignment vertical="center"/>
    </xf>
    <xf numFmtId="10" fontId="60" fillId="0" borderId="0" xfId="0" applyNumberFormat="1" applyFont="1" applyAlignment="1">
      <alignment vertical="center"/>
    </xf>
    <xf numFmtId="17" fontId="0" fillId="0" borderId="0" xfId="0" applyNumberFormat="1"/>
    <xf numFmtId="2" fontId="2" fillId="0" borderId="0" xfId="0" applyNumberFormat="1" applyFont="1" applyAlignment="1">
      <alignment horizontal="left"/>
    </xf>
    <xf numFmtId="171" fontId="8" fillId="17" borderId="0" xfId="0" applyNumberFormat="1" applyFont="1" applyFill="1" applyAlignment="1">
      <alignment horizontal="right"/>
    </xf>
    <xf numFmtId="0" fontId="3" fillId="0" borderId="0" xfId="0" applyFont="1" applyAlignment="1">
      <alignment horizontal="left" indent="1"/>
    </xf>
    <xf numFmtId="43" fontId="64" fillId="13" borderId="0" xfId="0" applyNumberFormat="1" applyFont="1" applyFill="1" applyAlignment="1">
      <alignment horizontal="left"/>
    </xf>
    <xf numFmtId="0" fontId="51" fillId="17" borderId="0" xfId="0" applyFont="1" applyFill="1"/>
    <xf numFmtId="10" fontId="51" fillId="17" borderId="0" xfId="6" applyNumberFormat="1" applyFont="1" applyFill="1"/>
    <xf numFmtId="169" fontId="32" fillId="6" borderId="0" xfId="0" applyNumberFormat="1" applyFont="1" applyFill="1"/>
    <xf numFmtId="169" fontId="65" fillId="6" borderId="0" xfId="0" applyNumberFormat="1" applyFont="1" applyFill="1"/>
    <xf numFmtId="175" fontId="11" fillId="6" borderId="0" xfId="0" applyNumberFormat="1" applyFont="1" applyFill="1"/>
    <xf numFmtId="175" fontId="0" fillId="13" borderId="0" xfId="0" applyNumberFormat="1" applyFill="1"/>
    <xf numFmtId="175" fontId="11" fillId="26" borderId="0" xfId="0" applyNumberFormat="1" applyFont="1" applyFill="1"/>
    <xf numFmtId="175" fontId="30" fillId="13" borderId="0" xfId="0" applyNumberFormat="1" applyFont="1" applyFill="1"/>
    <xf numFmtId="175" fontId="0" fillId="0" borderId="0" xfId="0" applyNumberFormat="1"/>
    <xf numFmtId="175" fontId="1" fillId="21" borderId="0" xfId="0" applyNumberFormat="1" applyFont="1" applyFill="1"/>
    <xf numFmtId="175" fontId="10" fillId="6" borderId="3" xfId="0" applyNumberFormat="1" applyFont="1" applyFill="1" applyBorder="1"/>
    <xf numFmtId="175" fontId="10" fillId="6" borderId="10" xfId="0" applyNumberFormat="1" applyFont="1" applyFill="1" applyBorder="1"/>
    <xf numFmtId="175" fontId="10" fillId="6" borderId="0" xfId="0" applyNumberFormat="1" applyFont="1" applyFill="1"/>
    <xf numFmtId="2" fontId="1" fillId="17" borderId="10" xfId="0" applyNumberFormat="1" applyFont="1" applyFill="1" applyBorder="1"/>
    <xf numFmtId="2" fontId="1" fillId="13" borderId="10" xfId="0" applyNumberFormat="1" applyFont="1" applyFill="1" applyBorder="1"/>
    <xf numFmtId="175" fontId="10" fillId="26" borderId="3" xfId="0" applyNumberFormat="1" applyFont="1" applyFill="1" applyBorder="1"/>
    <xf numFmtId="175" fontId="11" fillId="6" borderId="8" xfId="0" applyNumberFormat="1" applyFont="1" applyFill="1" applyBorder="1"/>
    <xf numFmtId="0" fontId="1" fillId="0" borderId="28" xfId="0" applyFont="1" applyBorder="1"/>
    <xf numFmtId="0" fontId="1" fillId="0" borderId="29" xfId="0" applyFont="1" applyBorder="1"/>
    <xf numFmtId="170" fontId="41" fillId="25" borderId="0" xfId="0" applyNumberFormat="1" applyFont="1" applyFill="1" applyAlignment="1">
      <alignment horizontal="right"/>
    </xf>
    <xf numFmtId="9" fontId="30" fillId="13" borderId="13" xfId="1" applyNumberFormat="1" applyFont="1" applyFill="1" applyBorder="1"/>
    <xf numFmtId="43" fontId="3" fillId="13" borderId="13" xfId="1" applyFont="1" applyFill="1" applyBorder="1"/>
    <xf numFmtId="169" fontId="22" fillId="13" borderId="13" xfId="1" applyNumberFormat="1" applyFont="1" applyFill="1" applyBorder="1"/>
    <xf numFmtId="43" fontId="22" fillId="13" borderId="0" xfId="1" applyFont="1" applyFill="1" applyBorder="1"/>
    <xf numFmtId="169" fontId="22" fillId="13" borderId="0" xfId="1" applyNumberFormat="1" applyFont="1" applyFill="1" applyBorder="1"/>
    <xf numFmtId="9" fontId="30" fillId="13" borderId="0" xfId="1" applyNumberFormat="1" applyFont="1" applyFill="1" applyBorder="1"/>
    <xf numFmtId="43" fontId="3" fillId="13" borderId="0" xfId="1" applyFont="1" applyFill="1" applyBorder="1"/>
    <xf numFmtId="0" fontId="11" fillId="17" borderId="33" xfId="0" applyFont="1" applyFill="1" applyBorder="1"/>
    <xf numFmtId="9" fontId="11" fillId="17" borderId="33" xfId="0" applyNumberFormat="1" applyFont="1" applyFill="1" applyBorder="1"/>
    <xf numFmtId="43" fontId="11" fillId="17" borderId="33" xfId="1" applyFont="1" applyFill="1" applyBorder="1"/>
    <xf numFmtId="43" fontId="10" fillId="17" borderId="33" xfId="1" applyFont="1" applyFill="1" applyBorder="1"/>
    <xf numFmtId="0" fontId="11" fillId="17" borderId="34" xfId="0" applyFont="1" applyFill="1" applyBorder="1"/>
    <xf numFmtId="9" fontId="11" fillId="17" borderId="34" xfId="0" applyNumberFormat="1" applyFont="1" applyFill="1" applyBorder="1"/>
    <xf numFmtId="43" fontId="11" fillId="17" borderId="34" xfId="1" applyFont="1" applyFill="1" applyBorder="1"/>
    <xf numFmtId="43" fontId="10" fillId="17" borderId="34" xfId="1" applyFont="1" applyFill="1" applyBorder="1"/>
    <xf numFmtId="0" fontId="1" fillId="13" borderId="35" xfId="0" applyFont="1" applyFill="1" applyBorder="1"/>
    <xf numFmtId="0" fontId="11" fillId="6" borderId="36" xfId="0" applyFont="1" applyFill="1" applyBorder="1"/>
    <xf numFmtId="10" fontId="11" fillId="6" borderId="36" xfId="6" applyNumberFormat="1" applyFont="1" applyFill="1" applyBorder="1"/>
    <xf numFmtId="176" fontId="0" fillId="0" borderId="0" xfId="1" applyNumberFormat="1" applyFont="1"/>
    <xf numFmtId="9" fontId="1" fillId="13" borderId="0" xfId="6" applyFont="1" applyFill="1" applyBorder="1"/>
    <xf numFmtId="0" fontId="0" fillId="13" borderId="9" xfId="0" applyFill="1" applyBorder="1"/>
    <xf numFmtId="43" fontId="0" fillId="13" borderId="0" xfId="1" applyFont="1" applyFill="1"/>
    <xf numFmtId="0" fontId="0" fillId="13" borderId="0" xfId="0" applyFill="1" applyAlignment="1">
      <alignment horizontal="left"/>
    </xf>
    <xf numFmtId="2" fontId="22" fillId="13" borderId="0" xfId="0" applyNumberFormat="1" applyFont="1" applyFill="1"/>
    <xf numFmtId="10" fontId="22" fillId="13" borderId="0" xfId="6" applyNumberFormat="1" applyFont="1" applyFill="1" applyBorder="1"/>
    <xf numFmtId="9" fontId="22" fillId="13" borderId="0" xfId="6" applyFont="1" applyFill="1" applyBorder="1"/>
    <xf numFmtId="43" fontId="38" fillId="13" borderId="0" xfId="1" applyFont="1" applyFill="1" applyBorder="1"/>
    <xf numFmtId="10" fontId="1" fillId="13" borderId="0" xfId="6" applyNumberFormat="1" applyFont="1" applyFill="1"/>
    <xf numFmtId="0" fontId="68" fillId="13" borderId="9" xfId="0" applyFont="1" applyFill="1" applyBorder="1"/>
    <xf numFmtId="0" fontId="69" fillId="13" borderId="0" xfId="2" applyFont="1" applyFill="1" applyAlignment="1" applyProtection="1"/>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vertical="center"/>
    </xf>
    <xf numFmtId="9"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wrapText="1"/>
    </xf>
    <xf numFmtId="0" fontId="70" fillId="0" borderId="0" xfId="0" applyFont="1" applyAlignment="1">
      <alignment vertical="center"/>
    </xf>
    <xf numFmtId="0" fontId="0" fillId="0" borderId="0" xfId="0" applyAlignment="1">
      <alignment horizontal="center" vertical="center" wrapText="1"/>
    </xf>
    <xf numFmtId="17" fontId="51" fillId="0" borderId="0" xfId="0" applyNumberFormat="1" applyFont="1"/>
    <xf numFmtId="0" fontId="0" fillId="0" borderId="9" xfId="0" applyBorder="1" applyAlignment="1">
      <alignment horizontal="left" vertical="center"/>
    </xf>
    <xf numFmtId="0" fontId="0" fillId="0" borderId="9" xfId="0" applyBorder="1"/>
    <xf numFmtId="171" fontId="0" fillId="0" borderId="9" xfId="0" applyNumberFormat="1" applyBorder="1"/>
    <xf numFmtId="0" fontId="0" fillId="0" borderId="36" xfId="0" applyBorder="1" applyAlignment="1">
      <alignment horizontal="left" vertical="center" wrapText="1"/>
    </xf>
    <xf numFmtId="0" fontId="0" fillId="0" borderId="36" xfId="0" applyBorder="1"/>
    <xf numFmtId="2" fontId="30" fillId="0" borderId="9" xfId="0" applyNumberFormat="1" applyFont="1" applyBorder="1"/>
    <xf numFmtId="10" fontId="9" fillId="0" borderId="9" xfId="0" applyNumberFormat="1" applyFont="1" applyBorder="1"/>
    <xf numFmtId="10" fontId="30" fillId="0" borderId="9" xfId="0" applyNumberFormat="1" applyFont="1" applyBorder="1"/>
    <xf numFmtId="0" fontId="1" fillId="0" borderId="9" xfId="0" applyFont="1" applyBorder="1" applyAlignment="1">
      <alignment vertical="center"/>
    </xf>
    <xf numFmtId="0" fontId="1" fillId="0" borderId="9" xfId="0" applyFont="1" applyBorder="1"/>
    <xf numFmtId="0" fontId="1" fillId="0" borderId="9" xfId="0" applyFont="1" applyBorder="1" applyAlignment="1">
      <alignment horizontal="right"/>
    </xf>
    <xf numFmtId="0" fontId="1" fillId="0" borderId="37" xfId="0" applyFont="1" applyBorder="1"/>
    <xf numFmtId="0" fontId="1" fillId="0" borderId="37" xfId="0" applyFont="1" applyBorder="1" applyAlignment="1">
      <alignment horizontal="right"/>
    </xf>
    <xf numFmtId="0" fontId="71" fillId="0" borderId="0" xfId="0" applyFont="1"/>
    <xf numFmtId="10" fontId="1" fillId="13" borderId="35" xfId="6" applyNumberFormat="1" applyFont="1" applyFill="1" applyBorder="1"/>
    <xf numFmtId="9" fontId="3" fillId="13" borderId="13" xfId="6" applyFont="1" applyFill="1" applyBorder="1"/>
    <xf numFmtId="9" fontId="3" fillId="13" borderId="0" xfId="6" applyFont="1" applyFill="1" applyBorder="1"/>
    <xf numFmtId="9" fontId="11" fillId="17" borderId="33" xfId="6" applyFont="1" applyFill="1" applyBorder="1"/>
    <xf numFmtId="9" fontId="11" fillId="17" borderId="34" xfId="6" applyFont="1" applyFill="1" applyBorder="1"/>
    <xf numFmtId="9" fontId="11" fillId="0" borderId="0" xfId="6" applyFont="1"/>
    <xf numFmtId="10" fontId="65" fillId="0" borderId="0" xfId="0" applyNumberFormat="1" applyFont="1"/>
    <xf numFmtId="171" fontId="72" fillId="17" borderId="0" xfId="0" applyNumberFormat="1" applyFont="1" applyFill="1" applyAlignment="1">
      <alignment horizontal="right"/>
    </xf>
    <xf numFmtId="0" fontId="5" fillId="16" borderId="0" xfId="0" applyFont="1" applyFill="1" applyAlignment="1">
      <alignment horizontal="center"/>
    </xf>
    <xf numFmtId="0" fontId="66" fillId="0" borderId="36" xfId="0" applyFont="1" applyBorder="1" applyAlignment="1">
      <alignment horizontal="left" wrapText="1"/>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12" fillId="7" borderId="0" xfId="0" applyFont="1" applyFill="1" applyAlignment="1">
      <alignment horizontal="center"/>
    </xf>
    <xf numFmtId="0" fontId="13" fillId="0" borderId="0" xfId="0" applyFont="1"/>
    <xf numFmtId="0" fontId="11" fillId="8" borderId="0" xfId="0" applyFont="1" applyFill="1" applyAlignment="1">
      <alignment horizontal="center" vertical="center"/>
    </xf>
    <xf numFmtId="0" fontId="12" fillId="20" borderId="0" xfId="0" applyFont="1" applyFill="1" applyAlignment="1">
      <alignment horizontal="center"/>
    </xf>
    <xf numFmtId="0" fontId="0" fillId="0" borderId="0" xfId="0"/>
    <xf numFmtId="0" fontId="5" fillId="16" borderId="2" xfId="0" applyFont="1" applyFill="1" applyBorder="1" applyAlignment="1">
      <alignment horizontal="center"/>
    </xf>
    <xf numFmtId="0" fontId="5" fillId="16" borderId="0" xfId="0" applyFont="1" applyFill="1" applyAlignment="1">
      <alignment horizontal="center" wrapText="1"/>
    </xf>
    <xf numFmtId="0" fontId="1" fillId="0" borderId="26" xfId="0" applyFont="1" applyBorder="1" applyAlignment="1">
      <alignment horizontal="center" vertical="center"/>
    </xf>
    <xf numFmtId="0" fontId="1" fillId="0" borderId="16" xfId="0" applyFont="1" applyBorder="1" applyAlignment="1">
      <alignment horizontal="center" vertical="center"/>
    </xf>
    <xf numFmtId="0" fontId="2" fillId="24" borderId="26" xfId="0" applyFont="1" applyFill="1" applyBorder="1" applyAlignment="1">
      <alignment horizontal="center"/>
    </xf>
    <xf numFmtId="0" fontId="2" fillId="24" borderId="27" xfId="0" applyFont="1" applyFill="1" applyBorder="1" applyAlignment="1">
      <alignment horizontal="center"/>
    </xf>
    <xf numFmtId="0" fontId="5" fillId="24" borderId="26" xfId="0" applyFont="1" applyFill="1" applyBorder="1" applyAlignment="1">
      <alignment horizontal="center"/>
    </xf>
    <xf numFmtId="0" fontId="5" fillId="24" borderId="27" xfId="0" applyFont="1" applyFill="1" applyBorder="1" applyAlignment="1">
      <alignment horizontal="center"/>
    </xf>
    <xf numFmtId="0" fontId="5" fillId="24" borderId="15" xfId="0" applyFont="1" applyFill="1" applyBorder="1" applyAlignment="1">
      <alignment horizontal="center"/>
    </xf>
    <xf numFmtId="0" fontId="5" fillId="24" borderId="28" xfId="0" applyFont="1" applyFill="1" applyBorder="1" applyAlignment="1">
      <alignment horizontal="center"/>
    </xf>
    <xf numFmtId="0" fontId="68" fillId="0" borderId="36" xfId="0" applyFont="1" applyBorder="1" applyAlignment="1">
      <alignment horizontal="left" wrapText="1"/>
    </xf>
    <xf numFmtId="0" fontId="0" fillId="0" borderId="0" xfId="0" applyAlignment="1">
      <alignment horizontal="center" wrapText="1"/>
    </xf>
    <xf numFmtId="0" fontId="5" fillId="16" borderId="12" xfId="0" applyFont="1" applyFill="1" applyBorder="1" applyAlignment="1">
      <alignment horizontal="center"/>
    </xf>
    <xf numFmtId="0" fontId="67" fillId="0" borderId="0" xfId="0" applyFont="1" applyAlignment="1">
      <alignment horizontal="left" wrapText="1"/>
    </xf>
    <xf numFmtId="0" fontId="45" fillId="0" borderId="0" xfId="0" applyFont="1" applyAlignment="1">
      <alignment horizontal="left" vertical="top" wrapText="1"/>
    </xf>
    <xf numFmtId="0" fontId="62" fillId="0" borderId="9" xfId="0" applyFont="1" applyBorder="1" applyAlignment="1">
      <alignment horizontal="left" wrapText="1"/>
    </xf>
    <xf numFmtId="0" fontId="49" fillId="0" borderId="0" xfId="0" applyFont="1" applyAlignment="1">
      <alignment horizontal="center"/>
    </xf>
    <xf numFmtId="0" fontId="62" fillId="0" borderId="0" xfId="0" applyFont="1" applyAlignment="1">
      <alignment horizontal="left" wrapText="1"/>
    </xf>
    <xf numFmtId="0" fontId="0" fillId="0" borderId="0" xfId="0" applyAlignment="1">
      <alignment horizontal="left" vertical="top"/>
    </xf>
    <xf numFmtId="43" fontId="63" fillId="16" borderId="0" xfId="0" applyNumberFormat="1" applyFont="1" applyFill="1" applyAlignment="1">
      <alignment horizontal="center"/>
    </xf>
    <xf numFmtId="0" fontId="52" fillId="0" borderId="0" xfId="0" applyFont="1" applyAlignment="1">
      <alignment horizontal="left" vertical="top" wrapText="1"/>
    </xf>
    <xf numFmtId="0" fontId="0" fillId="0" borderId="0" xfId="0" applyAlignment="1">
      <alignment horizontal="left" vertical="top" wrapText="1"/>
    </xf>
    <xf numFmtId="0" fontId="0" fillId="0" borderId="8" xfId="0" applyBorder="1" applyAlignment="1">
      <alignment horizontal="left" wrapText="1"/>
    </xf>
    <xf numFmtId="0" fontId="58" fillId="16" borderId="0" xfId="0" applyFont="1" applyFill="1" applyAlignment="1">
      <alignment horizontal="right" vertical="center"/>
    </xf>
    <xf numFmtId="0" fontId="63" fillId="16" borderId="0" xfId="0" applyFont="1" applyFill="1" applyAlignment="1">
      <alignment horizontal="left" vertical="top"/>
    </xf>
  </cellXfs>
  <cellStyles count="8">
    <cellStyle name="60% - Accent1" xfId="3" builtinId="32"/>
    <cellStyle name="60% - Accent3" xfId="4" builtinId="40"/>
    <cellStyle name="Accent6" xfId="5" builtinId="49"/>
    <cellStyle name="Comma" xfId="1" builtinId="3"/>
    <cellStyle name="Currency" xfId="7" builtinId="4"/>
    <cellStyle name="Hyperlink" xfId="2" builtinId="8"/>
    <cellStyle name="Normal" xfId="0" builtinId="0"/>
    <cellStyle name="Per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05556391125208"/>
          <c:y val="0.22217131564476558"/>
          <c:w val="0.85392945679817467"/>
          <c:h val="0.6182865843110138"/>
        </c:manualLayout>
      </c:layout>
      <c:lineChart>
        <c:grouping val="standard"/>
        <c:varyColors val="0"/>
        <c:ser>
          <c:idx val="0"/>
          <c:order val="0"/>
          <c:tx>
            <c:strRef>
              <c:f>'Ratio Analysis'!$B$42</c:f>
              <c:strCache>
                <c:ptCount val="1"/>
                <c:pt idx="0">
                  <c:v>Debt to Market Equity</c:v>
                </c:pt>
              </c:strCache>
            </c:strRef>
          </c:tx>
          <c:spPr>
            <a:ln w="28575" cap="rnd">
              <a:solidFill>
                <a:schemeClr val="accent1"/>
              </a:solidFill>
              <a:round/>
            </a:ln>
            <a:effectLst/>
          </c:spPr>
          <c:marker>
            <c:symbol val="none"/>
          </c:marker>
          <c:dLbls>
            <c:dLbl>
              <c:idx val="2"/>
              <c:layout>
                <c:manualLayout>
                  <c:x val="-6.9485235438961734E-2"/>
                  <c:y val="-0.156384172496938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8D-4ADA-A286-D97FAA2F3E2B}"/>
                </c:ext>
              </c:extLst>
            </c:dLbl>
            <c:dLbl>
              <c:idx val="4"/>
              <c:layout>
                <c:manualLayout>
                  <c:x val="-4.6538105185388923E-2"/>
                  <c:y val="-0.156384172496938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8D-4ADA-A286-D97FAA2F3E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numRef>
              <c:f>'Ratio Analysis'!$C$3:$L$3</c:f>
              <c:numCache>
                <c:formatCode>mmm\-yy</c:formatCode>
                <c:ptCount val="10"/>
                <c:pt idx="0">
                  <c:v>42825</c:v>
                </c:pt>
                <c:pt idx="1">
                  <c:v>43190</c:v>
                </c:pt>
                <c:pt idx="2">
                  <c:v>43555</c:v>
                </c:pt>
                <c:pt idx="3">
                  <c:v>43921</c:v>
                </c:pt>
                <c:pt idx="4">
                  <c:v>44286</c:v>
                </c:pt>
                <c:pt idx="5">
                  <c:v>44651</c:v>
                </c:pt>
                <c:pt idx="6">
                  <c:v>45016</c:v>
                </c:pt>
                <c:pt idx="7">
                  <c:v>45382</c:v>
                </c:pt>
                <c:pt idx="8">
                  <c:v>45747</c:v>
                </c:pt>
                <c:pt idx="9">
                  <c:v>46112</c:v>
                </c:pt>
              </c:numCache>
            </c:numRef>
          </c:cat>
          <c:val>
            <c:numRef>
              <c:f>'Ratio Analysis'!$C$42:$L$42</c:f>
              <c:numCache>
                <c:formatCode>0.00%</c:formatCode>
                <c:ptCount val="10"/>
                <c:pt idx="0">
                  <c:v>1.9964210310532597</c:v>
                </c:pt>
                <c:pt idx="1">
                  <c:v>2.2725567818590688</c:v>
                </c:pt>
                <c:pt idx="2">
                  <c:v>2.4285272117942385</c:v>
                </c:pt>
                <c:pt idx="3">
                  <c:v>5.8416697046280595</c:v>
                </c:pt>
                <c:pt idx="4">
                  <c:v>1.4150105649954894</c:v>
                </c:pt>
                <c:pt idx="5">
                  <c:v>0.67100318236477452</c:v>
                </c:pt>
                <c:pt idx="6">
                  <c:v>0.87011821553722157</c:v>
                </c:pt>
                <c:pt idx="7">
                  <c:v>0.42601723202113306</c:v>
                </c:pt>
                <c:pt idx="8">
                  <c:v>0.52381753339855686</c:v>
                </c:pt>
                <c:pt idx="9">
                  <c:v>0.62881719083196475</c:v>
                </c:pt>
              </c:numCache>
            </c:numRef>
          </c:val>
          <c:smooth val="0"/>
          <c:extLst>
            <c:ext xmlns:c16="http://schemas.microsoft.com/office/drawing/2014/chart" uri="{C3380CC4-5D6E-409C-BE32-E72D297353CC}">
              <c16:uniqueId val="{00000000-FDC5-49B5-ADA8-5AD009FB14EB}"/>
            </c:ext>
          </c:extLst>
        </c:ser>
        <c:dLbls>
          <c:showLegendKey val="0"/>
          <c:showVal val="0"/>
          <c:showCatName val="0"/>
          <c:showSerName val="0"/>
          <c:showPercent val="0"/>
          <c:showBubbleSize val="0"/>
        </c:dLbls>
        <c:smooth val="0"/>
        <c:axId val="947885663"/>
        <c:axId val="1992716511"/>
      </c:lineChart>
      <c:dateAx>
        <c:axId val="94788566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992716511"/>
        <c:crosses val="autoZero"/>
        <c:auto val="1"/>
        <c:lblOffset val="100"/>
        <c:baseTimeUnit val="years"/>
      </c:dateAx>
      <c:valAx>
        <c:axId val="19927165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94788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Football Field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521981627296587"/>
          <c:y val="8.6503870973312538E-2"/>
          <c:w val="0.84589129483814518"/>
          <c:h val="0.68528080353603582"/>
        </c:manualLayout>
      </c:layout>
      <c:stockChart>
        <c:ser>
          <c:idx val="0"/>
          <c:order val="0"/>
          <c:tx>
            <c:strRef>
              <c:f>'Football Field Analysis'!$E$5</c:f>
              <c:strCache>
                <c:ptCount val="1"/>
                <c:pt idx="0">
                  <c:v>OpenLow</c:v>
                </c:pt>
              </c:strCache>
            </c:strRef>
          </c:tx>
          <c:spPr>
            <a:ln w="381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Analysis'!$C$6:$D$10</c:f>
              <c:strCache>
                <c:ptCount val="5"/>
                <c:pt idx="0">
                  <c:v>Comps</c:v>
                </c:pt>
                <c:pt idx="1">
                  <c:v>DCF Bear</c:v>
                </c:pt>
                <c:pt idx="2">
                  <c:v>DCF Base</c:v>
                </c:pt>
                <c:pt idx="3">
                  <c:v>DCF Bull</c:v>
                </c:pt>
                <c:pt idx="4">
                  <c:v>52W H/L</c:v>
                </c:pt>
              </c:strCache>
            </c:strRef>
          </c:cat>
          <c:val>
            <c:numRef>
              <c:f>'Football Field Analysis'!$E$6:$E$10</c:f>
              <c:numCache>
                <c:formatCode>0.00</c:formatCode>
                <c:ptCount val="5"/>
                <c:pt idx="0">
                  <c:v>449.50637779111128</c:v>
                </c:pt>
                <c:pt idx="1">
                  <c:v>-29.582778741286148</c:v>
                </c:pt>
                <c:pt idx="2">
                  <c:v>-15.486241119483251</c:v>
                </c:pt>
                <c:pt idx="3">
                  <c:v>40.661896305887744</c:v>
                </c:pt>
                <c:pt idx="4">
                  <c:v>342.35</c:v>
                </c:pt>
              </c:numCache>
            </c:numRef>
          </c:val>
          <c:smooth val="0"/>
          <c:extLst>
            <c:ext xmlns:c16="http://schemas.microsoft.com/office/drawing/2014/chart" uri="{C3380CC4-5D6E-409C-BE32-E72D297353CC}">
              <c16:uniqueId val="{00000000-0968-45DD-8EFB-5D356F391D77}"/>
            </c:ext>
          </c:extLst>
        </c:ser>
        <c:ser>
          <c:idx val="1"/>
          <c:order val="1"/>
          <c:tx>
            <c:strRef>
              <c:f>'Football Field Analysis'!$F$5</c:f>
              <c:strCache>
                <c:ptCount val="1"/>
                <c:pt idx="0">
                  <c:v>Low</c:v>
                </c:pt>
              </c:strCache>
            </c:strRef>
          </c:tx>
          <c:spPr>
            <a:ln w="38100" cap="rnd">
              <a:noFill/>
              <a:round/>
            </a:ln>
            <a:effectLst/>
          </c:spPr>
          <c:marker>
            <c:symbol val="none"/>
          </c:marker>
          <c:dLbls>
            <c:delete val="1"/>
          </c:dLbls>
          <c:cat>
            <c:strRef>
              <c:f>'Football Field Analysis'!$C$6:$D$10</c:f>
              <c:strCache>
                <c:ptCount val="5"/>
                <c:pt idx="0">
                  <c:v>Comps</c:v>
                </c:pt>
                <c:pt idx="1">
                  <c:v>DCF Bear</c:v>
                </c:pt>
                <c:pt idx="2">
                  <c:v>DCF Base</c:v>
                </c:pt>
                <c:pt idx="3">
                  <c:v>DCF Bull</c:v>
                </c:pt>
                <c:pt idx="4">
                  <c:v>52W H/L</c:v>
                </c:pt>
              </c:strCache>
            </c:strRef>
          </c:cat>
          <c:val>
            <c:numRef>
              <c:f>'Football Field Analysis'!$F$6:$F$10</c:f>
              <c:numCache>
                <c:formatCode>0.00</c:formatCode>
                <c:ptCount val="5"/>
                <c:pt idx="0">
                  <c:v>449.50637779111128</c:v>
                </c:pt>
                <c:pt idx="1">
                  <c:v>-29.582778741286148</c:v>
                </c:pt>
                <c:pt idx="2">
                  <c:v>-15.486241119483251</c:v>
                </c:pt>
                <c:pt idx="3">
                  <c:v>40.661896305887744</c:v>
                </c:pt>
                <c:pt idx="4">
                  <c:v>342.35</c:v>
                </c:pt>
              </c:numCache>
            </c:numRef>
          </c:val>
          <c:smooth val="0"/>
          <c:extLst>
            <c:ext xmlns:c16="http://schemas.microsoft.com/office/drawing/2014/chart" uri="{C3380CC4-5D6E-409C-BE32-E72D297353CC}">
              <c16:uniqueId val="{00000001-0968-45DD-8EFB-5D356F391D77}"/>
            </c:ext>
          </c:extLst>
        </c:ser>
        <c:ser>
          <c:idx val="2"/>
          <c:order val="2"/>
          <c:tx>
            <c:strRef>
              <c:f>'Football Field Analysis'!$G$5</c:f>
              <c:strCache>
                <c:ptCount val="1"/>
                <c:pt idx="0">
                  <c:v>OpenHigh</c:v>
                </c:pt>
              </c:strCache>
            </c:strRef>
          </c:tx>
          <c:spPr>
            <a:ln w="38100" cap="rnd">
              <a:noFill/>
              <a:round/>
            </a:ln>
            <a:effectLst/>
          </c:spPr>
          <c:marker>
            <c:symbol val="none"/>
          </c:marker>
          <c:dLbls>
            <c:delete val="1"/>
          </c:dLbls>
          <c:cat>
            <c:strRef>
              <c:f>'Football Field Analysis'!$C$6:$D$10</c:f>
              <c:strCache>
                <c:ptCount val="5"/>
                <c:pt idx="0">
                  <c:v>Comps</c:v>
                </c:pt>
                <c:pt idx="1">
                  <c:v>DCF Bear</c:v>
                </c:pt>
                <c:pt idx="2">
                  <c:v>DCF Base</c:v>
                </c:pt>
                <c:pt idx="3">
                  <c:v>DCF Bull</c:v>
                </c:pt>
                <c:pt idx="4">
                  <c:v>52W H/L</c:v>
                </c:pt>
              </c:strCache>
            </c:strRef>
          </c:cat>
          <c:val>
            <c:numRef>
              <c:f>'Football Field Analysis'!$G$6:$G$10</c:f>
              <c:numCache>
                <c:formatCode>0.00</c:formatCode>
                <c:ptCount val="5"/>
                <c:pt idx="0">
                  <c:v>1191.5029090901824</c:v>
                </c:pt>
                <c:pt idx="1">
                  <c:v>9.7519652175429989</c:v>
                </c:pt>
                <c:pt idx="2">
                  <c:v>46.16774693849402</c:v>
                </c:pt>
                <c:pt idx="3">
                  <c:v>332.05212205346095</c:v>
                </c:pt>
                <c:pt idx="4">
                  <c:v>464.9</c:v>
                </c:pt>
              </c:numCache>
            </c:numRef>
          </c:val>
          <c:smooth val="0"/>
          <c:extLst>
            <c:ext xmlns:c16="http://schemas.microsoft.com/office/drawing/2014/chart" uri="{C3380CC4-5D6E-409C-BE32-E72D297353CC}">
              <c16:uniqueId val="{00000002-0968-45DD-8EFB-5D356F391D77}"/>
            </c:ext>
          </c:extLst>
        </c:ser>
        <c:ser>
          <c:idx val="3"/>
          <c:order val="3"/>
          <c:tx>
            <c:strRef>
              <c:f>'Football Field Analysis'!$H$5</c:f>
              <c:strCache>
                <c:ptCount val="1"/>
                <c:pt idx="0">
                  <c:v>High</c:v>
                </c:pt>
              </c:strCache>
            </c:strRef>
          </c:tx>
          <c:spPr>
            <a:ln w="38100" cap="rnd">
              <a:noFill/>
              <a:round/>
            </a:ln>
            <a:effectLst/>
          </c:spPr>
          <c:marker>
            <c:symbol val="none"/>
          </c:marker>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Analysis'!$C$6:$D$10</c:f>
              <c:strCache>
                <c:ptCount val="5"/>
                <c:pt idx="0">
                  <c:v>Comps</c:v>
                </c:pt>
                <c:pt idx="1">
                  <c:v>DCF Bear</c:v>
                </c:pt>
                <c:pt idx="2">
                  <c:v>DCF Base</c:v>
                </c:pt>
                <c:pt idx="3">
                  <c:v>DCF Bull</c:v>
                </c:pt>
                <c:pt idx="4">
                  <c:v>52W H/L</c:v>
                </c:pt>
              </c:strCache>
            </c:strRef>
          </c:cat>
          <c:val>
            <c:numRef>
              <c:f>'Football Field Analysis'!$H$6:$H$10</c:f>
              <c:numCache>
                <c:formatCode>0.00</c:formatCode>
                <c:ptCount val="5"/>
                <c:pt idx="0">
                  <c:v>1191.5029090901824</c:v>
                </c:pt>
                <c:pt idx="1">
                  <c:v>9.7519652175429989</c:v>
                </c:pt>
                <c:pt idx="2">
                  <c:v>46.16774693849402</c:v>
                </c:pt>
                <c:pt idx="3">
                  <c:v>332.05212205346095</c:v>
                </c:pt>
                <c:pt idx="4">
                  <c:v>464.9</c:v>
                </c:pt>
              </c:numCache>
            </c:numRef>
          </c:val>
          <c:smooth val="0"/>
          <c:extLst>
            <c:ext xmlns:c16="http://schemas.microsoft.com/office/drawing/2014/chart" uri="{C3380CC4-5D6E-409C-BE32-E72D297353CC}">
              <c16:uniqueId val="{00000003-0968-45DD-8EFB-5D356F391D77}"/>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70C0"/>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01080783"/>
        <c:axId val="1537237119"/>
      </c:stockChart>
      <c:catAx>
        <c:axId val="1601080783"/>
        <c:scaling>
          <c:orientation val="minMax"/>
        </c:scaling>
        <c:delete val="1"/>
        <c:axPos val="b"/>
        <c:numFmt formatCode="General" sourceLinked="1"/>
        <c:majorTickMark val="out"/>
        <c:minorTickMark val="none"/>
        <c:tickLblPos val="nextTo"/>
        <c:crossAx val="1537237119"/>
        <c:crosses val="autoZero"/>
        <c:auto val="1"/>
        <c:lblAlgn val="ctr"/>
        <c:lblOffset val="44"/>
        <c:noMultiLvlLbl val="0"/>
      </c:catAx>
      <c:valAx>
        <c:axId val="1537237119"/>
        <c:scaling>
          <c:orientation val="minMax"/>
          <c:max val="1600"/>
          <c:min val="-40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080783"/>
        <c:crossesAt val="1"/>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8-67D9-41A2-981C-5D08D81E27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7D9-41A2-981C-5D08D81E27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ROE Analysis'!$H$24:$K$24</c:f>
              <c:numCache>
                <c:formatCode>mmm\-yy</c:formatCode>
                <c:ptCount val="4"/>
                <c:pt idx="0">
                  <c:v>44651</c:v>
                </c:pt>
                <c:pt idx="1">
                  <c:v>45016</c:v>
                </c:pt>
                <c:pt idx="2">
                  <c:v>45382</c:v>
                </c:pt>
                <c:pt idx="3">
                  <c:v>45747</c:v>
                </c:pt>
              </c:numCache>
            </c:numRef>
          </c:cat>
          <c:val>
            <c:numRef>
              <c:f>'DuPont ROE Analysis'!$H$32:$K$32</c:f>
              <c:numCache>
                <c:formatCode>_("₹"* #,##0.00_);_("₹"* \(#,##0.00\);_("₹"* "-"??_);_(@_)</c:formatCode>
                <c:ptCount val="4"/>
                <c:pt idx="0">
                  <c:v>42815.67</c:v>
                </c:pt>
                <c:pt idx="1">
                  <c:v>55109.08</c:v>
                </c:pt>
                <c:pt idx="2">
                  <c:v>61448.9</c:v>
                </c:pt>
                <c:pt idx="3">
                  <c:v>65478.239999999998</c:v>
                </c:pt>
              </c:numCache>
            </c:numRef>
          </c:val>
          <c:extLst>
            <c:ext xmlns:c16="http://schemas.microsoft.com/office/drawing/2014/chart" uri="{C3380CC4-5D6E-409C-BE32-E72D297353CC}">
              <c16:uniqueId val="{00000000-67D9-41A2-981C-5D08D81E27A4}"/>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_(&quot;₹&quot;* #,##0.00_);_(&quot;₹&quot;* \(#,##0.00\);_(&quot;₹&quot;* &quot;-&quot;??_);_(@_)"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AFB8-4B4C-84DE-92DC393264A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AFB8-4B4C-84DE-92DC393264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ROE Analysis'!$H$24:$K$24</c:f>
              <c:numCache>
                <c:formatCode>mmm\-yy</c:formatCode>
                <c:ptCount val="4"/>
                <c:pt idx="0">
                  <c:v>44651</c:v>
                </c:pt>
                <c:pt idx="1">
                  <c:v>45016</c:v>
                </c:pt>
                <c:pt idx="2">
                  <c:v>45382</c:v>
                </c:pt>
                <c:pt idx="3">
                  <c:v>45747</c:v>
                </c:pt>
              </c:numCache>
            </c:numRef>
          </c:cat>
          <c:val>
            <c:numRef>
              <c:f>'DuPont ROE Analysis'!$H$31:$K$31</c:f>
              <c:numCache>
                <c:formatCode>_("₹"* #,##0.00_);_("₹"* \(#,##0.00\);_("₹"* "-"??_);_(@_)</c:formatCode>
                <c:ptCount val="4"/>
                <c:pt idx="0">
                  <c:v>2155.6100000000033</c:v>
                </c:pt>
                <c:pt idx="1">
                  <c:v>3809.6700000000055</c:v>
                </c:pt>
                <c:pt idx="2">
                  <c:v>4280.1000000000049</c:v>
                </c:pt>
                <c:pt idx="3">
                  <c:v>4775.3699999999963</c:v>
                </c:pt>
              </c:numCache>
            </c:numRef>
          </c:val>
          <c:extLst>
            <c:ext xmlns:c16="http://schemas.microsoft.com/office/drawing/2014/chart" uri="{C3380CC4-5D6E-409C-BE32-E72D297353CC}">
              <c16:uniqueId val="{00000004-AFB8-4B4C-84DE-92DC393264A6}"/>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_(&quot;₹&quot;* #,##0.00_);_(&quot;₹&quot;* \(#,##0.00\);_(&quot;₹&quot;* &quot;-&quot;??_);_(@_)"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6724-46A8-AF01-42C69F7141B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6724-46A8-AF01-42C69F7141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ROE Analysis'!$H$24:$K$24</c:f>
              <c:numCache>
                <c:formatCode>mmm\-yy</c:formatCode>
                <c:ptCount val="4"/>
                <c:pt idx="0">
                  <c:v>44651</c:v>
                </c:pt>
                <c:pt idx="1">
                  <c:v>45016</c:v>
                </c:pt>
                <c:pt idx="2">
                  <c:v>45382</c:v>
                </c:pt>
                <c:pt idx="3">
                  <c:v>45747</c:v>
                </c:pt>
              </c:numCache>
            </c:numRef>
          </c:cat>
          <c:val>
            <c:numRef>
              <c:f>'DuPont ROE Analysis'!$H$36:$K$36</c:f>
              <c:numCache>
                <c:formatCode>_("₹"* #,##0.00_);_("₹"* \(#,##0.00\);_("₹"* "-"??_);_(@_)</c:formatCode>
                <c:ptCount val="4"/>
                <c:pt idx="0">
                  <c:v>120324</c:v>
                </c:pt>
                <c:pt idx="1">
                  <c:v>133576</c:v>
                </c:pt>
                <c:pt idx="2">
                  <c:v>147624</c:v>
                </c:pt>
                <c:pt idx="3">
                  <c:v>165378.5</c:v>
                </c:pt>
              </c:numCache>
            </c:numRef>
          </c:val>
          <c:extLst>
            <c:ext xmlns:c16="http://schemas.microsoft.com/office/drawing/2014/chart" uri="{C3380CC4-5D6E-409C-BE32-E72D297353CC}">
              <c16:uniqueId val="{00000004-6724-46A8-AF01-42C69F7141B3}"/>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_(&quot;₹&quot;* #,##0.00_);_(&quot;₹&quot;* \(#,##0.00\);_(&quot;₹&quot;* &quot;-&quot;??_);_(@_)"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7E9D-4145-87BC-7B228E84656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7E9D-4145-87BC-7B228E8465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ROE Analysis'!$H$24:$K$24</c:f>
              <c:numCache>
                <c:formatCode>mmm\-yy</c:formatCode>
                <c:ptCount val="4"/>
                <c:pt idx="0">
                  <c:v>44651</c:v>
                </c:pt>
                <c:pt idx="1">
                  <c:v>45016</c:v>
                </c:pt>
                <c:pt idx="2">
                  <c:v>45382</c:v>
                </c:pt>
                <c:pt idx="3">
                  <c:v>45747</c:v>
                </c:pt>
              </c:numCache>
            </c:numRef>
          </c:cat>
          <c:val>
            <c:numRef>
              <c:f>'DuPont ROE Analysis'!$H$43:$K$43</c:f>
              <c:numCache>
                <c:formatCode>0.00%</c:formatCode>
                <c:ptCount val="4"/>
                <c:pt idx="0">
                  <c:v>8.4155865653412376E-2</c:v>
                </c:pt>
                <c:pt idx="1">
                  <c:v>0.12461565334352169</c:v>
                </c:pt>
                <c:pt idx="2">
                  <c:v>0.12552356473902576</c:v>
                </c:pt>
                <c:pt idx="3">
                  <c:v>0.12682258483441561</c:v>
                </c:pt>
              </c:numCache>
            </c:numRef>
          </c:val>
          <c:extLst>
            <c:ext xmlns:c16="http://schemas.microsoft.com/office/drawing/2014/chart" uri="{C3380CC4-5D6E-409C-BE32-E72D297353CC}">
              <c16:uniqueId val="{00000004-7E9D-4145-87BC-7B228E84656E}"/>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0.00%"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B190-46E7-8EBA-47E1D855985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B190-46E7-8EBA-47E1D85598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ROE Analysis'!$H$24:$K$24</c:f>
              <c:numCache>
                <c:formatCode>mmm\-yy</c:formatCode>
                <c:ptCount val="4"/>
                <c:pt idx="0">
                  <c:v>44651</c:v>
                </c:pt>
                <c:pt idx="1">
                  <c:v>45016</c:v>
                </c:pt>
                <c:pt idx="2">
                  <c:v>45382</c:v>
                </c:pt>
                <c:pt idx="3">
                  <c:v>45747</c:v>
                </c:pt>
              </c:numCache>
            </c:numRef>
          </c:cat>
          <c:val>
            <c:numRef>
              <c:f>'DuPont ROE Analysis'!$H$49:$K$49</c:f>
              <c:numCache>
                <c:formatCode>0.00%</c:formatCode>
                <c:ptCount val="4"/>
                <c:pt idx="0">
                  <c:v>1.7915046042352344E-2</c:v>
                </c:pt>
                <c:pt idx="1">
                  <c:v>2.8520617476193371E-2</c:v>
                </c:pt>
                <c:pt idx="2">
                  <c:v>2.899325312957246E-2</c:v>
                </c:pt>
                <c:pt idx="3">
                  <c:v>2.8875397950761411E-2</c:v>
                </c:pt>
              </c:numCache>
            </c:numRef>
          </c:val>
          <c:extLst>
            <c:ext xmlns:c16="http://schemas.microsoft.com/office/drawing/2014/chart" uri="{C3380CC4-5D6E-409C-BE32-E72D297353CC}">
              <c16:uniqueId val="{00000004-B190-46E7-8EBA-47E1D8559858}"/>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0.00%"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0490-4867-8B40-65A5165B4F0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0490-4867-8B40-65A5165B4F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ROE Analysis'!$H$24:$K$24</c:f>
              <c:numCache>
                <c:formatCode>mmm\-yy</c:formatCode>
                <c:ptCount val="4"/>
                <c:pt idx="0">
                  <c:v>44651</c:v>
                </c:pt>
                <c:pt idx="1">
                  <c:v>45016</c:v>
                </c:pt>
                <c:pt idx="2">
                  <c:v>45382</c:v>
                </c:pt>
                <c:pt idx="3">
                  <c:v>45747</c:v>
                </c:pt>
              </c:numCache>
            </c:numRef>
          </c:cat>
          <c:val>
            <c:numRef>
              <c:f>'DuPont ROE Analysis'!$H$41:$K$41</c:f>
              <c:numCache>
                <c:formatCode>0.00"x"</c:formatCode>
                <c:ptCount val="4"/>
                <c:pt idx="0">
                  <c:v>4.6974964761163545</c:v>
                </c:pt>
                <c:pt idx="1">
                  <c:v>4.3693182115548668</c:v>
                </c:pt>
                <c:pt idx="2">
                  <c:v>4.32940602346532</c:v>
                </c:pt>
                <c:pt idx="3">
                  <c:v>4.3920636193715712</c:v>
                </c:pt>
              </c:numCache>
            </c:numRef>
          </c:val>
          <c:extLst>
            <c:ext xmlns:c16="http://schemas.microsoft.com/office/drawing/2014/chart" uri="{C3380CC4-5D6E-409C-BE32-E72D297353CC}">
              <c16:uniqueId val="{00000004-0490-4867-8B40-65A5165B4F01}"/>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0.00&quot;x&quot;"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67AD-4F00-89B7-2525BC7E7B3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67AD-4F00-89B7-2525BC7E7B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(Credit Risk)'!$I$24:$L$24</c:f>
              <c:numCache>
                <c:formatCode>mmm\-yy</c:formatCode>
                <c:ptCount val="4"/>
                <c:pt idx="0">
                  <c:v>45016</c:v>
                </c:pt>
                <c:pt idx="1">
                  <c:v>45382</c:v>
                </c:pt>
                <c:pt idx="2">
                  <c:v>45747</c:v>
                </c:pt>
                <c:pt idx="3">
                  <c:v>46112</c:v>
                </c:pt>
              </c:numCache>
            </c:numRef>
          </c:cat>
          <c:val>
            <c:numRef>
              <c:f>'Altman Z-Score (Credit Risk)'!$I$25:$L$25</c:f>
              <c:numCache>
                <c:formatCode>_("₹"* #,##0.00_);_("₹"* \(#,##0.00\);_("₹"* "-"??_);_(@_)</c:formatCode>
                <c:ptCount val="4"/>
                <c:pt idx="0">
                  <c:v>3335</c:v>
                </c:pt>
                <c:pt idx="1">
                  <c:v>-3063</c:v>
                </c:pt>
                <c:pt idx="2">
                  <c:v>-1897</c:v>
                </c:pt>
                <c:pt idx="3">
                  <c:v>5218</c:v>
                </c:pt>
              </c:numCache>
            </c:numRef>
          </c:val>
          <c:extLst>
            <c:ext xmlns:c16="http://schemas.microsoft.com/office/drawing/2014/chart" uri="{C3380CC4-5D6E-409C-BE32-E72D297353CC}">
              <c16:uniqueId val="{00000004-67AD-4F00-89B7-2525BC7E7B3D}"/>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_(&quot;₹&quot;* #,##0.00_);_(&quot;₹&quot;* \(#,##0.00\);_(&quot;₹&quot;* &quot;-&quot;??_);_(@_)"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E4B4-4674-AEEB-84C18A38ED2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E4B4-4674-AEEB-84C18A38ED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(Credit Risk)'!$I$24:$L$24</c:f>
              <c:numCache>
                <c:formatCode>mmm\-yy</c:formatCode>
                <c:ptCount val="4"/>
                <c:pt idx="0">
                  <c:v>45016</c:v>
                </c:pt>
                <c:pt idx="1">
                  <c:v>45382</c:v>
                </c:pt>
                <c:pt idx="2">
                  <c:v>45747</c:v>
                </c:pt>
                <c:pt idx="3">
                  <c:v>46112</c:v>
                </c:pt>
              </c:numCache>
            </c:numRef>
          </c:cat>
          <c:val>
            <c:numRef>
              <c:f>'Altman Z-Score (Credit Risk)'!$I$31:$L$31</c:f>
              <c:numCache>
                <c:formatCode>_("₹"* #,##0.00_);_("₹"* \(#,##0.00\);_("₹"* "-"??_);_(@_)</c:formatCode>
                <c:ptCount val="4"/>
                <c:pt idx="0">
                  <c:v>3170.5500000000056</c:v>
                </c:pt>
                <c:pt idx="1">
                  <c:v>3640.9800000000046</c:v>
                </c:pt>
                <c:pt idx="2">
                  <c:v>4056.359999999996</c:v>
                </c:pt>
                <c:pt idx="3">
                  <c:v>4318.6600000000008</c:v>
                </c:pt>
              </c:numCache>
            </c:numRef>
          </c:val>
          <c:extLst>
            <c:ext xmlns:c16="http://schemas.microsoft.com/office/drawing/2014/chart" uri="{C3380CC4-5D6E-409C-BE32-E72D297353CC}">
              <c16:uniqueId val="{00000004-E4B4-4674-AEEB-84C18A38ED23}"/>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_(&quot;₹&quot;* #,##0.00_);_(&quot;₹&quot;* \(#,##0.00\);_(&quot;₹&quot;* &quot;-&quot;??_);_(@_)"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C5FF-45B5-B4CC-71595CB7EA3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C5FF-45B5-B4CC-71595CB7EA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(Credit Risk)'!$I$24:$L$24</c:f>
              <c:numCache>
                <c:formatCode>mmm\-yy</c:formatCode>
                <c:ptCount val="4"/>
                <c:pt idx="0">
                  <c:v>45016</c:v>
                </c:pt>
                <c:pt idx="1">
                  <c:v>45382</c:v>
                </c:pt>
                <c:pt idx="2">
                  <c:v>45747</c:v>
                </c:pt>
                <c:pt idx="3">
                  <c:v>46112</c:v>
                </c:pt>
              </c:numCache>
            </c:numRef>
          </c:cat>
          <c:val>
            <c:numRef>
              <c:f>'Altman Z-Score (Credit Risk)'!$I$37:$L$37</c:f>
              <c:numCache>
                <c:formatCode>_("₹"* #,##0.00_);_("₹"* \(#,##0.00\);_("₹"* "-"??_);_(@_)</c:formatCode>
                <c:ptCount val="4"/>
                <c:pt idx="0">
                  <c:v>5092.770000000005</c:v>
                </c:pt>
                <c:pt idx="1">
                  <c:v>7573.7800000000052</c:v>
                </c:pt>
                <c:pt idx="2">
                  <c:v>10427.979999999996</c:v>
                </c:pt>
                <c:pt idx="3">
                  <c:v>8881.2200000000012</c:v>
                </c:pt>
              </c:numCache>
            </c:numRef>
          </c:val>
          <c:extLst>
            <c:ext xmlns:c16="http://schemas.microsoft.com/office/drawing/2014/chart" uri="{C3380CC4-5D6E-409C-BE32-E72D297353CC}">
              <c16:uniqueId val="{00000004-C5FF-45B5-B4CC-71595CB7EA3E}"/>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_(&quot;₹&quot;* #,##0.00_);_(&quot;₹&quot;* \(#,##0.00\);_(&quot;₹&quot;* &quot;-&quot;??_);_(@_)"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3DC3-4C34-9A9B-E4C49B7B8F9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3DC3-4C34-9A9B-E4C49B7B8F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(Credit Risk)'!$I$24:$L$24</c:f>
              <c:numCache>
                <c:formatCode>mmm\-yy</c:formatCode>
                <c:ptCount val="4"/>
                <c:pt idx="0">
                  <c:v>45016</c:v>
                </c:pt>
                <c:pt idx="1">
                  <c:v>45382</c:v>
                </c:pt>
                <c:pt idx="2">
                  <c:v>45747</c:v>
                </c:pt>
                <c:pt idx="3">
                  <c:v>46112</c:v>
                </c:pt>
              </c:numCache>
            </c:numRef>
          </c:cat>
          <c:val>
            <c:numRef>
              <c:f>'Altman Z-Score (Credit Risk)'!$I$50:$L$50</c:f>
              <c:numCache>
                <c:formatCode>_("₹"* #,##0.00_);_("₹"* \(#,##0.00\);_("₹"* "-"??_);_(@_)</c:formatCode>
                <c:ptCount val="4"/>
                <c:pt idx="0">
                  <c:v>128097</c:v>
                </c:pt>
                <c:pt idx="1">
                  <c:v>139055</c:v>
                </c:pt>
                <c:pt idx="2">
                  <c:v>156193</c:v>
                </c:pt>
                <c:pt idx="3">
                  <c:v>174564</c:v>
                </c:pt>
              </c:numCache>
            </c:numRef>
          </c:val>
          <c:extLst>
            <c:ext xmlns:c16="http://schemas.microsoft.com/office/drawing/2014/chart" uri="{C3380CC4-5D6E-409C-BE32-E72D297353CC}">
              <c16:uniqueId val="{00000004-3DC3-4C34-9A9B-E4C49B7B8F98}"/>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_(&quot;₹&quot;* #,##0.00_);_(&quot;₹&quot;* \(#,##0.00\);_(&quot;₹&quot;* &quot;-&quot;??_);_(@_)"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7489-4EDD-B3D4-16C2A6AA96D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7489-4EDD-B3D4-16C2A6AA96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(Credit Risk)'!$I$24:$L$24</c:f>
              <c:numCache>
                <c:formatCode>mmm\-yy</c:formatCode>
                <c:ptCount val="4"/>
                <c:pt idx="0">
                  <c:v>45016</c:v>
                </c:pt>
                <c:pt idx="1">
                  <c:v>45382</c:v>
                </c:pt>
                <c:pt idx="2">
                  <c:v>45747</c:v>
                </c:pt>
                <c:pt idx="3">
                  <c:v>46112</c:v>
                </c:pt>
              </c:numCache>
            </c:numRef>
          </c:cat>
          <c:val>
            <c:numRef>
              <c:f>'Altman Z-Score (Credit Risk)'!$I$43:$L$43</c:f>
              <c:numCache>
                <c:formatCode>_("₹"* #,##0.00_);_("₹"* \(#,##0.00\);_("₹"* "-"??_);_(@_)</c:formatCode>
                <c:ptCount val="4"/>
                <c:pt idx="0">
                  <c:v>60822.769889174997</c:v>
                </c:pt>
                <c:pt idx="1">
                  <c:v>126025.41860873999</c:v>
                </c:pt>
                <c:pt idx="2">
                  <c:v>120015.07393638001</c:v>
                </c:pt>
                <c:pt idx="3">
                  <c:v>121086.066205125</c:v>
                </c:pt>
              </c:numCache>
            </c:numRef>
          </c:val>
          <c:extLst>
            <c:ext xmlns:c16="http://schemas.microsoft.com/office/drawing/2014/chart" uri="{C3380CC4-5D6E-409C-BE32-E72D297353CC}">
              <c16:uniqueId val="{00000004-7489-4EDD-B3D4-16C2A6AA96DA}"/>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_(&quot;₹&quot;* #,##0.00_);_(&quot;₹&quot;* \(#,##0.00\);_(&quot;₹&quot;* &quot;-&quot;??_);_(@_)"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C721-4E15-B145-F3694657378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C721-4E15-B145-F369465737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(Credit Risk)'!$I$24:$L$24</c:f>
              <c:numCache>
                <c:formatCode>mmm\-yy</c:formatCode>
                <c:ptCount val="4"/>
                <c:pt idx="0">
                  <c:v>45016</c:v>
                </c:pt>
                <c:pt idx="1">
                  <c:v>45382</c:v>
                </c:pt>
                <c:pt idx="2">
                  <c:v>45747</c:v>
                </c:pt>
                <c:pt idx="3">
                  <c:v>46112</c:v>
                </c:pt>
              </c:numCache>
            </c:numRef>
          </c:cat>
          <c:val>
            <c:numRef>
              <c:f>'Altman Z-Score (Credit Risk)'!$I$49:$L$49</c:f>
              <c:numCache>
                <c:formatCode>_("₹"* #,##0.00_);_("₹"* \(#,##0.00\);_("₹"* "-"??_);_(@_)</c:formatCode>
                <c:ptCount val="4"/>
                <c:pt idx="0">
                  <c:v>55109.08</c:v>
                </c:pt>
                <c:pt idx="1">
                  <c:v>61448.9</c:v>
                </c:pt>
                <c:pt idx="2">
                  <c:v>65478.239999999998</c:v>
                </c:pt>
                <c:pt idx="3">
                  <c:v>62428.59</c:v>
                </c:pt>
              </c:numCache>
            </c:numRef>
          </c:val>
          <c:extLst>
            <c:ext xmlns:c16="http://schemas.microsoft.com/office/drawing/2014/chart" uri="{C3380CC4-5D6E-409C-BE32-E72D297353CC}">
              <c16:uniqueId val="{00000004-C721-4E15-B145-F36946573788}"/>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_(&quot;₹&quot;* #,##0.00_);_(&quot;₹&quot;* \(#,##0.00\);_(&quot;₹&quot;* &quot;-&quot;??_);_(@_)"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564F-4863-A26D-915FF73D95D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564F-4863-A26D-915FF73D95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(Credit Risk)'!$I$24:$L$24</c:f>
              <c:numCache>
                <c:formatCode>mmm\-yy</c:formatCode>
                <c:ptCount val="4"/>
                <c:pt idx="0">
                  <c:v>45016</c:v>
                </c:pt>
                <c:pt idx="1">
                  <c:v>45382</c:v>
                </c:pt>
                <c:pt idx="2">
                  <c:v>45747</c:v>
                </c:pt>
                <c:pt idx="3">
                  <c:v>46112</c:v>
                </c:pt>
              </c:numCache>
            </c:numRef>
          </c:cat>
          <c:val>
            <c:numRef>
              <c:f>'Altman Z-Score (Credit Risk)'!$I$44:$L$44</c:f>
              <c:numCache>
                <c:formatCode>_("₹"* #,##0.00_);_("₹"* \(#,##0.00\);_("₹"* "-"??_);_(@_)</c:formatCode>
                <c:ptCount val="4"/>
                <c:pt idx="0">
                  <c:v>52923</c:v>
                </c:pt>
                <c:pt idx="1">
                  <c:v>53689</c:v>
                </c:pt>
                <c:pt idx="2">
                  <c:v>62866</c:v>
                </c:pt>
                <c:pt idx="3">
                  <c:v>76141</c:v>
                </c:pt>
              </c:numCache>
            </c:numRef>
          </c:val>
          <c:extLst>
            <c:ext xmlns:c16="http://schemas.microsoft.com/office/drawing/2014/chart" uri="{C3380CC4-5D6E-409C-BE32-E72D297353CC}">
              <c16:uniqueId val="{00000004-564F-4863-A26D-915FF73D95DF}"/>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_(&quot;₹&quot;* #,##0.00_);_(&quot;₹&quot;* \(#,##0.00\);_(&quot;₹&quot;* &quot;-&quot;??_);_(@_)"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0403-47B8-8FE8-61881F793962}"/>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0403-47B8-8FE8-61881F7939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Z-Score (Credit Risk)'!$C$24:$L$24</c:f>
              <c:numCache>
                <c:formatCode>mmm\-yy</c:formatCode>
                <c:ptCount val="10"/>
                <c:pt idx="0">
                  <c:v>42825</c:v>
                </c:pt>
                <c:pt idx="1">
                  <c:v>43190</c:v>
                </c:pt>
                <c:pt idx="2">
                  <c:v>43555</c:v>
                </c:pt>
                <c:pt idx="3">
                  <c:v>43921</c:v>
                </c:pt>
                <c:pt idx="4">
                  <c:v>44286</c:v>
                </c:pt>
                <c:pt idx="5">
                  <c:v>44651</c:v>
                </c:pt>
                <c:pt idx="6">
                  <c:v>45016</c:v>
                </c:pt>
                <c:pt idx="7">
                  <c:v>45382</c:v>
                </c:pt>
                <c:pt idx="8">
                  <c:v>45747</c:v>
                </c:pt>
                <c:pt idx="9">
                  <c:v>46112</c:v>
                </c:pt>
              </c:numCache>
            </c:numRef>
          </c:cat>
          <c:val>
            <c:numRef>
              <c:f>'Altman Z-Score (Credit Risk)'!$C$55:$L$55</c:f>
              <c:numCache>
                <c:formatCode>0.00</c:formatCode>
                <c:ptCount val="10"/>
                <c:pt idx="0">
                  <c:v>0.85818581749564993</c:v>
                </c:pt>
                <c:pt idx="1">
                  <c:v>0.91748538800341606</c:v>
                </c:pt>
                <c:pt idx="2">
                  <c:v>0.93972035793580266</c:v>
                </c:pt>
                <c:pt idx="3">
                  <c:v>0.77675175466425483</c:v>
                </c:pt>
                <c:pt idx="4">
                  <c:v>0.95858471944496371</c:v>
                </c:pt>
                <c:pt idx="5">
                  <c:v>1.4440339885902036</c:v>
                </c:pt>
                <c:pt idx="6">
                  <c:v>1.3168672743616565</c:v>
                </c:pt>
                <c:pt idx="7">
                  <c:v>2.0402598729345325</c:v>
                </c:pt>
                <c:pt idx="8">
                  <c:v>1.8067539781609077</c:v>
                </c:pt>
                <c:pt idx="9">
                  <c:v>1.5501964240886048</c:v>
                </c:pt>
              </c:numCache>
            </c:numRef>
          </c:val>
          <c:extLst>
            <c:ext xmlns:c16="http://schemas.microsoft.com/office/drawing/2014/chart" uri="{C3380CC4-5D6E-409C-BE32-E72D297353CC}">
              <c16:uniqueId val="{00000004-0403-47B8-8FE8-61881F793962}"/>
            </c:ext>
          </c:extLst>
        </c:ser>
        <c:dLbls>
          <c:dLblPos val="outEnd"/>
          <c:showLegendKey val="0"/>
          <c:showVal val="1"/>
          <c:showCatName val="0"/>
          <c:showSerName val="0"/>
          <c:showPercent val="0"/>
          <c:showBubbleSize val="0"/>
        </c:dLbls>
        <c:gapWidth val="219"/>
        <c:overlap val="-27"/>
        <c:axId val="1536709295"/>
        <c:axId val="1537224159"/>
      </c:barChart>
      <c:catAx>
        <c:axId val="15367092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224159"/>
        <c:crosses val="autoZero"/>
        <c:auto val="0"/>
        <c:lblAlgn val="ctr"/>
        <c:lblOffset val="100"/>
        <c:noMultiLvlLbl val="0"/>
      </c:catAx>
      <c:valAx>
        <c:axId val="1537224159"/>
        <c:scaling>
          <c:orientation val="minMax"/>
        </c:scaling>
        <c:delete val="1"/>
        <c:axPos val="l"/>
        <c:numFmt formatCode="0.00" sourceLinked="1"/>
        <c:majorTickMark val="none"/>
        <c:minorTickMark val="none"/>
        <c:tickLblPos val="nextTo"/>
        <c:crossAx val="1536709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3048914340253"/>
          <c:y val="0.1715555555555556"/>
          <c:w val="0.7531193509902171"/>
          <c:h val="0.61512295578437315"/>
        </c:manualLayout>
      </c:layout>
      <c:lineChart>
        <c:grouping val="standard"/>
        <c:varyColors val="0"/>
        <c:ser>
          <c:idx val="0"/>
          <c:order val="0"/>
          <c:spPr>
            <a:ln w="28575" cap="rnd">
              <a:solidFill>
                <a:srgbClr val="00B0F0"/>
              </a:solidFill>
              <a:round/>
            </a:ln>
            <a:effectLst/>
          </c:spPr>
          <c:marker>
            <c:symbol val="none"/>
          </c:marker>
          <c:dPt>
            <c:idx val="5"/>
            <c:marker>
              <c:symbol val="none"/>
            </c:marker>
            <c:bubble3D val="0"/>
            <c:extLst>
              <c:ext xmlns:c16="http://schemas.microsoft.com/office/drawing/2014/chart" uri="{C3380CC4-5D6E-409C-BE32-E72D297353CC}">
                <c16:uniqueId val="{00000001-408A-445D-A6F2-BAB90CBBF10D}"/>
              </c:ext>
            </c:extLst>
          </c:dPt>
          <c:cat>
            <c:numRef>
              <c:f>'Beta Regression Historical Data'!$K$4:$K$107</c:f>
              <c:numCache>
                <c:formatCode>m/d/yyyy</c:formatCode>
                <c:ptCount val="104"/>
                <c:pt idx="0">
                  <c:v>46187</c:v>
                </c:pt>
                <c:pt idx="1">
                  <c:v>46180</c:v>
                </c:pt>
                <c:pt idx="2">
                  <c:v>46173</c:v>
                </c:pt>
                <c:pt idx="3">
                  <c:v>46166</c:v>
                </c:pt>
                <c:pt idx="4">
                  <c:v>46159</c:v>
                </c:pt>
                <c:pt idx="5">
                  <c:v>46152</c:v>
                </c:pt>
                <c:pt idx="6">
                  <c:v>46145</c:v>
                </c:pt>
                <c:pt idx="7">
                  <c:v>46138</c:v>
                </c:pt>
                <c:pt idx="8">
                  <c:v>46131</c:v>
                </c:pt>
                <c:pt idx="9">
                  <c:v>46124</c:v>
                </c:pt>
                <c:pt idx="10">
                  <c:v>46117</c:v>
                </c:pt>
                <c:pt idx="11">
                  <c:v>46110</c:v>
                </c:pt>
                <c:pt idx="12">
                  <c:v>46103</c:v>
                </c:pt>
                <c:pt idx="13">
                  <c:v>46096</c:v>
                </c:pt>
                <c:pt idx="14">
                  <c:v>46089</c:v>
                </c:pt>
                <c:pt idx="15">
                  <c:v>46082</c:v>
                </c:pt>
                <c:pt idx="16">
                  <c:v>46075</c:v>
                </c:pt>
                <c:pt idx="17">
                  <c:v>46068</c:v>
                </c:pt>
                <c:pt idx="18">
                  <c:v>46061</c:v>
                </c:pt>
                <c:pt idx="19">
                  <c:v>46054</c:v>
                </c:pt>
                <c:pt idx="20">
                  <c:v>46047</c:v>
                </c:pt>
                <c:pt idx="21">
                  <c:v>46040</c:v>
                </c:pt>
                <c:pt idx="22">
                  <c:v>46033</c:v>
                </c:pt>
                <c:pt idx="23">
                  <c:v>46026</c:v>
                </c:pt>
                <c:pt idx="24">
                  <c:v>46019</c:v>
                </c:pt>
                <c:pt idx="25">
                  <c:v>46012</c:v>
                </c:pt>
                <c:pt idx="26">
                  <c:v>46005</c:v>
                </c:pt>
                <c:pt idx="27">
                  <c:v>45998</c:v>
                </c:pt>
                <c:pt idx="28">
                  <c:v>45991</c:v>
                </c:pt>
                <c:pt idx="29">
                  <c:v>45984</c:v>
                </c:pt>
                <c:pt idx="30">
                  <c:v>45977</c:v>
                </c:pt>
                <c:pt idx="31">
                  <c:v>45970</c:v>
                </c:pt>
                <c:pt idx="32">
                  <c:v>45963</c:v>
                </c:pt>
                <c:pt idx="33">
                  <c:v>45956</c:v>
                </c:pt>
                <c:pt idx="34">
                  <c:v>45949</c:v>
                </c:pt>
                <c:pt idx="35">
                  <c:v>45942</c:v>
                </c:pt>
                <c:pt idx="36">
                  <c:v>45935</c:v>
                </c:pt>
                <c:pt idx="37">
                  <c:v>45928</c:v>
                </c:pt>
                <c:pt idx="38">
                  <c:v>45921</c:v>
                </c:pt>
                <c:pt idx="39">
                  <c:v>45914</c:v>
                </c:pt>
                <c:pt idx="40">
                  <c:v>45907</c:v>
                </c:pt>
                <c:pt idx="41">
                  <c:v>45900</c:v>
                </c:pt>
                <c:pt idx="42">
                  <c:v>45893</c:v>
                </c:pt>
                <c:pt idx="43">
                  <c:v>45886</c:v>
                </c:pt>
                <c:pt idx="44">
                  <c:v>45879</c:v>
                </c:pt>
                <c:pt idx="45">
                  <c:v>45872</c:v>
                </c:pt>
                <c:pt idx="46">
                  <c:v>45865</c:v>
                </c:pt>
                <c:pt idx="47">
                  <c:v>45858</c:v>
                </c:pt>
                <c:pt idx="48">
                  <c:v>45851</c:v>
                </c:pt>
                <c:pt idx="49">
                  <c:v>45844</c:v>
                </c:pt>
                <c:pt idx="50">
                  <c:v>45837</c:v>
                </c:pt>
                <c:pt idx="51">
                  <c:v>45830</c:v>
                </c:pt>
                <c:pt idx="52">
                  <c:v>45823</c:v>
                </c:pt>
                <c:pt idx="53">
                  <c:v>45816</c:v>
                </c:pt>
                <c:pt idx="54">
                  <c:v>45809</c:v>
                </c:pt>
                <c:pt idx="55">
                  <c:v>45802</c:v>
                </c:pt>
                <c:pt idx="56">
                  <c:v>45795</c:v>
                </c:pt>
                <c:pt idx="57">
                  <c:v>45788</c:v>
                </c:pt>
                <c:pt idx="58">
                  <c:v>45781</c:v>
                </c:pt>
                <c:pt idx="59">
                  <c:v>45774</c:v>
                </c:pt>
                <c:pt idx="60">
                  <c:v>45767</c:v>
                </c:pt>
                <c:pt idx="61">
                  <c:v>45760</c:v>
                </c:pt>
                <c:pt idx="62">
                  <c:v>45753</c:v>
                </c:pt>
                <c:pt idx="63">
                  <c:v>45746</c:v>
                </c:pt>
                <c:pt idx="64">
                  <c:v>45739</c:v>
                </c:pt>
                <c:pt idx="65">
                  <c:v>45732</c:v>
                </c:pt>
                <c:pt idx="66">
                  <c:v>45725</c:v>
                </c:pt>
                <c:pt idx="67">
                  <c:v>45718</c:v>
                </c:pt>
                <c:pt idx="68">
                  <c:v>45711</c:v>
                </c:pt>
                <c:pt idx="69">
                  <c:v>45704</c:v>
                </c:pt>
                <c:pt idx="70">
                  <c:v>45697</c:v>
                </c:pt>
                <c:pt idx="71">
                  <c:v>45690</c:v>
                </c:pt>
                <c:pt idx="72">
                  <c:v>45683</c:v>
                </c:pt>
                <c:pt idx="73">
                  <c:v>45676</c:v>
                </c:pt>
                <c:pt idx="74">
                  <c:v>45669</c:v>
                </c:pt>
                <c:pt idx="75">
                  <c:v>45662</c:v>
                </c:pt>
                <c:pt idx="76">
                  <c:v>45655</c:v>
                </c:pt>
                <c:pt idx="77">
                  <c:v>45648</c:v>
                </c:pt>
                <c:pt idx="78">
                  <c:v>45641</c:v>
                </c:pt>
                <c:pt idx="79">
                  <c:v>45634</c:v>
                </c:pt>
                <c:pt idx="80">
                  <c:v>45627</c:v>
                </c:pt>
                <c:pt idx="81">
                  <c:v>45620</c:v>
                </c:pt>
                <c:pt idx="82">
                  <c:v>45613</c:v>
                </c:pt>
                <c:pt idx="83">
                  <c:v>45606</c:v>
                </c:pt>
                <c:pt idx="84">
                  <c:v>45599</c:v>
                </c:pt>
                <c:pt idx="85">
                  <c:v>45592</c:v>
                </c:pt>
                <c:pt idx="86">
                  <c:v>45585</c:v>
                </c:pt>
                <c:pt idx="87">
                  <c:v>45578</c:v>
                </c:pt>
                <c:pt idx="88">
                  <c:v>45571</c:v>
                </c:pt>
                <c:pt idx="89">
                  <c:v>45564</c:v>
                </c:pt>
                <c:pt idx="90">
                  <c:v>45557</c:v>
                </c:pt>
                <c:pt idx="91">
                  <c:v>45550</c:v>
                </c:pt>
                <c:pt idx="92">
                  <c:v>45543</c:v>
                </c:pt>
                <c:pt idx="93">
                  <c:v>45536</c:v>
                </c:pt>
                <c:pt idx="94">
                  <c:v>45529</c:v>
                </c:pt>
                <c:pt idx="95">
                  <c:v>45522</c:v>
                </c:pt>
                <c:pt idx="96">
                  <c:v>45515</c:v>
                </c:pt>
                <c:pt idx="97">
                  <c:v>45508</c:v>
                </c:pt>
                <c:pt idx="98">
                  <c:v>45501</c:v>
                </c:pt>
                <c:pt idx="99">
                  <c:v>45494</c:v>
                </c:pt>
                <c:pt idx="100">
                  <c:v>45487</c:v>
                </c:pt>
                <c:pt idx="101">
                  <c:v>45480</c:v>
                </c:pt>
                <c:pt idx="102">
                  <c:v>45473</c:v>
                </c:pt>
                <c:pt idx="103">
                  <c:v>45466</c:v>
                </c:pt>
              </c:numCache>
            </c:numRef>
          </c:cat>
          <c:val>
            <c:numRef>
              <c:f>'Beta Regression Historical Data'!$L$4:$L$107</c:f>
              <c:numCache>
                <c:formatCode>#,##0.00</c:formatCode>
                <c:ptCount val="104"/>
                <c:pt idx="0">
                  <c:v>402.35</c:v>
                </c:pt>
                <c:pt idx="1">
                  <c:v>393.55</c:v>
                </c:pt>
                <c:pt idx="2">
                  <c:v>409.2</c:v>
                </c:pt>
                <c:pt idx="3">
                  <c:v>420.75</c:v>
                </c:pt>
                <c:pt idx="4">
                  <c:v>408.9</c:v>
                </c:pt>
                <c:pt idx="5">
                  <c:v>407</c:v>
                </c:pt>
                <c:pt idx="6">
                  <c:v>436</c:v>
                </c:pt>
                <c:pt idx="7">
                  <c:v>444.55</c:v>
                </c:pt>
                <c:pt idx="8">
                  <c:v>435</c:v>
                </c:pt>
                <c:pt idx="9">
                  <c:v>427.6</c:v>
                </c:pt>
                <c:pt idx="10">
                  <c:v>399.35</c:v>
                </c:pt>
                <c:pt idx="11">
                  <c:v>385</c:v>
                </c:pt>
                <c:pt idx="12">
                  <c:v>385.7</c:v>
                </c:pt>
                <c:pt idx="13">
                  <c:v>402.4</c:v>
                </c:pt>
                <c:pt idx="14">
                  <c:v>394.95</c:v>
                </c:pt>
                <c:pt idx="15">
                  <c:v>375.5</c:v>
                </c:pt>
                <c:pt idx="16">
                  <c:v>377.55</c:v>
                </c:pt>
                <c:pt idx="17">
                  <c:v>378</c:v>
                </c:pt>
                <c:pt idx="18">
                  <c:v>374.1</c:v>
                </c:pt>
                <c:pt idx="19">
                  <c:v>365.95</c:v>
                </c:pt>
                <c:pt idx="20">
                  <c:v>366.3</c:v>
                </c:pt>
                <c:pt idx="21">
                  <c:v>345.25</c:v>
                </c:pt>
                <c:pt idx="22">
                  <c:v>366.1</c:v>
                </c:pt>
                <c:pt idx="23">
                  <c:v>364.8</c:v>
                </c:pt>
                <c:pt idx="24">
                  <c:v>393.1</c:v>
                </c:pt>
                <c:pt idx="25">
                  <c:v>379.55</c:v>
                </c:pt>
                <c:pt idx="26">
                  <c:v>380.55</c:v>
                </c:pt>
                <c:pt idx="27">
                  <c:v>381.95</c:v>
                </c:pt>
                <c:pt idx="28">
                  <c:v>384.5</c:v>
                </c:pt>
                <c:pt idx="29">
                  <c:v>390.1</c:v>
                </c:pt>
                <c:pt idx="30">
                  <c:v>387</c:v>
                </c:pt>
                <c:pt idx="31">
                  <c:v>388.4</c:v>
                </c:pt>
                <c:pt idx="32">
                  <c:v>393.2</c:v>
                </c:pt>
                <c:pt idx="33">
                  <c:v>404.9</c:v>
                </c:pt>
                <c:pt idx="34">
                  <c:v>396.85</c:v>
                </c:pt>
                <c:pt idx="35">
                  <c:v>397.8</c:v>
                </c:pt>
                <c:pt idx="36">
                  <c:v>390.1</c:v>
                </c:pt>
                <c:pt idx="37">
                  <c:v>394.9</c:v>
                </c:pt>
                <c:pt idx="38">
                  <c:v>383.8</c:v>
                </c:pt>
                <c:pt idx="39">
                  <c:v>396.3</c:v>
                </c:pt>
                <c:pt idx="40">
                  <c:v>386.25</c:v>
                </c:pt>
                <c:pt idx="41">
                  <c:v>385.8</c:v>
                </c:pt>
                <c:pt idx="42">
                  <c:v>374.15</c:v>
                </c:pt>
                <c:pt idx="43">
                  <c:v>385.6</c:v>
                </c:pt>
                <c:pt idx="44">
                  <c:v>385.3</c:v>
                </c:pt>
                <c:pt idx="45">
                  <c:v>378.8</c:v>
                </c:pt>
                <c:pt idx="46">
                  <c:v>389.3</c:v>
                </c:pt>
                <c:pt idx="47">
                  <c:v>395.35</c:v>
                </c:pt>
                <c:pt idx="48">
                  <c:v>407.9</c:v>
                </c:pt>
                <c:pt idx="49">
                  <c:v>396.85</c:v>
                </c:pt>
                <c:pt idx="50">
                  <c:v>401</c:v>
                </c:pt>
                <c:pt idx="51">
                  <c:v>408.85</c:v>
                </c:pt>
                <c:pt idx="52">
                  <c:v>390.1</c:v>
                </c:pt>
                <c:pt idx="53">
                  <c:v>397.2</c:v>
                </c:pt>
                <c:pt idx="54">
                  <c:v>399.55</c:v>
                </c:pt>
                <c:pt idx="55">
                  <c:v>392.8</c:v>
                </c:pt>
                <c:pt idx="56">
                  <c:v>402.05</c:v>
                </c:pt>
                <c:pt idx="57">
                  <c:v>405.8</c:v>
                </c:pt>
                <c:pt idx="58">
                  <c:v>371</c:v>
                </c:pt>
                <c:pt idx="59">
                  <c:v>381.75</c:v>
                </c:pt>
                <c:pt idx="60">
                  <c:v>387.6</c:v>
                </c:pt>
                <c:pt idx="61">
                  <c:v>381.7</c:v>
                </c:pt>
                <c:pt idx="62">
                  <c:v>364.45</c:v>
                </c:pt>
                <c:pt idx="63">
                  <c:v>368.95</c:v>
                </c:pt>
                <c:pt idx="64">
                  <c:v>375.4</c:v>
                </c:pt>
                <c:pt idx="65">
                  <c:v>379.5</c:v>
                </c:pt>
                <c:pt idx="66">
                  <c:v>350.75</c:v>
                </c:pt>
                <c:pt idx="67">
                  <c:v>351.45</c:v>
                </c:pt>
                <c:pt idx="68">
                  <c:v>339.2</c:v>
                </c:pt>
                <c:pt idx="69">
                  <c:v>357.2</c:v>
                </c:pt>
                <c:pt idx="70">
                  <c:v>337.15</c:v>
                </c:pt>
                <c:pt idx="71">
                  <c:v>367.1</c:v>
                </c:pt>
                <c:pt idx="72">
                  <c:v>364.5</c:v>
                </c:pt>
                <c:pt idx="73">
                  <c:v>363.4</c:v>
                </c:pt>
                <c:pt idx="74">
                  <c:v>373.6</c:v>
                </c:pt>
                <c:pt idx="75">
                  <c:v>356.35</c:v>
                </c:pt>
                <c:pt idx="76">
                  <c:v>396.65</c:v>
                </c:pt>
                <c:pt idx="77">
                  <c:v>399</c:v>
                </c:pt>
                <c:pt idx="78">
                  <c:v>401.1</c:v>
                </c:pt>
                <c:pt idx="79">
                  <c:v>428.45</c:v>
                </c:pt>
                <c:pt idx="80">
                  <c:v>439.7</c:v>
                </c:pt>
                <c:pt idx="81">
                  <c:v>414.15</c:v>
                </c:pt>
                <c:pt idx="82">
                  <c:v>413.75</c:v>
                </c:pt>
                <c:pt idx="83">
                  <c:v>404.65</c:v>
                </c:pt>
                <c:pt idx="84">
                  <c:v>432.75</c:v>
                </c:pt>
                <c:pt idx="85">
                  <c:v>445.45</c:v>
                </c:pt>
                <c:pt idx="86">
                  <c:v>422.1</c:v>
                </c:pt>
                <c:pt idx="87">
                  <c:v>453.55</c:v>
                </c:pt>
                <c:pt idx="88">
                  <c:v>461.15</c:v>
                </c:pt>
                <c:pt idx="89">
                  <c:v>466.65</c:v>
                </c:pt>
                <c:pt idx="90">
                  <c:v>485.5</c:v>
                </c:pt>
                <c:pt idx="91">
                  <c:v>444.15</c:v>
                </c:pt>
                <c:pt idx="92">
                  <c:v>441.8</c:v>
                </c:pt>
                <c:pt idx="93">
                  <c:v>417</c:v>
                </c:pt>
                <c:pt idx="94">
                  <c:v>434.65</c:v>
                </c:pt>
                <c:pt idx="95">
                  <c:v>417.95</c:v>
                </c:pt>
                <c:pt idx="96">
                  <c:v>413.65</c:v>
                </c:pt>
                <c:pt idx="97">
                  <c:v>417.75</c:v>
                </c:pt>
                <c:pt idx="98">
                  <c:v>460.35</c:v>
                </c:pt>
                <c:pt idx="99">
                  <c:v>444.7</c:v>
                </c:pt>
                <c:pt idx="100">
                  <c:v>414.15</c:v>
                </c:pt>
                <c:pt idx="101">
                  <c:v>434.05</c:v>
                </c:pt>
                <c:pt idx="102">
                  <c:v>439.95</c:v>
                </c:pt>
                <c:pt idx="103">
                  <c:v>440.6</c:v>
                </c:pt>
              </c:numCache>
            </c:numRef>
          </c:val>
          <c:smooth val="0"/>
          <c:extLst>
            <c:ext xmlns:c16="http://schemas.microsoft.com/office/drawing/2014/chart" uri="{C3380CC4-5D6E-409C-BE32-E72D297353CC}">
              <c16:uniqueId val="{00000000-408A-445D-A6F2-BAB90CBBF10D}"/>
            </c:ext>
          </c:extLst>
        </c:ser>
        <c:dLbls>
          <c:showLegendKey val="0"/>
          <c:showVal val="0"/>
          <c:showCatName val="0"/>
          <c:showSerName val="0"/>
          <c:showPercent val="0"/>
          <c:showBubbleSize val="0"/>
        </c:dLbls>
        <c:smooth val="0"/>
        <c:axId val="2017418272"/>
        <c:axId val="1970993088"/>
      </c:lineChart>
      <c:dateAx>
        <c:axId val="2017418272"/>
        <c:scaling>
          <c:orientation val="minMax"/>
        </c:scaling>
        <c:delete val="0"/>
        <c:axPos val="b"/>
        <c:numFmt formatCode="mm/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93088"/>
        <c:crosses val="autoZero"/>
        <c:auto val="1"/>
        <c:lblOffset val="100"/>
        <c:baseTimeUnit val="days"/>
        <c:majorUnit val="6"/>
        <c:majorTimeUnit val="months"/>
      </c:dateAx>
      <c:valAx>
        <c:axId val="1970993088"/>
        <c:scaling>
          <c:orientation val="minMax"/>
          <c:min val="30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1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'Beta Regression Historical Data'!$P$3</c:f>
              <c:strCache>
                <c:ptCount val="1"/>
                <c:pt idx="0">
                  <c:v>Volume</c:v>
                </c:pt>
              </c:strCache>
            </c:strRef>
          </c:tx>
          <c:spPr>
            <a:solidFill>
              <a:srgbClr val="002060"/>
            </a:solidFill>
            <a:ln w="25400" cap="flat" cmpd="sng" algn="ctr">
              <a:solidFill>
                <a:srgbClr val="00B0F0"/>
              </a:solidFill>
              <a:miter lim="800000"/>
            </a:ln>
            <a:effectLst/>
          </c:spPr>
          <c:invertIfNegative val="0"/>
          <c:dLbls>
            <c:delete val="1"/>
          </c:dLbls>
          <c:cat>
            <c:numRef>
              <c:f>'Beta Regression Historical Data'!$K$4:$K$107</c:f>
              <c:numCache>
                <c:formatCode>m/d/yyyy</c:formatCode>
                <c:ptCount val="104"/>
                <c:pt idx="0">
                  <c:v>46187</c:v>
                </c:pt>
                <c:pt idx="1">
                  <c:v>46180</c:v>
                </c:pt>
                <c:pt idx="2">
                  <c:v>46173</c:v>
                </c:pt>
                <c:pt idx="3">
                  <c:v>46166</c:v>
                </c:pt>
                <c:pt idx="4">
                  <c:v>46159</c:v>
                </c:pt>
                <c:pt idx="5">
                  <c:v>46152</c:v>
                </c:pt>
                <c:pt idx="6">
                  <c:v>46145</c:v>
                </c:pt>
                <c:pt idx="7">
                  <c:v>46138</c:v>
                </c:pt>
                <c:pt idx="8">
                  <c:v>46131</c:v>
                </c:pt>
                <c:pt idx="9">
                  <c:v>46124</c:v>
                </c:pt>
                <c:pt idx="10">
                  <c:v>46117</c:v>
                </c:pt>
                <c:pt idx="11">
                  <c:v>46110</c:v>
                </c:pt>
                <c:pt idx="12">
                  <c:v>46103</c:v>
                </c:pt>
                <c:pt idx="13">
                  <c:v>46096</c:v>
                </c:pt>
                <c:pt idx="14">
                  <c:v>46089</c:v>
                </c:pt>
                <c:pt idx="15">
                  <c:v>46082</c:v>
                </c:pt>
                <c:pt idx="16">
                  <c:v>46075</c:v>
                </c:pt>
                <c:pt idx="17">
                  <c:v>46068</c:v>
                </c:pt>
                <c:pt idx="18">
                  <c:v>46061</c:v>
                </c:pt>
                <c:pt idx="19">
                  <c:v>46054</c:v>
                </c:pt>
                <c:pt idx="20">
                  <c:v>46047</c:v>
                </c:pt>
                <c:pt idx="21">
                  <c:v>46040</c:v>
                </c:pt>
                <c:pt idx="22">
                  <c:v>46033</c:v>
                </c:pt>
                <c:pt idx="23">
                  <c:v>46026</c:v>
                </c:pt>
                <c:pt idx="24">
                  <c:v>46019</c:v>
                </c:pt>
                <c:pt idx="25">
                  <c:v>46012</c:v>
                </c:pt>
                <c:pt idx="26">
                  <c:v>46005</c:v>
                </c:pt>
                <c:pt idx="27">
                  <c:v>45998</c:v>
                </c:pt>
                <c:pt idx="28">
                  <c:v>45991</c:v>
                </c:pt>
                <c:pt idx="29">
                  <c:v>45984</c:v>
                </c:pt>
                <c:pt idx="30">
                  <c:v>45977</c:v>
                </c:pt>
                <c:pt idx="31">
                  <c:v>45970</c:v>
                </c:pt>
                <c:pt idx="32">
                  <c:v>45963</c:v>
                </c:pt>
                <c:pt idx="33">
                  <c:v>45956</c:v>
                </c:pt>
                <c:pt idx="34">
                  <c:v>45949</c:v>
                </c:pt>
                <c:pt idx="35">
                  <c:v>45942</c:v>
                </c:pt>
                <c:pt idx="36">
                  <c:v>45935</c:v>
                </c:pt>
                <c:pt idx="37">
                  <c:v>45928</c:v>
                </c:pt>
                <c:pt idx="38">
                  <c:v>45921</c:v>
                </c:pt>
                <c:pt idx="39">
                  <c:v>45914</c:v>
                </c:pt>
                <c:pt idx="40">
                  <c:v>45907</c:v>
                </c:pt>
                <c:pt idx="41">
                  <c:v>45900</c:v>
                </c:pt>
                <c:pt idx="42">
                  <c:v>45893</c:v>
                </c:pt>
                <c:pt idx="43">
                  <c:v>45886</c:v>
                </c:pt>
                <c:pt idx="44">
                  <c:v>45879</c:v>
                </c:pt>
                <c:pt idx="45">
                  <c:v>45872</c:v>
                </c:pt>
                <c:pt idx="46">
                  <c:v>45865</c:v>
                </c:pt>
                <c:pt idx="47">
                  <c:v>45858</c:v>
                </c:pt>
                <c:pt idx="48">
                  <c:v>45851</c:v>
                </c:pt>
                <c:pt idx="49">
                  <c:v>45844</c:v>
                </c:pt>
                <c:pt idx="50">
                  <c:v>45837</c:v>
                </c:pt>
                <c:pt idx="51">
                  <c:v>45830</c:v>
                </c:pt>
                <c:pt idx="52">
                  <c:v>45823</c:v>
                </c:pt>
                <c:pt idx="53">
                  <c:v>45816</c:v>
                </c:pt>
                <c:pt idx="54">
                  <c:v>45809</c:v>
                </c:pt>
                <c:pt idx="55">
                  <c:v>45802</c:v>
                </c:pt>
                <c:pt idx="56">
                  <c:v>45795</c:v>
                </c:pt>
                <c:pt idx="57">
                  <c:v>45788</c:v>
                </c:pt>
                <c:pt idx="58">
                  <c:v>45781</c:v>
                </c:pt>
                <c:pt idx="59">
                  <c:v>45774</c:v>
                </c:pt>
                <c:pt idx="60">
                  <c:v>45767</c:v>
                </c:pt>
                <c:pt idx="61">
                  <c:v>45760</c:v>
                </c:pt>
                <c:pt idx="62">
                  <c:v>45753</c:v>
                </c:pt>
                <c:pt idx="63">
                  <c:v>45746</c:v>
                </c:pt>
                <c:pt idx="64">
                  <c:v>45739</c:v>
                </c:pt>
                <c:pt idx="65">
                  <c:v>45732</c:v>
                </c:pt>
                <c:pt idx="66">
                  <c:v>45725</c:v>
                </c:pt>
                <c:pt idx="67">
                  <c:v>45718</c:v>
                </c:pt>
                <c:pt idx="68">
                  <c:v>45711</c:v>
                </c:pt>
                <c:pt idx="69">
                  <c:v>45704</c:v>
                </c:pt>
                <c:pt idx="70">
                  <c:v>45697</c:v>
                </c:pt>
                <c:pt idx="71">
                  <c:v>45690</c:v>
                </c:pt>
                <c:pt idx="72">
                  <c:v>45683</c:v>
                </c:pt>
                <c:pt idx="73">
                  <c:v>45676</c:v>
                </c:pt>
                <c:pt idx="74">
                  <c:v>45669</c:v>
                </c:pt>
                <c:pt idx="75">
                  <c:v>45662</c:v>
                </c:pt>
                <c:pt idx="76">
                  <c:v>45655</c:v>
                </c:pt>
                <c:pt idx="77">
                  <c:v>45648</c:v>
                </c:pt>
                <c:pt idx="78">
                  <c:v>45641</c:v>
                </c:pt>
                <c:pt idx="79">
                  <c:v>45634</c:v>
                </c:pt>
                <c:pt idx="80">
                  <c:v>45627</c:v>
                </c:pt>
                <c:pt idx="81">
                  <c:v>45620</c:v>
                </c:pt>
                <c:pt idx="82">
                  <c:v>45613</c:v>
                </c:pt>
                <c:pt idx="83">
                  <c:v>45606</c:v>
                </c:pt>
                <c:pt idx="84">
                  <c:v>45599</c:v>
                </c:pt>
                <c:pt idx="85">
                  <c:v>45592</c:v>
                </c:pt>
                <c:pt idx="86">
                  <c:v>45585</c:v>
                </c:pt>
                <c:pt idx="87">
                  <c:v>45578</c:v>
                </c:pt>
                <c:pt idx="88">
                  <c:v>45571</c:v>
                </c:pt>
                <c:pt idx="89">
                  <c:v>45564</c:v>
                </c:pt>
                <c:pt idx="90">
                  <c:v>45557</c:v>
                </c:pt>
                <c:pt idx="91">
                  <c:v>45550</c:v>
                </c:pt>
                <c:pt idx="92">
                  <c:v>45543</c:v>
                </c:pt>
                <c:pt idx="93">
                  <c:v>45536</c:v>
                </c:pt>
                <c:pt idx="94">
                  <c:v>45529</c:v>
                </c:pt>
                <c:pt idx="95">
                  <c:v>45522</c:v>
                </c:pt>
                <c:pt idx="96">
                  <c:v>45515</c:v>
                </c:pt>
                <c:pt idx="97">
                  <c:v>45508</c:v>
                </c:pt>
                <c:pt idx="98">
                  <c:v>45501</c:v>
                </c:pt>
                <c:pt idx="99">
                  <c:v>45494</c:v>
                </c:pt>
                <c:pt idx="100">
                  <c:v>45487</c:v>
                </c:pt>
                <c:pt idx="101">
                  <c:v>45480</c:v>
                </c:pt>
                <c:pt idx="102">
                  <c:v>45473</c:v>
                </c:pt>
                <c:pt idx="103">
                  <c:v>45466</c:v>
                </c:pt>
              </c:numCache>
            </c:numRef>
          </c:cat>
          <c:val>
            <c:numRef>
              <c:f>'Beta Regression Historical Data'!$P$4:$P$107</c:f>
              <c:numCache>
                <c:formatCode>General</c:formatCode>
                <c:ptCount val="104"/>
                <c:pt idx="0">
                  <c:v>32.799999999999997</c:v>
                </c:pt>
                <c:pt idx="1">
                  <c:v>23.94</c:v>
                </c:pt>
                <c:pt idx="2">
                  <c:v>20.9</c:v>
                </c:pt>
                <c:pt idx="3">
                  <c:v>27.34</c:v>
                </c:pt>
                <c:pt idx="4">
                  <c:v>27.27</c:v>
                </c:pt>
                <c:pt idx="5">
                  <c:v>42.08</c:v>
                </c:pt>
                <c:pt idx="6">
                  <c:v>25.5</c:v>
                </c:pt>
                <c:pt idx="7">
                  <c:v>46.09</c:v>
                </c:pt>
                <c:pt idx="8">
                  <c:v>42.75</c:v>
                </c:pt>
                <c:pt idx="9">
                  <c:v>59.7</c:v>
                </c:pt>
                <c:pt idx="10">
                  <c:v>33.04</c:v>
                </c:pt>
                <c:pt idx="11">
                  <c:v>25.05</c:v>
                </c:pt>
                <c:pt idx="12">
                  <c:v>41.8</c:v>
                </c:pt>
                <c:pt idx="13">
                  <c:v>60.74</c:v>
                </c:pt>
                <c:pt idx="14">
                  <c:v>56.5</c:v>
                </c:pt>
                <c:pt idx="15">
                  <c:v>21.08</c:v>
                </c:pt>
                <c:pt idx="16">
                  <c:v>15.75</c:v>
                </c:pt>
                <c:pt idx="17">
                  <c:v>15.88</c:v>
                </c:pt>
                <c:pt idx="18">
                  <c:v>18.7</c:v>
                </c:pt>
                <c:pt idx="19">
                  <c:v>22.76</c:v>
                </c:pt>
                <c:pt idx="20">
                  <c:v>21.13</c:v>
                </c:pt>
                <c:pt idx="21">
                  <c:v>16.05</c:v>
                </c:pt>
                <c:pt idx="22">
                  <c:v>15.64</c:v>
                </c:pt>
                <c:pt idx="23">
                  <c:v>21.46</c:v>
                </c:pt>
                <c:pt idx="24">
                  <c:v>20.97</c:v>
                </c:pt>
                <c:pt idx="25">
                  <c:v>13.29</c:v>
                </c:pt>
                <c:pt idx="26">
                  <c:v>15.42</c:v>
                </c:pt>
                <c:pt idx="27">
                  <c:v>25.51</c:v>
                </c:pt>
                <c:pt idx="28">
                  <c:v>19.73</c:v>
                </c:pt>
                <c:pt idx="29">
                  <c:v>26.15</c:v>
                </c:pt>
                <c:pt idx="30">
                  <c:v>21.96</c:v>
                </c:pt>
                <c:pt idx="31">
                  <c:v>24.91</c:v>
                </c:pt>
                <c:pt idx="32">
                  <c:v>20</c:v>
                </c:pt>
                <c:pt idx="33">
                  <c:v>26.55</c:v>
                </c:pt>
                <c:pt idx="34">
                  <c:v>15.11</c:v>
                </c:pt>
                <c:pt idx="35">
                  <c:v>24.54</c:v>
                </c:pt>
                <c:pt idx="36">
                  <c:v>27.89</c:v>
                </c:pt>
                <c:pt idx="37">
                  <c:v>13.68</c:v>
                </c:pt>
                <c:pt idx="38">
                  <c:v>17.12</c:v>
                </c:pt>
                <c:pt idx="39">
                  <c:v>27.58</c:v>
                </c:pt>
                <c:pt idx="40">
                  <c:v>16.829999999999998</c:v>
                </c:pt>
                <c:pt idx="41">
                  <c:v>15.63</c:v>
                </c:pt>
                <c:pt idx="42">
                  <c:v>21.28</c:v>
                </c:pt>
                <c:pt idx="43">
                  <c:v>14.4</c:v>
                </c:pt>
                <c:pt idx="44">
                  <c:v>12.32</c:v>
                </c:pt>
                <c:pt idx="45">
                  <c:v>34.56</c:v>
                </c:pt>
                <c:pt idx="46">
                  <c:v>27.79</c:v>
                </c:pt>
                <c:pt idx="47">
                  <c:v>24.66</c:v>
                </c:pt>
                <c:pt idx="48">
                  <c:v>32.82</c:v>
                </c:pt>
                <c:pt idx="49">
                  <c:v>27.28</c:v>
                </c:pt>
                <c:pt idx="50">
                  <c:v>23.8</c:v>
                </c:pt>
                <c:pt idx="51">
                  <c:v>28.13</c:v>
                </c:pt>
                <c:pt idx="52">
                  <c:v>29.58</c:v>
                </c:pt>
                <c:pt idx="53">
                  <c:v>32.94</c:v>
                </c:pt>
                <c:pt idx="54">
                  <c:v>27.3</c:v>
                </c:pt>
                <c:pt idx="55">
                  <c:v>25.4</c:v>
                </c:pt>
                <c:pt idx="56">
                  <c:v>26.85</c:v>
                </c:pt>
                <c:pt idx="57">
                  <c:v>55.6</c:v>
                </c:pt>
                <c:pt idx="58">
                  <c:v>31.61</c:v>
                </c:pt>
                <c:pt idx="59">
                  <c:v>30.36</c:v>
                </c:pt>
                <c:pt idx="60">
                  <c:v>43.09</c:v>
                </c:pt>
                <c:pt idx="61">
                  <c:v>19.260000000000002</c:v>
                </c:pt>
                <c:pt idx="62">
                  <c:v>25.75</c:v>
                </c:pt>
                <c:pt idx="63">
                  <c:v>20.89</c:v>
                </c:pt>
                <c:pt idx="64">
                  <c:v>33.03</c:v>
                </c:pt>
                <c:pt idx="65">
                  <c:v>31.21</c:v>
                </c:pt>
                <c:pt idx="66">
                  <c:v>26.55</c:v>
                </c:pt>
                <c:pt idx="67">
                  <c:v>31.4</c:v>
                </c:pt>
                <c:pt idx="68">
                  <c:v>22.63</c:v>
                </c:pt>
                <c:pt idx="69">
                  <c:v>36.06</c:v>
                </c:pt>
                <c:pt idx="70">
                  <c:v>31.97</c:v>
                </c:pt>
                <c:pt idx="71">
                  <c:v>59.95</c:v>
                </c:pt>
                <c:pt idx="72">
                  <c:v>36.79</c:v>
                </c:pt>
                <c:pt idx="73">
                  <c:v>27.32</c:v>
                </c:pt>
                <c:pt idx="74">
                  <c:v>45.52</c:v>
                </c:pt>
                <c:pt idx="75">
                  <c:v>43.16</c:v>
                </c:pt>
                <c:pt idx="76">
                  <c:v>62.61</c:v>
                </c:pt>
                <c:pt idx="77">
                  <c:v>30.42</c:v>
                </c:pt>
                <c:pt idx="78">
                  <c:v>34.46</c:v>
                </c:pt>
                <c:pt idx="79">
                  <c:v>43.17</c:v>
                </c:pt>
                <c:pt idx="80">
                  <c:v>56.89</c:v>
                </c:pt>
                <c:pt idx="81">
                  <c:v>53.72</c:v>
                </c:pt>
                <c:pt idx="82">
                  <c:v>44.1</c:v>
                </c:pt>
                <c:pt idx="83">
                  <c:v>43.71</c:v>
                </c:pt>
                <c:pt idx="84">
                  <c:v>53.94</c:v>
                </c:pt>
                <c:pt idx="85">
                  <c:v>62.09</c:v>
                </c:pt>
                <c:pt idx="86">
                  <c:v>62.48</c:v>
                </c:pt>
                <c:pt idx="87">
                  <c:v>50.37</c:v>
                </c:pt>
                <c:pt idx="88">
                  <c:v>85.45</c:v>
                </c:pt>
                <c:pt idx="89">
                  <c:v>59.21</c:v>
                </c:pt>
                <c:pt idx="90">
                  <c:v>134.88999999999999</c:v>
                </c:pt>
                <c:pt idx="91">
                  <c:v>51.17</c:v>
                </c:pt>
                <c:pt idx="92">
                  <c:v>88.56</c:v>
                </c:pt>
                <c:pt idx="93">
                  <c:v>52.28</c:v>
                </c:pt>
                <c:pt idx="94">
                  <c:v>59.71</c:v>
                </c:pt>
                <c:pt idx="95">
                  <c:v>36.89</c:v>
                </c:pt>
                <c:pt idx="96">
                  <c:v>48.05</c:v>
                </c:pt>
                <c:pt idx="97">
                  <c:v>114.9</c:v>
                </c:pt>
                <c:pt idx="98">
                  <c:v>107.76</c:v>
                </c:pt>
                <c:pt idx="99">
                  <c:v>82.64</c:v>
                </c:pt>
                <c:pt idx="100">
                  <c:v>45.94</c:v>
                </c:pt>
                <c:pt idx="101">
                  <c:v>39.36</c:v>
                </c:pt>
                <c:pt idx="102">
                  <c:v>44.13</c:v>
                </c:pt>
                <c:pt idx="103">
                  <c:v>54.4</c:v>
                </c:pt>
              </c:numCache>
            </c:numRef>
          </c:val>
          <c:extLst>
            <c:ext xmlns:c16="http://schemas.microsoft.com/office/drawing/2014/chart" uri="{C3380CC4-5D6E-409C-BE32-E72D297353CC}">
              <c16:uniqueId val="{00000000-2661-4FED-9478-3DF2BB3264BA}"/>
            </c:ext>
          </c:extLst>
        </c:ser>
        <c:dLbls>
          <c:dLblPos val="inEnd"/>
          <c:showLegendKey val="0"/>
          <c:showVal val="1"/>
          <c:showCatName val="0"/>
          <c:showSerName val="0"/>
          <c:showPercent val="0"/>
          <c:showBubbleSize val="0"/>
        </c:dLbls>
        <c:gapWidth val="164"/>
        <c:overlap val="-35"/>
        <c:axId val="278825056"/>
        <c:axId val="285734208"/>
      </c:barChart>
      <c:dateAx>
        <c:axId val="278825056"/>
        <c:scaling>
          <c:orientation val="minMax"/>
        </c:scaling>
        <c:delete val="0"/>
        <c:axPos val="b"/>
        <c:numFmt formatCode="mm/yyyy"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5734208"/>
        <c:crosses val="autoZero"/>
        <c:auto val="1"/>
        <c:lblOffset val="100"/>
        <c:baseTimeUnit val="days"/>
        <c:majorUnit val="6"/>
        <c:majorTimeUnit val="months"/>
        <c:minorUnit val="6"/>
        <c:minorTimeUnit val="months"/>
      </c:dateAx>
      <c:valAx>
        <c:axId val="28573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7882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22014512681539"/>
          <c:y val="6.7551688888931871E-2"/>
          <c:w val="0.71014128286087119"/>
          <c:h val="0.86489662222213626"/>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'Company Profile'!$R$37:$R$42</c:f>
              <c:strCache>
                <c:ptCount val="5"/>
                <c:pt idx="0">
                  <c:v>Promoters</c:v>
                </c:pt>
                <c:pt idx="1">
                  <c:v>FIIs</c:v>
                </c:pt>
                <c:pt idx="2">
                  <c:v>DIIs</c:v>
                </c:pt>
                <c:pt idx="3">
                  <c:v>Government</c:v>
                </c:pt>
                <c:pt idx="4">
                  <c:v>Public</c:v>
                </c:pt>
              </c:strCache>
            </c:strRef>
          </c:cat>
          <c:val>
            <c:numRef>
              <c:f>'Company Profile'!$S$37:$S$41</c:f>
              <c:numCache>
                <c:formatCode>General</c:formatCode>
                <c:ptCount val="5"/>
              </c:numCache>
            </c:numRef>
          </c:val>
          <c:extLst>
            <c:ext xmlns:c16="http://schemas.microsoft.com/office/drawing/2014/chart" uri="{C3380CC4-5D6E-409C-BE32-E72D297353CC}">
              <c16:uniqueId val="{00000000-A46B-44F2-8E63-3B01BB923F37}"/>
            </c:ext>
          </c:extLst>
        </c:ser>
        <c:ser>
          <c:idx val="1"/>
          <c:order val="1"/>
          <c:spPr>
            <a:solidFill>
              <a:srgbClr val="00B0F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3-A46B-44F2-8E63-3B01BB923F37}"/>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2-A46B-44F2-8E63-3B01BB923F37}"/>
              </c:ext>
            </c:extLst>
          </c:dPt>
          <c:dLbls>
            <c:dLbl>
              <c:idx val="0"/>
              <c:layout>
                <c:manualLayout>
                  <c:x val="-0.14090027624814783"/>
                  <c:y val="-9.89523443869236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6B-44F2-8E63-3B01BB923F3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'Company Profile'!$R$37:$R$42</c:f>
              <c:strCache>
                <c:ptCount val="5"/>
                <c:pt idx="0">
                  <c:v>Promoters</c:v>
                </c:pt>
                <c:pt idx="1">
                  <c:v>FIIs</c:v>
                </c:pt>
                <c:pt idx="2">
                  <c:v>DIIs</c:v>
                </c:pt>
                <c:pt idx="3">
                  <c:v>Government</c:v>
                </c:pt>
                <c:pt idx="4">
                  <c:v>Public</c:v>
                </c:pt>
              </c:strCache>
            </c:strRef>
          </c:cat>
          <c:val>
            <c:numRef>
              <c:f>'Company Profile'!$T$37:$T$41</c:f>
              <c:numCache>
                <c:formatCode>0.00%</c:formatCode>
                <c:ptCount val="5"/>
                <c:pt idx="0">
                  <c:v>0.46860000000000002</c:v>
                </c:pt>
                <c:pt idx="1">
                  <c:v>0.1004</c:v>
                </c:pt>
                <c:pt idx="2">
                  <c:v>0.17979999999999999</c:v>
                </c:pt>
                <c:pt idx="3">
                  <c:v>3.0999999999999999E-3</c:v>
                </c:pt>
                <c:pt idx="4">
                  <c:v>0.24809999999999999</c:v>
                </c:pt>
              </c:numCache>
            </c:numRef>
          </c:val>
          <c:extLst>
            <c:ext xmlns:c16="http://schemas.microsoft.com/office/drawing/2014/chart" uri="{C3380CC4-5D6E-409C-BE32-E72D297353CC}">
              <c16:uniqueId val="{00000001-A46B-44F2-8E63-3B01BB923F37}"/>
            </c:ext>
          </c:extLst>
        </c:ser>
        <c:dLbls>
          <c:dLblPos val="outEnd"/>
          <c:showLegendKey val="0"/>
          <c:showVal val="1"/>
          <c:showCatName val="0"/>
          <c:showSerName val="0"/>
          <c:showPercent val="0"/>
          <c:showBubbleSize val="0"/>
        </c:dLbls>
        <c:gapWidth val="182"/>
        <c:axId val="1982638016"/>
        <c:axId val="1971016608"/>
      </c:barChart>
      <c:catAx>
        <c:axId val="1982638016"/>
        <c:scaling>
          <c:orientation val="minMax"/>
        </c:scaling>
        <c:delete val="0"/>
        <c:axPos val="l"/>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16608"/>
        <c:crosses val="autoZero"/>
        <c:auto val="0"/>
        <c:lblAlgn val="ctr"/>
        <c:lblOffset val="1"/>
        <c:tickLblSkip val="1"/>
        <c:noMultiLvlLbl val="0"/>
      </c:catAx>
      <c:valAx>
        <c:axId val="1971016608"/>
        <c:scaling>
          <c:orientation val="minMax"/>
        </c:scaling>
        <c:delete val="1"/>
        <c:axPos val="b"/>
        <c:numFmt formatCode="General" sourceLinked="1"/>
        <c:majorTickMark val="none"/>
        <c:minorTickMark val="none"/>
        <c:tickLblPos val="nextTo"/>
        <c:crossAx val="198263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'Company Profile'!$W$53</c:f>
              <c:strCache>
                <c:ptCount val="1"/>
                <c:pt idx="0">
                  <c:v>Mar-24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'Company Profile'!$V$54:$V$58</c:f>
              <c:strCache>
                <c:ptCount val="5"/>
                <c:pt idx="0">
                  <c:v>Thermal Power (Coal &amp; Gas)</c:v>
                </c:pt>
                <c:pt idx="1">
                  <c:v>Solar Energy</c:v>
                </c:pt>
                <c:pt idx="2">
                  <c:v>Wind Energy</c:v>
                </c:pt>
                <c:pt idx="3">
                  <c:v>Hydroelectric Power</c:v>
                </c:pt>
                <c:pt idx="4">
                  <c:v>Waste Heat / Others</c:v>
                </c:pt>
              </c:strCache>
            </c:strRef>
          </c:cat>
          <c:val>
            <c:numRef>
              <c:f>'Company Profile'!$W$54:$W$58</c:f>
              <c:numCache>
                <c:formatCode>0.00%</c:formatCode>
                <c:ptCount val="5"/>
                <c:pt idx="0">
                  <c:v>0.61</c:v>
                </c:pt>
                <c:pt idx="1">
                  <c:v>0.23</c:v>
                </c:pt>
                <c:pt idx="2">
                  <c:v>7.4999999999999997E-2</c:v>
                </c:pt>
                <c:pt idx="3">
                  <c:v>0.06</c:v>
                </c:pt>
                <c:pt idx="4">
                  <c:v>2.5000000000000001E-2</c:v>
                </c:pt>
              </c:numCache>
            </c:numRef>
          </c:val>
          <c:extLst>
            <c:ext xmlns:c16="http://schemas.microsoft.com/office/drawing/2014/chart" uri="{C3380CC4-5D6E-409C-BE32-E72D297353CC}">
              <c16:uniqueId val="{00000000-D950-4F6D-8274-7A6EAEFD2943}"/>
            </c:ext>
          </c:extLst>
        </c:ser>
        <c:ser>
          <c:idx val="1"/>
          <c:order val="1"/>
          <c:tx>
            <c:strRef>
              <c:f>'Company Profile'!$X$53</c:f>
              <c:strCache>
                <c:ptCount val="1"/>
                <c:pt idx="0">
                  <c:v>Mar-25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'Company Profile'!$V$54:$V$58</c:f>
              <c:strCache>
                <c:ptCount val="5"/>
                <c:pt idx="0">
                  <c:v>Thermal Power (Coal &amp; Gas)</c:v>
                </c:pt>
                <c:pt idx="1">
                  <c:v>Solar Energy</c:v>
                </c:pt>
                <c:pt idx="2">
                  <c:v>Wind Energy</c:v>
                </c:pt>
                <c:pt idx="3">
                  <c:v>Hydroelectric Power</c:v>
                </c:pt>
                <c:pt idx="4">
                  <c:v>Waste Heat / Others</c:v>
                </c:pt>
              </c:strCache>
            </c:strRef>
          </c:cat>
          <c:val>
            <c:numRef>
              <c:f>'Company Profile'!$X$54:$X$58</c:f>
              <c:numCache>
                <c:formatCode>0.00%</c:formatCode>
                <c:ptCount val="5"/>
                <c:pt idx="0">
                  <c:v>0.56000000000000005</c:v>
                </c:pt>
                <c:pt idx="1">
                  <c:v>0.26</c:v>
                </c:pt>
                <c:pt idx="2">
                  <c:v>0.09</c:v>
                </c:pt>
                <c:pt idx="3">
                  <c:v>0.06</c:v>
                </c:pt>
                <c:pt idx="4">
                  <c:v>0.03</c:v>
                </c:pt>
              </c:numCache>
            </c:numRef>
          </c:val>
          <c:extLst>
            <c:ext xmlns:c16="http://schemas.microsoft.com/office/drawing/2014/chart" uri="{C3380CC4-5D6E-409C-BE32-E72D297353CC}">
              <c16:uniqueId val="{00000001-D950-4F6D-8274-7A6EAEFD2943}"/>
            </c:ext>
          </c:extLst>
        </c:ser>
        <c:ser>
          <c:idx val="2"/>
          <c:order val="2"/>
          <c:tx>
            <c:strRef>
              <c:f>'Company Profile'!$Y$53</c:f>
              <c:strCache>
                <c:ptCount val="1"/>
                <c:pt idx="0">
                  <c:v>Mar-26</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'Company Profile'!$V$54:$V$58</c:f>
              <c:strCache>
                <c:ptCount val="5"/>
                <c:pt idx="0">
                  <c:v>Thermal Power (Coal &amp; Gas)</c:v>
                </c:pt>
                <c:pt idx="1">
                  <c:v>Solar Energy</c:v>
                </c:pt>
                <c:pt idx="2">
                  <c:v>Wind Energy</c:v>
                </c:pt>
                <c:pt idx="3">
                  <c:v>Hydroelectric Power</c:v>
                </c:pt>
                <c:pt idx="4">
                  <c:v>Waste Heat / Others</c:v>
                </c:pt>
              </c:strCache>
            </c:strRef>
          </c:cat>
          <c:val>
            <c:numRef>
              <c:f>'Company Profile'!$Y$54:$Y$58</c:f>
              <c:numCache>
                <c:formatCode>0.00%</c:formatCode>
                <c:ptCount val="5"/>
                <c:pt idx="0">
                  <c:v>0.53</c:v>
                </c:pt>
                <c:pt idx="1">
                  <c:v>0.28999999999999998</c:v>
                </c:pt>
                <c:pt idx="2">
                  <c:v>9.5000000000000001E-2</c:v>
                </c:pt>
                <c:pt idx="3">
                  <c:v>5.5E-2</c:v>
                </c:pt>
                <c:pt idx="4">
                  <c:v>0.03</c:v>
                </c:pt>
              </c:numCache>
            </c:numRef>
          </c:val>
          <c:extLst>
            <c:ext xmlns:c16="http://schemas.microsoft.com/office/drawing/2014/chart" uri="{C3380CC4-5D6E-409C-BE32-E72D297353CC}">
              <c16:uniqueId val="{00000002-D950-4F6D-8274-7A6EAEFD2943}"/>
            </c:ext>
          </c:extLst>
        </c:ser>
        <c:dLbls>
          <c:dLblPos val="outEnd"/>
          <c:showLegendKey val="0"/>
          <c:showVal val="1"/>
          <c:showCatName val="0"/>
          <c:showSerName val="0"/>
          <c:showPercent val="0"/>
          <c:showBubbleSize val="0"/>
        </c:dLbls>
        <c:gapWidth val="182"/>
        <c:axId val="1026464383"/>
        <c:axId val="2057900031"/>
      </c:barChart>
      <c:catAx>
        <c:axId val="102646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900031"/>
        <c:crossesAt val="0"/>
        <c:auto val="1"/>
        <c:lblAlgn val="ctr"/>
        <c:lblOffset val="100"/>
        <c:noMultiLvlLbl val="0"/>
      </c:catAx>
      <c:valAx>
        <c:axId val="2057900031"/>
        <c:scaling>
          <c:logBase val="10"/>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464383"/>
        <c:crosses val="autoZero"/>
        <c:crossBetween val="between"/>
      </c:valAx>
      <c:spPr>
        <a:noFill/>
        <a:ln>
          <a:noFill/>
        </a:ln>
        <a:effectLst/>
      </c:spPr>
    </c:plotArea>
    <c:legend>
      <c:legendPos val="r"/>
      <c:layout>
        <c:manualLayout>
          <c:xMode val="edge"/>
          <c:yMode val="edge"/>
          <c:x val="0.77166840426611294"/>
          <c:y val="0.10792117457797493"/>
          <c:w val="0.20031923794623097"/>
          <c:h val="0.247148027346340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Monte Carlo 10000 Simulation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Monte Carlo 10000 Simulation </a:t>
          </a:r>
        </a:p>
      </cx:txPr>
    </cx:title>
    <cx:plotArea>
      <cx:plotAreaRegion>
        <cx:series layoutId="clusteredColumn" uniqueId="{63A025D2-1FAF-48D0-9A51-327610C9A327}">
          <cx:dataPt idx="13">
            <cx:spPr>
              <a:solidFill>
                <a:srgbClr val="DEF5FA">
                  <a:lumMod val="75000"/>
                </a:srgbClr>
              </a:solidFill>
              <a:ln>
                <a:solidFill>
                  <a:srgbClr val="DA1F28"/>
                </a:solidFill>
              </a:ln>
            </cx:spPr>
          </cx:dataPt>
          <cx:dataId val="0"/>
          <cx:layoutPr>
            <cx:binning intervalClosed="r"/>
          </cx:layoutPr>
        </cx:series>
      </cx:plotAreaRegion>
      <cx:axis id="0">
        <cx:catScaling gapWidth="0"/>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P/L (Historical)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P/L (Historical)</a:t>
          </a:r>
        </a:p>
      </cx:txPr>
      <cx:extLst>
        <cx:ext uri="ext:featex">
          <cx:featureExtension feature="mp" drop="onModelChange">
            <cx:offset top="-0.012255030684173107" left="0.049019027501344681"/>
          </cx:featureExtension>
        </cx:ext>
      </cx:extLst>
    </cx:title>
    <cx:plotArea>
      <cx:plotAreaRegion>
        <cx:series layoutId="clusteredColumn" uniqueId="{570BDA0C-4C4C-4647-AFD4-8EAFE8467CA9}">
          <cx:dataPt idx="1">
            <cx:spPr>
              <a:ln>
                <a:solidFill>
                  <a:srgbClr val="DA1F28"/>
                </a:solidFill>
              </a:ln>
            </cx:spPr>
          </cx:dataPt>
          <cx:dataId val="0"/>
          <cx:layoutPr>
            <cx:binning intervalClosed="r"/>
          </cx:layoutPr>
        </cx:series>
      </cx:plotAreaRegion>
      <cx:axis id="0">
        <cx:catScaling gapWidth="0"/>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image" Target="../media/image4.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4.png"/><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4.png"/><Relationship Id="rId5" Type="http://schemas.openxmlformats.org/officeDocument/2006/relationships/chart" Target="../charts/chart20.xml"/><Relationship Id="rId4"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69</xdr:row>
      <xdr:rowOff>0</xdr:rowOff>
    </xdr:from>
    <xdr:to>
      <xdr:col>7</xdr:col>
      <xdr:colOff>304800</xdr:colOff>
      <xdr:row>70</xdr:row>
      <xdr:rowOff>104775</xdr:rowOff>
    </xdr:to>
    <xdr:sp macro="" textlink="">
      <xdr:nvSpPr>
        <xdr:cNvPr id="11265" name="AutoShape 1" descr="Tata Power Logo PNG Vector (AI) Free Download">
          <a:extLst>
            <a:ext uri="{FF2B5EF4-FFF2-40B4-BE49-F238E27FC236}">
              <a16:creationId xmlns:a16="http://schemas.microsoft.com/office/drawing/2014/main" id="{34CDD0FC-E2AB-2811-B7F1-1E4523831B0C}"/>
            </a:ext>
          </a:extLst>
        </xdr:cNvPr>
        <xdr:cNvSpPr>
          <a:spLocks noChangeAspect="1" noChangeArrowheads="1"/>
        </xdr:cNvSpPr>
      </xdr:nvSpPr>
      <xdr:spPr bwMode="auto">
        <a:xfrm>
          <a:off x="6153150" y="1361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44824</xdr:colOff>
      <xdr:row>41</xdr:row>
      <xdr:rowOff>45942</xdr:rowOff>
    </xdr:from>
    <xdr:to>
      <xdr:col>28</xdr:col>
      <xdr:colOff>33617</xdr:colOff>
      <xdr:row>61</xdr:row>
      <xdr:rowOff>176893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7FF390A-3459-DC78-9EE4-1D74D5EF4F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913349" y="8104092"/>
              <a:ext cx="6570568" cy="39409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633132</xdr:colOff>
      <xdr:row>5</xdr:row>
      <xdr:rowOff>124385</xdr:rowOff>
    </xdr:from>
    <xdr:to>
      <xdr:col>27</xdr:col>
      <xdr:colOff>717176</xdr:colOff>
      <xdr:row>15</xdr:row>
      <xdr:rowOff>112059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1C0E28B-2E89-EA5C-E101-492C6B9499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501657" y="1172135"/>
              <a:ext cx="5865719" cy="18926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976276</xdr:colOff>
      <xdr:row>0</xdr:row>
      <xdr:rowOff>0</xdr:rowOff>
    </xdr:from>
    <xdr:to>
      <xdr:col>21</xdr:col>
      <xdr:colOff>66675</xdr:colOff>
      <xdr:row>19</xdr:row>
      <xdr:rowOff>138150</xdr:rowOff>
    </xdr:to>
    <xdr:pic>
      <xdr:nvPicPr>
        <xdr:cNvPr id="7" name="Picture 6">
          <a:extLst>
            <a:ext uri="{FF2B5EF4-FFF2-40B4-BE49-F238E27FC236}">
              <a16:creationId xmlns:a16="http://schemas.microsoft.com/office/drawing/2014/main" id="{88B75A2A-2167-89A7-9C73-AE49DDE3EF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43876" y="0"/>
          <a:ext cx="8205824" cy="3757650"/>
        </a:xfrm>
        <a:prstGeom prst="rect">
          <a:avLst/>
        </a:prstGeom>
      </xdr:spPr>
    </xdr:pic>
    <xdr:clientData/>
  </xdr:twoCellAnchor>
  <xdr:twoCellAnchor editAs="oneCell">
    <xdr:from>
      <xdr:col>1</xdr:col>
      <xdr:colOff>0</xdr:colOff>
      <xdr:row>0</xdr:row>
      <xdr:rowOff>0</xdr:rowOff>
    </xdr:from>
    <xdr:to>
      <xdr:col>8</xdr:col>
      <xdr:colOff>1122478</xdr:colOff>
      <xdr:row>19</xdr:row>
      <xdr:rowOff>142875</xdr:rowOff>
    </xdr:to>
    <xdr:pic>
      <xdr:nvPicPr>
        <xdr:cNvPr id="5" name="Picture 4">
          <a:extLst>
            <a:ext uri="{FF2B5EF4-FFF2-40B4-BE49-F238E27FC236}">
              <a16:creationId xmlns:a16="http://schemas.microsoft.com/office/drawing/2014/main" id="{BBFB26ED-EC33-2EC9-F692-194ECD0F7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8590078" cy="3762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33617</xdr:colOff>
      <xdr:row>38</xdr:row>
      <xdr:rowOff>190500</xdr:rowOff>
    </xdr:from>
    <xdr:to>
      <xdr:col>5</xdr:col>
      <xdr:colOff>156882</xdr:colOff>
      <xdr:row>48</xdr:row>
      <xdr:rowOff>179294</xdr:rowOff>
    </xdr:to>
    <xdr:graphicFrame macro="">
      <xdr:nvGraphicFramePr>
        <xdr:cNvPr id="2" name="Chart 1">
          <a:extLst>
            <a:ext uri="{FF2B5EF4-FFF2-40B4-BE49-F238E27FC236}">
              <a16:creationId xmlns:a16="http://schemas.microsoft.com/office/drawing/2014/main" id="{FD8C386A-FD69-4CDA-86B9-A52C77656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261937</xdr:colOff>
      <xdr:row>0</xdr:row>
      <xdr:rowOff>95250</xdr:rowOff>
    </xdr:from>
    <xdr:to>
      <xdr:col>8</xdr:col>
      <xdr:colOff>566737</xdr:colOff>
      <xdr:row>27</xdr:row>
      <xdr:rowOff>47626</xdr:rowOff>
    </xdr:to>
    <xdr:graphicFrame macro="">
      <xdr:nvGraphicFramePr>
        <xdr:cNvPr id="4" name="Chart 3">
          <a:extLst>
            <a:ext uri="{FF2B5EF4-FFF2-40B4-BE49-F238E27FC236}">
              <a16:creationId xmlns:a16="http://schemas.microsoft.com/office/drawing/2014/main" id="{A96EF142-E9DF-F9AD-E98D-2E36408E9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149679</xdr:colOff>
      <xdr:row>10</xdr:row>
      <xdr:rowOff>0</xdr:rowOff>
    </xdr:from>
    <xdr:to>
      <xdr:col>3</xdr:col>
      <xdr:colOff>258536</xdr:colOff>
      <xdr:row>12</xdr:row>
      <xdr:rowOff>1619250</xdr:rowOff>
    </xdr:to>
    <xdr:grpSp>
      <xdr:nvGrpSpPr>
        <xdr:cNvPr id="16" name="Group 15">
          <a:extLst>
            <a:ext uri="{FF2B5EF4-FFF2-40B4-BE49-F238E27FC236}">
              <a16:creationId xmlns:a16="http://schemas.microsoft.com/office/drawing/2014/main" id="{904DED25-656B-9436-BFA6-939C93621E28}"/>
            </a:ext>
          </a:extLst>
        </xdr:cNvPr>
        <xdr:cNvGrpSpPr/>
      </xdr:nvGrpSpPr>
      <xdr:grpSpPr>
        <a:xfrm>
          <a:off x="396208" y="2991971"/>
          <a:ext cx="3761975" cy="2000250"/>
          <a:chOff x="238126" y="2695575"/>
          <a:chExt cx="3343274" cy="2009775"/>
        </a:xfrm>
      </xdr:grpSpPr>
      <xdr:graphicFrame macro="">
        <xdr:nvGraphicFramePr>
          <xdr:cNvPr id="2" name="Chart 1">
            <a:extLst>
              <a:ext uri="{FF2B5EF4-FFF2-40B4-BE49-F238E27FC236}">
                <a16:creationId xmlns:a16="http://schemas.microsoft.com/office/drawing/2014/main" id="{79AE5051-25B5-F3E9-0024-7757563A625F}"/>
              </a:ext>
            </a:extLst>
          </xdr:cNvPr>
          <xdr:cNvGraphicFramePr/>
        </xdr:nvGraphicFramePr>
        <xdr:xfrm>
          <a:off x="238126" y="2905126"/>
          <a:ext cx="3343274" cy="180022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3" name="TextBox 12">
            <a:extLst>
              <a:ext uri="{FF2B5EF4-FFF2-40B4-BE49-F238E27FC236}">
                <a16:creationId xmlns:a16="http://schemas.microsoft.com/office/drawing/2014/main" id="{128E7C92-EC9E-6896-0979-03C95DF8FA1B}"/>
              </a:ext>
            </a:extLst>
          </xdr:cNvPr>
          <xdr:cNvSpPr txBox="1"/>
        </xdr:nvSpPr>
        <xdr:spPr>
          <a:xfrm>
            <a:off x="1314450" y="2695575"/>
            <a:ext cx="11239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rPr>
              <a:t>Ravenue (Crs.)</a:t>
            </a:r>
          </a:p>
        </xdr:txBody>
      </xdr:sp>
    </xdr:grpSp>
    <xdr:clientData/>
  </xdr:twoCellAnchor>
  <xdr:twoCellAnchor>
    <xdr:from>
      <xdr:col>3</xdr:col>
      <xdr:colOff>413660</xdr:colOff>
      <xdr:row>10</xdr:row>
      <xdr:rowOff>0</xdr:rowOff>
    </xdr:from>
    <xdr:to>
      <xdr:col>7</xdr:col>
      <xdr:colOff>557894</xdr:colOff>
      <xdr:row>12</xdr:row>
      <xdr:rowOff>1628775</xdr:rowOff>
    </xdr:to>
    <xdr:grpSp>
      <xdr:nvGrpSpPr>
        <xdr:cNvPr id="20" name="Group 19">
          <a:extLst>
            <a:ext uri="{FF2B5EF4-FFF2-40B4-BE49-F238E27FC236}">
              <a16:creationId xmlns:a16="http://schemas.microsoft.com/office/drawing/2014/main" id="{C4E7C806-7AE9-4745-A541-FA014E26400B}"/>
            </a:ext>
          </a:extLst>
        </xdr:cNvPr>
        <xdr:cNvGrpSpPr/>
      </xdr:nvGrpSpPr>
      <xdr:grpSpPr>
        <a:xfrm>
          <a:off x="4313307" y="2991971"/>
          <a:ext cx="3584440" cy="2009775"/>
          <a:chOff x="238126" y="2695575"/>
          <a:chExt cx="3343274" cy="2009775"/>
        </a:xfrm>
      </xdr:grpSpPr>
      <xdr:graphicFrame macro="">
        <xdr:nvGraphicFramePr>
          <xdr:cNvPr id="21" name="Chart 20">
            <a:extLst>
              <a:ext uri="{FF2B5EF4-FFF2-40B4-BE49-F238E27FC236}">
                <a16:creationId xmlns:a16="http://schemas.microsoft.com/office/drawing/2014/main" id="{0EBDBB2D-035D-8D51-00EE-F08452E5051E}"/>
              </a:ext>
            </a:extLst>
          </xdr:cNvPr>
          <xdr:cNvGraphicFramePr/>
        </xdr:nvGraphicFramePr>
        <xdr:xfrm>
          <a:off x="238126" y="2905126"/>
          <a:ext cx="3343274" cy="180022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2" name="TextBox 21">
            <a:extLst>
              <a:ext uri="{FF2B5EF4-FFF2-40B4-BE49-F238E27FC236}">
                <a16:creationId xmlns:a16="http://schemas.microsoft.com/office/drawing/2014/main" id="{A56838EF-0385-D61C-F4A9-692DA50FB2F7}"/>
              </a:ext>
            </a:extLst>
          </xdr:cNvPr>
          <xdr:cNvSpPr txBox="1"/>
        </xdr:nvSpPr>
        <xdr:spPr>
          <a:xfrm>
            <a:off x="1314450" y="2695575"/>
            <a:ext cx="11239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rPr>
              <a:t>Net Profit (Crs.)</a:t>
            </a:r>
          </a:p>
        </xdr:txBody>
      </xdr:sp>
    </xdr:grpSp>
    <xdr:clientData/>
  </xdr:twoCellAnchor>
  <xdr:twoCellAnchor>
    <xdr:from>
      <xdr:col>7</xdr:col>
      <xdr:colOff>727507</xdr:colOff>
      <xdr:row>10</xdr:row>
      <xdr:rowOff>28573</xdr:rowOff>
    </xdr:from>
    <xdr:to>
      <xdr:col>11</xdr:col>
      <xdr:colOff>679882</xdr:colOff>
      <xdr:row>12</xdr:row>
      <xdr:rowOff>1628774</xdr:rowOff>
    </xdr:to>
    <xdr:grpSp>
      <xdr:nvGrpSpPr>
        <xdr:cNvPr id="23" name="Group 22">
          <a:extLst>
            <a:ext uri="{FF2B5EF4-FFF2-40B4-BE49-F238E27FC236}">
              <a16:creationId xmlns:a16="http://schemas.microsoft.com/office/drawing/2014/main" id="{663A2644-41FB-4214-9870-9840365AECC2}"/>
            </a:ext>
          </a:extLst>
        </xdr:cNvPr>
        <xdr:cNvGrpSpPr/>
      </xdr:nvGrpSpPr>
      <xdr:grpSpPr>
        <a:xfrm>
          <a:off x="8067360" y="3020544"/>
          <a:ext cx="3493434" cy="1981201"/>
          <a:chOff x="180976" y="2733674"/>
          <a:chExt cx="3343274" cy="1981201"/>
        </a:xfrm>
      </xdr:grpSpPr>
      <xdr:graphicFrame macro="">
        <xdr:nvGraphicFramePr>
          <xdr:cNvPr id="24" name="Chart 23">
            <a:extLst>
              <a:ext uri="{FF2B5EF4-FFF2-40B4-BE49-F238E27FC236}">
                <a16:creationId xmlns:a16="http://schemas.microsoft.com/office/drawing/2014/main" id="{9CC20A33-2299-0ADA-4FCE-A6F516693323}"/>
              </a:ext>
            </a:extLst>
          </xdr:cNvPr>
          <xdr:cNvGraphicFramePr/>
        </xdr:nvGraphicFramePr>
        <xdr:xfrm>
          <a:off x="180976" y="2914651"/>
          <a:ext cx="3343274" cy="180022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5" name="TextBox 24">
            <a:extLst>
              <a:ext uri="{FF2B5EF4-FFF2-40B4-BE49-F238E27FC236}">
                <a16:creationId xmlns:a16="http://schemas.microsoft.com/office/drawing/2014/main" id="{26DAA706-C7D7-CB86-8B1A-DA93E2CA036E}"/>
              </a:ext>
            </a:extLst>
          </xdr:cNvPr>
          <xdr:cNvSpPr txBox="1"/>
        </xdr:nvSpPr>
        <xdr:spPr>
          <a:xfrm>
            <a:off x="1150475" y="2733674"/>
            <a:ext cx="168143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rPr>
              <a:t>Avarage Total Assets  (Crs.)</a:t>
            </a:r>
          </a:p>
        </xdr:txBody>
      </xdr:sp>
    </xdr:grpSp>
    <xdr:clientData/>
  </xdr:twoCellAnchor>
  <xdr:twoCellAnchor>
    <xdr:from>
      <xdr:col>1</xdr:col>
      <xdr:colOff>130628</xdr:colOff>
      <xdr:row>12</xdr:row>
      <xdr:rowOff>1695450</xdr:rowOff>
    </xdr:from>
    <xdr:to>
      <xdr:col>3</xdr:col>
      <xdr:colOff>239485</xdr:colOff>
      <xdr:row>20</xdr:row>
      <xdr:rowOff>333375</xdr:rowOff>
    </xdr:to>
    <xdr:grpSp>
      <xdr:nvGrpSpPr>
        <xdr:cNvPr id="35" name="Group 34">
          <a:extLst>
            <a:ext uri="{FF2B5EF4-FFF2-40B4-BE49-F238E27FC236}">
              <a16:creationId xmlns:a16="http://schemas.microsoft.com/office/drawing/2014/main" id="{22D53002-71AB-4818-B5A3-15F230A58B88}"/>
            </a:ext>
          </a:extLst>
        </xdr:cNvPr>
        <xdr:cNvGrpSpPr/>
      </xdr:nvGrpSpPr>
      <xdr:grpSpPr>
        <a:xfrm>
          <a:off x="377157" y="5068421"/>
          <a:ext cx="3761975" cy="2010895"/>
          <a:chOff x="238126" y="2695575"/>
          <a:chExt cx="3343274" cy="2009775"/>
        </a:xfrm>
      </xdr:grpSpPr>
      <xdr:graphicFrame macro="">
        <xdr:nvGraphicFramePr>
          <xdr:cNvPr id="36" name="Chart 35">
            <a:extLst>
              <a:ext uri="{FF2B5EF4-FFF2-40B4-BE49-F238E27FC236}">
                <a16:creationId xmlns:a16="http://schemas.microsoft.com/office/drawing/2014/main" id="{567AB7DF-DD97-EBF7-8DAC-077CF2E36FED}"/>
              </a:ext>
            </a:extLst>
          </xdr:cNvPr>
          <xdr:cNvGraphicFramePr/>
        </xdr:nvGraphicFramePr>
        <xdr:xfrm>
          <a:off x="238126" y="2905126"/>
          <a:ext cx="3343274" cy="180022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7" name="TextBox 36">
            <a:extLst>
              <a:ext uri="{FF2B5EF4-FFF2-40B4-BE49-F238E27FC236}">
                <a16:creationId xmlns:a16="http://schemas.microsoft.com/office/drawing/2014/main" id="{165B1398-D91C-132D-E53A-622D5189376C}"/>
              </a:ext>
            </a:extLst>
          </xdr:cNvPr>
          <xdr:cNvSpPr txBox="1"/>
        </xdr:nvSpPr>
        <xdr:spPr>
          <a:xfrm>
            <a:off x="1228724" y="2695575"/>
            <a:ext cx="140970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rPr>
              <a:t>Retuen on Equity (%)</a:t>
            </a:r>
          </a:p>
        </xdr:txBody>
      </xdr:sp>
    </xdr:grpSp>
    <xdr:clientData/>
  </xdr:twoCellAnchor>
  <xdr:twoCellAnchor>
    <xdr:from>
      <xdr:col>3</xdr:col>
      <xdr:colOff>404134</xdr:colOff>
      <xdr:row>12</xdr:row>
      <xdr:rowOff>1704975</xdr:rowOff>
    </xdr:from>
    <xdr:to>
      <xdr:col>7</xdr:col>
      <xdr:colOff>557894</xdr:colOff>
      <xdr:row>20</xdr:row>
      <xdr:rowOff>342900</xdr:rowOff>
    </xdr:to>
    <xdr:grpSp>
      <xdr:nvGrpSpPr>
        <xdr:cNvPr id="38" name="Group 37">
          <a:extLst>
            <a:ext uri="{FF2B5EF4-FFF2-40B4-BE49-F238E27FC236}">
              <a16:creationId xmlns:a16="http://schemas.microsoft.com/office/drawing/2014/main" id="{1841561B-FF94-4C48-9FAC-C08F956A0E2F}"/>
            </a:ext>
          </a:extLst>
        </xdr:cNvPr>
        <xdr:cNvGrpSpPr/>
      </xdr:nvGrpSpPr>
      <xdr:grpSpPr>
        <a:xfrm>
          <a:off x="4303781" y="5077946"/>
          <a:ext cx="3593966" cy="2010895"/>
          <a:chOff x="238126" y="2695575"/>
          <a:chExt cx="3343274" cy="2009775"/>
        </a:xfrm>
      </xdr:grpSpPr>
      <xdr:graphicFrame macro="">
        <xdr:nvGraphicFramePr>
          <xdr:cNvPr id="39" name="Chart 38">
            <a:extLst>
              <a:ext uri="{FF2B5EF4-FFF2-40B4-BE49-F238E27FC236}">
                <a16:creationId xmlns:a16="http://schemas.microsoft.com/office/drawing/2014/main" id="{26AD98D9-BCA0-573F-88F1-DFDBD720B78E}"/>
              </a:ext>
            </a:extLst>
          </xdr:cNvPr>
          <xdr:cNvGraphicFramePr/>
        </xdr:nvGraphicFramePr>
        <xdr:xfrm>
          <a:off x="238126" y="2905126"/>
          <a:ext cx="3343274" cy="180022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0" name="TextBox 39">
            <a:extLst>
              <a:ext uri="{FF2B5EF4-FFF2-40B4-BE49-F238E27FC236}">
                <a16:creationId xmlns:a16="http://schemas.microsoft.com/office/drawing/2014/main" id="{405542D7-A284-8DF0-2196-94E0E6C230AA}"/>
              </a:ext>
            </a:extLst>
          </xdr:cNvPr>
          <xdr:cNvSpPr txBox="1"/>
        </xdr:nvSpPr>
        <xdr:spPr>
          <a:xfrm>
            <a:off x="1314449" y="2695575"/>
            <a:ext cx="155257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rgbClr val="002060"/>
                </a:solidFill>
                <a:effectLst/>
                <a:latin typeface="+mn-lt"/>
                <a:ea typeface="+mn-ea"/>
                <a:cs typeface="+mn-cs"/>
              </a:rPr>
              <a:t>Retuen on Assets (%)</a:t>
            </a:r>
            <a:endParaRPr lang="en-IN">
              <a:solidFill>
                <a:srgbClr val="002060"/>
              </a:solidFill>
              <a:effectLst/>
            </a:endParaRPr>
          </a:p>
        </xdr:txBody>
      </xdr:sp>
    </xdr:grpSp>
    <xdr:clientData/>
  </xdr:twoCellAnchor>
  <xdr:twoCellAnchor>
    <xdr:from>
      <xdr:col>7</xdr:col>
      <xdr:colOff>736149</xdr:colOff>
      <xdr:row>12</xdr:row>
      <xdr:rowOff>1733549</xdr:rowOff>
    </xdr:from>
    <xdr:to>
      <xdr:col>11</xdr:col>
      <xdr:colOff>688525</xdr:colOff>
      <xdr:row>20</xdr:row>
      <xdr:rowOff>342900</xdr:rowOff>
    </xdr:to>
    <xdr:grpSp>
      <xdr:nvGrpSpPr>
        <xdr:cNvPr id="41" name="Group 40">
          <a:extLst>
            <a:ext uri="{FF2B5EF4-FFF2-40B4-BE49-F238E27FC236}">
              <a16:creationId xmlns:a16="http://schemas.microsoft.com/office/drawing/2014/main" id="{B279E8C7-BDAA-4A9A-AA1F-BF398E505E66}"/>
            </a:ext>
          </a:extLst>
        </xdr:cNvPr>
        <xdr:cNvGrpSpPr/>
      </xdr:nvGrpSpPr>
      <xdr:grpSpPr>
        <a:xfrm>
          <a:off x="8076002" y="5106520"/>
          <a:ext cx="3493435" cy="1982321"/>
          <a:chOff x="180976" y="2733674"/>
          <a:chExt cx="3343274" cy="1981201"/>
        </a:xfrm>
      </xdr:grpSpPr>
      <xdr:graphicFrame macro="">
        <xdr:nvGraphicFramePr>
          <xdr:cNvPr id="42" name="Chart 41">
            <a:extLst>
              <a:ext uri="{FF2B5EF4-FFF2-40B4-BE49-F238E27FC236}">
                <a16:creationId xmlns:a16="http://schemas.microsoft.com/office/drawing/2014/main" id="{17013412-9495-F468-804C-B082FE575012}"/>
              </a:ext>
            </a:extLst>
          </xdr:cNvPr>
          <xdr:cNvGraphicFramePr/>
        </xdr:nvGraphicFramePr>
        <xdr:xfrm>
          <a:off x="180976" y="2914651"/>
          <a:ext cx="3343274" cy="1800224"/>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3" name="TextBox 42">
            <a:extLst>
              <a:ext uri="{FF2B5EF4-FFF2-40B4-BE49-F238E27FC236}">
                <a16:creationId xmlns:a16="http://schemas.microsoft.com/office/drawing/2014/main" id="{C1FC4A9D-9C50-1948-877E-F9FE643FFA97}"/>
              </a:ext>
            </a:extLst>
          </xdr:cNvPr>
          <xdr:cNvSpPr txBox="1"/>
        </xdr:nvSpPr>
        <xdr:spPr>
          <a:xfrm>
            <a:off x="1150475" y="2733674"/>
            <a:ext cx="168143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rPr>
              <a:t>Financial Leverage</a:t>
            </a:r>
          </a:p>
        </xdr:txBody>
      </xdr:sp>
    </xdr:grpSp>
    <xdr:clientData/>
  </xdr:twoCellAnchor>
  <xdr:oneCellAnchor>
    <xdr:from>
      <xdr:col>1</xdr:col>
      <xdr:colOff>78441</xdr:colOff>
      <xdr:row>21</xdr:row>
      <xdr:rowOff>89648</xdr:rowOff>
    </xdr:from>
    <xdr:ext cx="11239502" cy="2375645"/>
    <xdr:sp macro="" textlink="">
      <xdr:nvSpPr>
        <xdr:cNvPr id="50" name="TextBox 49">
          <a:extLst>
            <a:ext uri="{FF2B5EF4-FFF2-40B4-BE49-F238E27FC236}">
              <a16:creationId xmlns:a16="http://schemas.microsoft.com/office/drawing/2014/main" id="{C8D56598-F8FA-DF28-25DE-B2643F8EAD4D}"/>
            </a:ext>
          </a:extLst>
        </xdr:cNvPr>
        <xdr:cNvSpPr txBox="1"/>
      </xdr:nvSpPr>
      <xdr:spPr>
        <a:xfrm>
          <a:off x="324970" y="7272619"/>
          <a:ext cx="11239502" cy="23756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r>
            <a:rPr lang="en-IN" sz="1400" b="1" u="none" strike="noStrike">
              <a:solidFill>
                <a:srgbClr val="002060"/>
              </a:solidFill>
              <a:effectLst/>
              <a:latin typeface="+mn-lt"/>
              <a:ea typeface="+mn-ea"/>
              <a:cs typeface="+mn-cs"/>
            </a:rPr>
            <a:t>Recent</a:t>
          </a:r>
          <a:r>
            <a:rPr lang="en-IN" sz="1400" b="1" u="none" strike="noStrike" baseline="0">
              <a:solidFill>
                <a:srgbClr val="002060"/>
              </a:solidFill>
              <a:effectLst/>
              <a:latin typeface="+mn-lt"/>
              <a:ea typeface="+mn-ea"/>
              <a:cs typeface="+mn-cs"/>
            </a:rPr>
            <a:t> Updates -</a:t>
          </a:r>
          <a:endParaRPr lang="en-IN" sz="1400" b="1" u="none" strike="noStrike">
            <a:solidFill>
              <a:srgbClr val="002060"/>
            </a:solidFill>
            <a:effectLst/>
            <a:latin typeface="+mn-lt"/>
            <a:ea typeface="+mn-ea"/>
            <a:cs typeface="+mn-cs"/>
          </a:endParaRPr>
        </a:p>
        <a:p>
          <a:pPr marL="171450" lvl="0" indent="-171450">
            <a:buFont typeface="Arial" panose="020B0604020202020204" pitchFamily="34" charset="0"/>
            <a:buChar char="•"/>
          </a:pPr>
          <a:r>
            <a:rPr lang="en-IN" sz="1200" b="0" u="none" strike="noStrike">
              <a:solidFill>
                <a:schemeClr val="tx1"/>
              </a:solidFill>
              <a:effectLst/>
              <a:latin typeface="+mn-lt"/>
              <a:ea typeface="+mn-ea"/>
              <a:cs typeface="+mn-cs"/>
            </a:rPr>
            <a:t>Tata Power has secured a massive </a:t>
          </a:r>
          <a:r>
            <a:rPr lang="en-IN" sz="1200" b="1" u="none" strike="noStrike">
              <a:solidFill>
                <a:schemeClr val="tx1"/>
              </a:solidFill>
              <a:effectLst/>
              <a:latin typeface="+mn-lt"/>
              <a:ea typeface="+mn-ea"/>
              <a:cs typeface="+mn-cs"/>
            </a:rPr>
            <a:t>₹521 crore</a:t>
          </a:r>
          <a:r>
            <a:rPr lang="en-IN" sz="1200" b="0" u="none" strike="noStrike">
              <a:solidFill>
                <a:schemeClr val="tx1"/>
              </a:solidFill>
              <a:effectLst/>
              <a:latin typeface="+mn-lt"/>
              <a:ea typeface="+mn-ea"/>
              <a:cs typeface="+mn-cs"/>
            </a:rPr>
            <a:t> domestic infrastructure contract to bolster its clean energy installation pipeline.</a:t>
          </a:r>
        </a:p>
        <a:p>
          <a:pPr marL="171450" lvl="0" indent="-171450">
            <a:buFont typeface="Arial" panose="020B0604020202020204" pitchFamily="34" charset="0"/>
            <a:buChar char="•"/>
          </a:pPr>
          <a:r>
            <a:rPr lang="en-IN" sz="1200" b="0" u="none" strike="noStrike">
              <a:solidFill>
                <a:schemeClr val="tx1"/>
              </a:solidFill>
              <a:effectLst/>
              <a:latin typeface="+mn-lt"/>
              <a:ea typeface="+mn-ea"/>
              <a:cs typeface="+mn-cs"/>
            </a:rPr>
            <a:t>Its extensive electric vehicle charging network successfully crossed 7.5 lakh charging sessions, drastically reducing carbon emissions across India.</a:t>
          </a:r>
        </a:p>
        <a:p>
          <a:pPr marL="171450" lvl="0" indent="-171450">
            <a:buFont typeface="Arial" panose="020B0604020202020204" pitchFamily="34" charset="0"/>
            <a:buChar char="•"/>
          </a:pPr>
          <a:r>
            <a:rPr lang="en-IN" sz="1200" b="0" u="none" strike="noStrike">
              <a:solidFill>
                <a:schemeClr val="tx1"/>
              </a:solidFill>
              <a:effectLst/>
              <a:latin typeface="+mn-lt"/>
              <a:ea typeface="+mn-ea"/>
              <a:cs typeface="+mn-cs"/>
            </a:rPr>
            <a:t>The company partnered with Bhutan’s Druk Green Power Corporation to build a </a:t>
          </a:r>
          <a:r>
            <a:rPr lang="en-IN" sz="1200" b="1" u="none" strike="noStrike">
              <a:solidFill>
                <a:schemeClr val="tx1"/>
              </a:solidFill>
              <a:effectLst/>
              <a:latin typeface="+mn-lt"/>
              <a:ea typeface="+mn-ea"/>
              <a:cs typeface="+mn-cs"/>
            </a:rPr>
            <a:t>5,000 megawatt clean energy ecosystem</a:t>
          </a:r>
          <a:r>
            <a:rPr lang="en-IN" sz="1200" b="0" u="none" strike="noStrike">
              <a:solidFill>
                <a:schemeClr val="tx1"/>
              </a:solidFill>
              <a:effectLst/>
              <a:latin typeface="+mn-lt"/>
              <a:ea typeface="+mn-ea"/>
              <a:cs typeface="+mn-cs"/>
            </a:rPr>
            <a:t>.</a:t>
          </a:r>
        </a:p>
        <a:p>
          <a:pPr marL="171450" lvl="0" indent="-171450">
            <a:buFont typeface="Arial" panose="020B0604020202020204" pitchFamily="34" charset="0"/>
            <a:buChar char="•"/>
          </a:pPr>
          <a:r>
            <a:rPr lang="en-IN" sz="1200" b="0" u="none" strike="noStrike">
              <a:solidFill>
                <a:schemeClr val="tx1"/>
              </a:solidFill>
              <a:effectLst/>
              <a:latin typeface="+mn-lt"/>
              <a:ea typeface="+mn-ea"/>
              <a:cs typeface="+mn-cs"/>
            </a:rPr>
            <a:t>The Indian government extended emergency regulations for the company's Mundra plant until </a:t>
          </a:r>
          <a:r>
            <a:rPr lang="en-IN" sz="1200" b="1" u="none" strike="noStrike">
              <a:solidFill>
                <a:schemeClr val="tx1"/>
              </a:solidFill>
              <a:effectLst/>
              <a:latin typeface="+mn-lt"/>
              <a:ea typeface="+mn-ea"/>
              <a:cs typeface="+mn-cs"/>
            </a:rPr>
            <a:t>September 2026</a:t>
          </a:r>
          <a:r>
            <a:rPr lang="en-IN" sz="1200" b="0" u="none" strike="noStrike">
              <a:solidFill>
                <a:schemeClr val="tx1"/>
              </a:solidFill>
              <a:effectLst/>
              <a:latin typeface="+mn-lt"/>
              <a:ea typeface="+mn-ea"/>
              <a:cs typeface="+mn-cs"/>
            </a:rPr>
            <a:t> to secure grid reliability.</a:t>
          </a:r>
        </a:p>
        <a:p>
          <a:pPr marL="171450" lvl="0" indent="-171450">
            <a:buFont typeface="Arial" panose="020B0604020202020204" pitchFamily="34" charset="0"/>
            <a:buChar char="•"/>
          </a:pPr>
          <a:r>
            <a:rPr lang="en-IN" sz="1200" b="0" u="none" strike="noStrike">
              <a:solidFill>
                <a:schemeClr val="tx1"/>
              </a:solidFill>
              <a:effectLst/>
              <a:latin typeface="+mn-lt"/>
              <a:ea typeface="+mn-ea"/>
              <a:cs typeface="+mn-cs"/>
            </a:rPr>
            <a:t>Its full-year profit after tax achieved a record-breaking </a:t>
          </a:r>
          <a:r>
            <a:rPr lang="en-IN" sz="1200" b="1" u="none" strike="noStrike">
              <a:solidFill>
                <a:schemeClr val="tx1"/>
              </a:solidFill>
              <a:effectLst/>
              <a:latin typeface="+mn-lt"/>
              <a:ea typeface="+mn-ea"/>
              <a:cs typeface="+mn-cs"/>
            </a:rPr>
            <a:t>₹5,118 crore</a:t>
          </a:r>
          <a:r>
            <a:rPr lang="en-IN" sz="1200" b="0" u="none" strike="noStrike">
              <a:solidFill>
                <a:schemeClr val="tx1"/>
              </a:solidFill>
              <a:effectLst/>
              <a:latin typeface="+mn-lt"/>
              <a:ea typeface="+mn-ea"/>
              <a:cs typeface="+mn-cs"/>
            </a:rPr>
            <a:t> driven by unprecedented growth in its core utilities.</a:t>
          </a:r>
        </a:p>
        <a:p>
          <a:pPr marL="171450" lvl="0" indent="-171450">
            <a:buFont typeface="Arial" panose="020B0604020202020204" pitchFamily="34" charset="0"/>
            <a:buChar char="•"/>
          </a:pPr>
          <a:r>
            <a:rPr lang="en-IN" sz="1200" b="0" u="none" strike="noStrike">
              <a:solidFill>
                <a:schemeClr val="tx1"/>
              </a:solidFill>
              <a:effectLst/>
              <a:latin typeface="+mn-lt"/>
              <a:ea typeface="+mn-ea"/>
              <a:cs typeface="+mn-cs"/>
            </a:rPr>
            <a:t>The company announced a substantial </a:t>
          </a:r>
          <a:r>
            <a:rPr lang="en-IN" sz="1200" b="1" u="none" strike="noStrike">
              <a:solidFill>
                <a:schemeClr val="tx1"/>
              </a:solidFill>
              <a:effectLst/>
              <a:latin typeface="+mn-lt"/>
              <a:ea typeface="+mn-ea"/>
              <a:cs typeface="+mn-cs"/>
            </a:rPr>
            <a:t>₹15,000 crore investment plan</a:t>
          </a:r>
          <a:r>
            <a:rPr lang="en-IN" sz="1200" b="0" u="none" strike="noStrike">
              <a:solidFill>
                <a:schemeClr val="tx1"/>
              </a:solidFill>
              <a:effectLst/>
              <a:latin typeface="+mn-lt"/>
              <a:ea typeface="+mn-ea"/>
              <a:cs typeface="+mn-cs"/>
            </a:rPr>
            <a:t>. It is aimed at upgrading its 110 KV transmission and distribution networks to 220 KV and 400 KV across Mumbai to meet the city's skyrocketing peak power demands.</a:t>
          </a:r>
        </a:p>
        <a:p>
          <a:pPr marL="171450" lvl="0" indent="-171450">
            <a:buFont typeface="Arial" panose="020B0604020202020204" pitchFamily="34" charset="0"/>
            <a:buChar char="•"/>
          </a:pPr>
          <a:r>
            <a:rPr lang="en-IN" sz="1200" b="0" u="none" strike="noStrike">
              <a:solidFill>
                <a:schemeClr val="tx1"/>
              </a:solidFill>
              <a:effectLst/>
              <a:latin typeface="+mn-lt"/>
              <a:ea typeface="+mn-ea"/>
              <a:cs typeface="+mn-cs"/>
            </a:rPr>
            <a:t>The Board of Directors appointed </a:t>
          </a:r>
          <a:r>
            <a:rPr lang="en-IN" sz="1200" b="1" u="none" strike="noStrike">
              <a:solidFill>
                <a:schemeClr val="tx1"/>
              </a:solidFill>
              <a:effectLst/>
              <a:latin typeface="+mn-lt"/>
              <a:ea typeface="+mn-ea"/>
              <a:cs typeface="+mn-cs"/>
            </a:rPr>
            <a:t>Mr. Deepak Kapoor</a:t>
          </a:r>
          <a:r>
            <a:rPr lang="en-IN" sz="1200" b="0" u="none" strike="noStrike">
              <a:solidFill>
                <a:schemeClr val="tx1"/>
              </a:solidFill>
              <a:effectLst/>
              <a:latin typeface="+mn-lt"/>
              <a:ea typeface="+mn-ea"/>
              <a:cs typeface="+mn-cs"/>
            </a:rPr>
            <a:t> as an Additional Non-Executive, Independent Director to strengthen its corporate compliance and strategic oversight.</a:t>
          </a:r>
          <a:endParaRPr lang="en-IN" sz="1200"/>
        </a:p>
        <a:p>
          <a:pPr marL="171450" lvl="0" indent="-171450">
            <a:buFont typeface="Arial" panose="020B0604020202020204" pitchFamily="34" charset="0"/>
            <a:buChar char="•"/>
          </a:pPr>
          <a:r>
            <a:rPr lang="en-IN" sz="1200" b="0" u="none" strike="noStrike">
              <a:solidFill>
                <a:schemeClr val="tx1"/>
              </a:solidFill>
              <a:effectLst/>
              <a:latin typeface="+mn-lt"/>
              <a:ea typeface="+mn-ea"/>
              <a:cs typeface="+mn-cs"/>
            </a:rPr>
            <a:t>To optimize its green energy transition networks, the firm partnered with data intelligence giant Databricks. They will construct a centralized, future-ready artificial intelligence platform.</a:t>
          </a:r>
        </a:p>
        <a:p>
          <a:pPr marL="171450" lvl="0" indent="-171450">
            <a:buFont typeface="Arial" panose="020B0604020202020204" pitchFamily="34" charset="0"/>
            <a:buChar char="•"/>
          </a:pPr>
          <a:endParaRPr lang="en-IN" sz="1100"/>
        </a:p>
      </xdr:txBody>
    </xdr:sp>
    <xdr:clientData/>
  </xdr:oneCellAnchor>
  <xdr:twoCellAnchor editAs="oneCell">
    <xdr:from>
      <xdr:col>8</xdr:col>
      <xdr:colOff>615044</xdr:colOff>
      <xdr:row>0</xdr:row>
      <xdr:rowOff>2799</xdr:rowOff>
    </xdr:from>
    <xdr:to>
      <xdr:col>11</xdr:col>
      <xdr:colOff>711656</xdr:colOff>
      <xdr:row>3</xdr:row>
      <xdr:rowOff>28153</xdr:rowOff>
    </xdr:to>
    <xdr:pic>
      <xdr:nvPicPr>
        <xdr:cNvPr id="52" name="Picture 51">
          <a:extLst>
            <a:ext uri="{FF2B5EF4-FFF2-40B4-BE49-F238E27FC236}">
              <a16:creationId xmlns:a16="http://schemas.microsoft.com/office/drawing/2014/main" id="{AB578736-7855-9BDA-B8B7-911B22A43550}"/>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0661" b="37735"/>
        <a:stretch>
          <a:fillRect/>
        </a:stretch>
      </xdr:blipFill>
      <xdr:spPr>
        <a:xfrm>
          <a:off x="8840162" y="2799"/>
          <a:ext cx="2752406" cy="966648"/>
        </a:xfrm>
        <a:prstGeom prst="rect">
          <a:avLst/>
        </a:prstGeom>
      </xdr:spPr>
    </xdr:pic>
    <xdr:clientData/>
  </xdr:twoCellAnchor>
  <xdr:oneCellAnchor>
    <xdr:from>
      <xdr:col>0</xdr:col>
      <xdr:colOff>168088</xdr:colOff>
      <xdr:row>61</xdr:row>
      <xdr:rowOff>22412</xdr:rowOff>
    </xdr:from>
    <xdr:ext cx="11366046" cy="1257299"/>
    <xdr:sp macro="" textlink="">
      <xdr:nvSpPr>
        <xdr:cNvPr id="3" name="TextBox 2">
          <a:extLst>
            <a:ext uri="{FF2B5EF4-FFF2-40B4-BE49-F238E27FC236}">
              <a16:creationId xmlns:a16="http://schemas.microsoft.com/office/drawing/2014/main" id="{BDEDDDE6-0D98-416A-8903-8D2B6C59564B}"/>
            </a:ext>
          </a:extLst>
        </xdr:cNvPr>
        <xdr:cNvSpPr txBox="1"/>
      </xdr:nvSpPr>
      <xdr:spPr>
        <a:xfrm>
          <a:off x="168088" y="16954500"/>
          <a:ext cx="11366046" cy="1257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r>
            <a:rPr lang="en-IN" sz="1400" b="1" u="none" strike="noStrike">
              <a:solidFill>
                <a:srgbClr val="002060"/>
              </a:solidFill>
              <a:effectLst/>
              <a:latin typeface="+mn-lt"/>
              <a:ea typeface="+mn-ea"/>
              <a:cs typeface="+mn-cs"/>
            </a:rPr>
            <a:t>Dupoint Summary -</a:t>
          </a:r>
        </a:p>
        <a:p>
          <a:pPr marL="285750" lvl="0" indent="-285750">
            <a:buFont typeface="Arial" panose="020B0604020202020204" pitchFamily="34" charset="0"/>
            <a:buChar char="•"/>
          </a:pPr>
          <a:r>
            <a:rPr lang="en-IN" sz="1200" b="1"/>
            <a:t>ROE improved from 8.42% in FY22 to 25.93% in FY26</a:t>
          </a:r>
          <a:r>
            <a:rPr lang="en-IN" sz="1200"/>
            <a:t>, driven primarily by higher profitability and improved asset efficiency, while financial leverage remained broadly stable. </a:t>
          </a:r>
        </a:p>
        <a:p>
          <a:pPr marL="285750" lvl="0" indent="-285750">
            <a:buFont typeface="Arial" panose="020B0604020202020204" pitchFamily="34" charset="0"/>
            <a:buChar char="•"/>
          </a:pPr>
          <a:r>
            <a:rPr lang="en-IN" sz="1200" b="1"/>
            <a:t>Net Profit Margin expanded from 5% to 8%</a:t>
          </a:r>
          <a:r>
            <a:rPr lang="en-IN" sz="1200"/>
            <a:t>, reflecting stronger cost control and operational performance, supporting sustained earnings growth. </a:t>
          </a:r>
        </a:p>
        <a:p>
          <a:pPr marL="285750" lvl="0" indent="-285750">
            <a:buFont typeface="Arial" panose="020B0604020202020204" pitchFamily="34" charset="0"/>
            <a:buChar char="•"/>
          </a:pPr>
          <a:r>
            <a:rPr lang="en-IN" sz="1200" b="1"/>
            <a:t>Asset Turnover increased from 0.36x to 0.77x</a:t>
          </a:r>
          <a:r>
            <a:rPr lang="en-IN" sz="1200"/>
            <a:t>, indicating better utilization of the company's asset base to generate revenue. </a:t>
          </a:r>
        </a:p>
        <a:p>
          <a:pPr marL="285750" lvl="0" indent="-285750">
            <a:buFont typeface="Arial" panose="020B0604020202020204" pitchFamily="34" charset="0"/>
            <a:buChar char="•"/>
          </a:pPr>
          <a:r>
            <a:rPr lang="en-IN" sz="1200" b="0"/>
            <a:t>The combination of improving margins, efficient asset utilization, and steady leverage has strengthened Tata Power's overall shareholder returns</a:t>
          </a:r>
          <a:r>
            <a:rPr lang="en-IN" sz="1200"/>
            <a:t>, with </a:t>
          </a:r>
          <a:r>
            <a:rPr lang="en-IN" sz="1200" b="1"/>
            <a:t>ROA rising to nearly 5.86% by FY26. </a:t>
          </a:r>
        </a:p>
        <a:p>
          <a:pPr lvl="0"/>
          <a:endParaRPr lang="en-IN" sz="1400" b="1" u="none" strike="noStrike">
            <a:solidFill>
              <a:srgbClr val="002060"/>
            </a:solidFill>
            <a:effectLst/>
            <a:latin typeface="+mn-lt"/>
            <a:ea typeface="+mn-ea"/>
            <a:cs typeface="+mn-cs"/>
          </a:endParaRPr>
        </a:p>
        <a:p>
          <a:pPr marL="171450" lvl="0" indent="-171450">
            <a:buFont typeface="Arial" panose="020B0604020202020204" pitchFamily="34" charset="0"/>
            <a:buChar char="•"/>
          </a:pPr>
          <a:endParaRPr lang="en-IN"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1</xdr:col>
      <xdr:colOff>244928</xdr:colOff>
      <xdr:row>9</xdr:row>
      <xdr:rowOff>0</xdr:rowOff>
    </xdr:from>
    <xdr:to>
      <xdr:col>3</xdr:col>
      <xdr:colOff>92527</xdr:colOff>
      <xdr:row>11</xdr:row>
      <xdr:rowOff>1779000</xdr:rowOff>
    </xdr:to>
    <xdr:grpSp>
      <xdr:nvGrpSpPr>
        <xdr:cNvPr id="2" name="Group 1">
          <a:extLst>
            <a:ext uri="{FF2B5EF4-FFF2-40B4-BE49-F238E27FC236}">
              <a16:creationId xmlns:a16="http://schemas.microsoft.com/office/drawing/2014/main" id="{7423EA6A-CACD-4DD9-8368-BDA51EF4BCED}"/>
            </a:ext>
          </a:extLst>
        </xdr:cNvPr>
        <xdr:cNvGrpSpPr/>
      </xdr:nvGrpSpPr>
      <xdr:grpSpPr>
        <a:xfrm>
          <a:off x="491457" y="2263588"/>
          <a:ext cx="3646394" cy="2160000"/>
          <a:chOff x="238126" y="2695575"/>
          <a:chExt cx="3343274" cy="2668345"/>
        </a:xfrm>
      </xdr:grpSpPr>
      <xdr:graphicFrame macro="">
        <xdr:nvGraphicFramePr>
          <xdr:cNvPr id="3" name="Chart 2">
            <a:extLst>
              <a:ext uri="{FF2B5EF4-FFF2-40B4-BE49-F238E27FC236}">
                <a16:creationId xmlns:a16="http://schemas.microsoft.com/office/drawing/2014/main" id="{707D3828-56C6-41F6-D2E0-BDD6095BB41D}"/>
              </a:ext>
            </a:extLst>
          </xdr:cNvPr>
          <xdr:cNvGraphicFramePr/>
        </xdr:nvGraphicFramePr>
        <xdr:xfrm>
          <a:off x="238126" y="2905126"/>
          <a:ext cx="3343274" cy="245879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29372510-3550-3B52-ECCF-0564D08F372B}"/>
              </a:ext>
            </a:extLst>
          </xdr:cNvPr>
          <xdr:cNvSpPr txBox="1"/>
        </xdr:nvSpPr>
        <xdr:spPr>
          <a:xfrm>
            <a:off x="1193102" y="2695575"/>
            <a:ext cx="1581579" cy="213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rPr>
              <a:t>Working Capital (millions)</a:t>
            </a:r>
          </a:p>
        </xdr:txBody>
      </xdr:sp>
    </xdr:grpSp>
    <xdr:clientData/>
  </xdr:twoCellAnchor>
  <xdr:twoCellAnchor>
    <xdr:from>
      <xdr:col>3</xdr:col>
      <xdr:colOff>190500</xdr:colOff>
      <xdr:row>8</xdr:row>
      <xdr:rowOff>60831</xdr:rowOff>
    </xdr:from>
    <xdr:to>
      <xdr:col>7</xdr:col>
      <xdr:colOff>435428</xdr:colOff>
      <xdr:row>11</xdr:row>
      <xdr:rowOff>1782536</xdr:rowOff>
    </xdr:to>
    <xdr:grpSp>
      <xdr:nvGrpSpPr>
        <xdr:cNvPr id="5" name="Group 4">
          <a:extLst>
            <a:ext uri="{FF2B5EF4-FFF2-40B4-BE49-F238E27FC236}">
              <a16:creationId xmlns:a16="http://schemas.microsoft.com/office/drawing/2014/main" id="{79216D12-8AB1-446D-81A1-990DD47784F5}"/>
            </a:ext>
          </a:extLst>
        </xdr:cNvPr>
        <xdr:cNvGrpSpPr/>
      </xdr:nvGrpSpPr>
      <xdr:grpSpPr>
        <a:xfrm>
          <a:off x="4235824" y="2223566"/>
          <a:ext cx="4144575" cy="2203558"/>
          <a:chOff x="238126" y="2729193"/>
          <a:chExt cx="3343274" cy="1976157"/>
        </a:xfrm>
      </xdr:grpSpPr>
      <xdr:graphicFrame macro="">
        <xdr:nvGraphicFramePr>
          <xdr:cNvPr id="6" name="Chart 5">
            <a:extLst>
              <a:ext uri="{FF2B5EF4-FFF2-40B4-BE49-F238E27FC236}">
                <a16:creationId xmlns:a16="http://schemas.microsoft.com/office/drawing/2014/main" id="{FA23E0FE-17C1-5ECB-655C-1FBED8C6FCC4}"/>
              </a:ext>
            </a:extLst>
          </xdr:cNvPr>
          <xdr:cNvGraphicFramePr/>
        </xdr:nvGraphicFramePr>
        <xdr:xfrm>
          <a:off x="238126" y="2905126"/>
          <a:ext cx="3343274" cy="180022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 name="TextBox 6">
            <a:extLst>
              <a:ext uri="{FF2B5EF4-FFF2-40B4-BE49-F238E27FC236}">
                <a16:creationId xmlns:a16="http://schemas.microsoft.com/office/drawing/2014/main" id="{6ED40F3F-FB7F-86CB-FEB3-835F9C7DD611}"/>
              </a:ext>
            </a:extLst>
          </xdr:cNvPr>
          <xdr:cNvSpPr txBox="1"/>
        </xdr:nvSpPr>
        <xdr:spPr>
          <a:xfrm>
            <a:off x="1042451" y="2729193"/>
            <a:ext cx="1856074" cy="175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rPr>
              <a:t>Retained Earning (</a:t>
            </a:r>
            <a:r>
              <a:rPr lang="en-IN" sz="1100" b="1">
                <a:solidFill>
                  <a:srgbClr val="002060"/>
                </a:solidFill>
                <a:latin typeface="+mn-lt"/>
                <a:ea typeface="+mn-ea"/>
                <a:cs typeface="+mn-cs"/>
              </a:rPr>
              <a:t>millions</a:t>
            </a:r>
            <a:r>
              <a:rPr lang="en-IN" sz="1100" b="1">
                <a:solidFill>
                  <a:schemeClr val="dk1"/>
                </a:solidFill>
                <a:effectLst/>
                <a:latin typeface="+mn-lt"/>
                <a:ea typeface="+mn-ea"/>
                <a:cs typeface="+mn-cs"/>
              </a:rPr>
              <a:t>)</a:t>
            </a:r>
            <a:endParaRPr lang="en-IN" sz="1100" b="1">
              <a:solidFill>
                <a:srgbClr val="002060"/>
              </a:solidFill>
            </a:endParaRPr>
          </a:p>
        </xdr:txBody>
      </xdr:sp>
    </xdr:grpSp>
    <xdr:clientData/>
  </xdr:twoCellAnchor>
  <xdr:twoCellAnchor>
    <xdr:from>
      <xdr:col>7</xdr:col>
      <xdr:colOff>564220</xdr:colOff>
      <xdr:row>8</xdr:row>
      <xdr:rowOff>66993</xdr:rowOff>
    </xdr:from>
    <xdr:to>
      <xdr:col>11</xdr:col>
      <xdr:colOff>816428</xdr:colOff>
      <xdr:row>11</xdr:row>
      <xdr:rowOff>1768928</xdr:rowOff>
    </xdr:to>
    <xdr:grpSp>
      <xdr:nvGrpSpPr>
        <xdr:cNvPr id="8" name="Group 7">
          <a:extLst>
            <a:ext uri="{FF2B5EF4-FFF2-40B4-BE49-F238E27FC236}">
              <a16:creationId xmlns:a16="http://schemas.microsoft.com/office/drawing/2014/main" id="{F3C47084-3C91-429C-8234-41C62D3CE503}"/>
            </a:ext>
          </a:extLst>
        </xdr:cNvPr>
        <xdr:cNvGrpSpPr/>
      </xdr:nvGrpSpPr>
      <xdr:grpSpPr>
        <a:xfrm>
          <a:off x="8509191" y="2229728"/>
          <a:ext cx="4387178" cy="2183788"/>
          <a:chOff x="180976" y="2744880"/>
          <a:chExt cx="3343274" cy="1969995"/>
        </a:xfrm>
      </xdr:grpSpPr>
      <xdr:graphicFrame macro="">
        <xdr:nvGraphicFramePr>
          <xdr:cNvPr id="9" name="Chart 8">
            <a:extLst>
              <a:ext uri="{FF2B5EF4-FFF2-40B4-BE49-F238E27FC236}">
                <a16:creationId xmlns:a16="http://schemas.microsoft.com/office/drawing/2014/main" id="{1D6348AA-B5B4-4FF8-2E75-75A10DFCACB4}"/>
              </a:ext>
            </a:extLst>
          </xdr:cNvPr>
          <xdr:cNvGraphicFramePr/>
        </xdr:nvGraphicFramePr>
        <xdr:xfrm>
          <a:off x="180976" y="2914651"/>
          <a:ext cx="3343274" cy="180022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TextBox 9">
            <a:extLst>
              <a:ext uri="{FF2B5EF4-FFF2-40B4-BE49-F238E27FC236}">
                <a16:creationId xmlns:a16="http://schemas.microsoft.com/office/drawing/2014/main" id="{6BE825E9-F0C9-35B4-5DD4-D38563454BCC}"/>
              </a:ext>
            </a:extLst>
          </xdr:cNvPr>
          <xdr:cNvSpPr txBox="1"/>
        </xdr:nvSpPr>
        <xdr:spPr>
          <a:xfrm>
            <a:off x="1078632" y="2744880"/>
            <a:ext cx="1681435"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rPr>
              <a:t>EBIT(millions)</a:t>
            </a:r>
          </a:p>
        </xdr:txBody>
      </xdr:sp>
    </xdr:grpSp>
    <xdr:clientData/>
  </xdr:twoCellAnchor>
  <xdr:twoCellAnchor>
    <xdr:from>
      <xdr:col>3</xdr:col>
      <xdr:colOff>176892</xdr:colOff>
      <xdr:row>11</xdr:row>
      <xdr:rowOff>2027470</xdr:rowOff>
    </xdr:from>
    <xdr:to>
      <xdr:col>7</xdr:col>
      <xdr:colOff>435428</xdr:colOff>
      <xdr:row>20</xdr:row>
      <xdr:rowOff>394608</xdr:rowOff>
    </xdr:to>
    <xdr:grpSp>
      <xdr:nvGrpSpPr>
        <xdr:cNvPr id="14" name="Group 13">
          <a:extLst>
            <a:ext uri="{FF2B5EF4-FFF2-40B4-BE49-F238E27FC236}">
              <a16:creationId xmlns:a16="http://schemas.microsoft.com/office/drawing/2014/main" id="{5F41FA5B-4F41-4C84-A511-B27CD2852B9C}"/>
            </a:ext>
          </a:extLst>
        </xdr:cNvPr>
        <xdr:cNvGrpSpPr/>
      </xdr:nvGrpSpPr>
      <xdr:grpSpPr>
        <a:xfrm>
          <a:off x="4222216" y="4672058"/>
          <a:ext cx="4158183" cy="2177138"/>
          <a:chOff x="238126" y="2705943"/>
          <a:chExt cx="3343274" cy="2853473"/>
        </a:xfrm>
      </xdr:grpSpPr>
      <xdr:graphicFrame macro="">
        <xdr:nvGraphicFramePr>
          <xdr:cNvPr id="15" name="Chart 14">
            <a:extLst>
              <a:ext uri="{FF2B5EF4-FFF2-40B4-BE49-F238E27FC236}">
                <a16:creationId xmlns:a16="http://schemas.microsoft.com/office/drawing/2014/main" id="{B8C4BBCB-2EB1-904C-55ED-A6592C79BDAF}"/>
              </a:ext>
            </a:extLst>
          </xdr:cNvPr>
          <xdr:cNvGraphicFramePr/>
        </xdr:nvGraphicFramePr>
        <xdr:xfrm>
          <a:off x="238126" y="2977358"/>
          <a:ext cx="3343274" cy="258205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6" name="TextBox 15">
            <a:extLst>
              <a:ext uri="{FF2B5EF4-FFF2-40B4-BE49-F238E27FC236}">
                <a16:creationId xmlns:a16="http://schemas.microsoft.com/office/drawing/2014/main" id="{CCD3201F-4291-869C-F067-D5875A757BEB}"/>
              </a:ext>
            </a:extLst>
          </xdr:cNvPr>
          <xdr:cNvSpPr txBox="1"/>
        </xdr:nvSpPr>
        <xdr:spPr>
          <a:xfrm>
            <a:off x="1244111" y="2705943"/>
            <a:ext cx="155257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solidFill>
                  <a:srgbClr val="002060"/>
                </a:solidFill>
                <a:effectLst/>
              </a:rPr>
              <a:t>Total</a:t>
            </a:r>
            <a:r>
              <a:rPr lang="en-IN" b="1" baseline="0">
                <a:solidFill>
                  <a:srgbClr val="002060"/>
                </a:solidFill>
                <a:effectLst/>
              </a:rPr>
              <a:t> Assets</a:t>
            </a:r>
            <a:endParaRPr lang="en-IN" b="1">
              <a:solidFill>
                <a:srgbClr val="002060"/>
              </a:solidFill>
              <a:effectLst/>
            </a:endParaRPr>
          </a:p>
        </xdr:txBody>
      </xdr:sp>
    </xdr:grpSp>
    <xdr:clientData/>
  </xdr:twoCellAnchor>
  <xdr:twoCellAnchor>
    <xdr:from>
      <xdr:col>7</xdr:col>
      <xdr:colOff>544286</xdr:colOff>
      <xdr:row>11</xdr:row>
      <xdr:rowOff>1986645</xdr:rowOff>
    </xdr:from>
    <xdr:to>
      <xdr:col>11</xdr:col>
      <xdr:colOff>830035</xdr:colOff>
      <xdr:row>20</xdr:row>
      <xdr:rowOff>394608</xdr:rowOff>
    </xdr:to>
    <xdr:grpSp>
      <xdr:nvGrpSpPr>
        <xdr:cNvPr id="17" name="Group 16">
          <a:extLst>
            <a:ext uri="{FF2B5EF4-FFF2-40B4-BE49-F238E27FC236}">
              <a16:creationId xmlns:a16="http://schemas.microsoft.com/office/drawing/2014/main" id="{563EBBA1-8F5B-46DA-AF80-8E55E6869AEE}"/>
            </a:ext>
          </a:extLst>
        </xdr:cNvPr>
        <xdr:cNvGrpSpPr/>
      </xdr:nvGrpSpPr>
      <xdr:grpSpPr>
        <a:xfrm>
          <a:off x="8489257" y="4631233"/>
          <a:ext cx="4420719" cy="2217963"/>
          <a:chOff x="653333" y="2722778"/>
          <a:chExt cx="3343274" cy="3757827"/>
        </a:xfrm>
      </xdr:grpSpPr>
      <xdr:graphicFrame macro="">
        <xdr:nvGraphicFramePr>
          <xdr:cNvPr id="18" name="Chart 17">
            <a:extLst>
              <a:ext uri="{FF2B5EF4-FFF2-40B4-BE49-F238E27FC236}">
                <a16:creationId xmlns:a16="http://schemas.microsoft.com/office/drawing/2014/main" id="{92DBE5D3-A41C-188B-0FD2-818122895470}"/>
              </a:ext>
            </a:extLst>
          </xdr:cNvPr>
          <xdr:cNvGraphicFramePr/>
        </xdr:nvGraphicFramePr>
        <xdr:xfrm>
          <a:off x="653333" y="3137750"/>
          <a:ext cx="3343274" cy="334285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9" name="TextBox 18">
            <a:extLst>
              <a:ext uri="{FF2B5EF4-FFF2-40B4-BE49-F238E27FC236}">
                <a16:creationId xmlns:a16="http://schemas.microsoft.com/office/drawing/2014/main" id="{12766FA5-F3FB-62C0-0DFA-11392E0169C9}"/>
              </a:ext>
            </a:extLst>
          </xdr:cNvPr>
          <xdr:cNvSpPr txBox="1"/>
        </xdr:nvSpPr>
        <xdr:spPr>
          <a:xfrm>
            <a:off x="1495182" y="2722778"/>
            <a:ext cx="1681435" cy="329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2060"/>
                </a:solidFill>
              </a:rPr>
              <a:t>Market Capitalization</a:t>
            </a:r>
          </a:p>
        </xdr:txBody>
      </xdr:sp>
    </xdr:grpSp>
    <xdr:clientData/>
  </xdr:twoCellAnchor>
  <xdr:twoCellAnchor editAs="oneCell">
    <xdr:from>
      <xdr:col>8</xdr:col>
      <xdr:colOff>794338</xdr:colOff>
      <xdr:row>0</xdr:row>
      <xdr:rowOff>2799</xdr:rowOff>
    </xdr:from>
    <xdr:to>
      <xdr:col>11</xdr:col>
      <xdr:colOff>1012249</xdr:colOff>
      <xdr:row>3</xdr:row>
      <xdr:rowOff>246529</xdr:rowOff>
    </xdr:to>
    <xdr:pic>
      <xdr:nvPicPr>
        <xdr:cNvPr id="21" name="Picture 20">
          <a:extLst>
            <a:ext uri="{FF2B5EF4-FFF2-40B4-BE49-F238E27FC236}">
              <a16:creationId xmlns:a16="http://schemas.microsoft.com/office/drawing/2014/main" id="{200E687E-2055-4BB6-83B7-1962422BE820}"/>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30661" b="37735"/>
        <a:stretch>
          <a:fillRect/>
        </a:stretch>
      </xdr:blipFill>
      <xdr:spPr>
        <a:xfrm>
          <a:off x="9736632" y="2799"/>
          <a:ext cx="3355558" cy="1185024"/>
        </a:xfrm>
        <a:prstGeom prst="rect">
          <a:avLst/>
        </a:prstGeom>
      </xdr:spPr>
    </xdr:pic>
    <xdr:clientData/>
  </xdr:twoCellAnchor>
  <xdr:twoCellAnchor>
    <xdr:from>
      <xdr:col>1</xdr:col>
      <xdr:colOff>231320</xdr:colOff>
      <xdr:row>11</xdr:row>
      <xdr:rowOff>1982243</xdr:rowOff>
    </xdr:from>
    <xdr:to>
      <xdr:col>3</xdr:col>
      <xdr:colOff>88445</xdr:colOff>
      <xdr:row>20</xdr:row>
      <xdr:rowOff>394608</xdr:rowOff>
    </xdr:to>
    <xdr:grpSp>
      <xdr:nvGrpSpPr>
        <xdr:cNvPr id="23" name="Group 22">
          <a:extLst>
            <a:ext uri="{FF2B5EF4-FFF2-40B4-BE49-F238E27FC236}">
              <a16:creationId xmlns:a16="http://schemas.microsoft.com/office/drawing/2014/main" id="{FD6F5EB3-25F5-4C0B-AB86-712130299841}"/>
            </a:ext>
          </a:extLst>
        </xdr:cNvPr>
        <xdr:cNvGrpSpPr/>
      </xdr:nvGrpSpPr>
      <xdr:grpSpPr>
        <a:xfrm>
          <a:off x="477849" y="4626831"/>
          <a:ext cx="3655920" cy="2222365"/>
          <a:chOff x="238126" y="2695575"/>
          <a:chExt cx="3343274" cy="2009775"/>
        </a:xfrm>
      </xdr:grpSpPr>
      <xdr:graphicFrame macro="">
        <xdr:nvGraphicFramePr>
          <xdr:cNvPr id="24" name="Chart 23">
            <a:extLst>
              <a:ext uri="{FF2B5EF4-FFF2-40B4-BE49-F238E27FC236}">
                <a16:creationId xmlns:a16="http://schemas.microsoft.com/office/drawing/2014/main" id="{AEB7365D-5683-E3FF-B38E-F50299705DE5}"/>
              </a:ext>
            </a:extLst>
          </xdr:cNvPr>
          <xdr:cNvGraphicFramePr/>
        </xdr:nvGraphicFramePr>
        <xdr:xfrm>
          <a:off x="238126" y="2905126"/>
          <a:ext cx="3343274" cy="180022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5" name="TextBox 24">
            <a:extLst>
              <a:ext uri="{FF2B5EF4-FFF2-40B4-BE49-F238E27FC236}">
                <a16:creationId xmlns:a16="http://schemas.microsoft.com/office/drawing/2014/main" id="{E982097E-C9BA-B3A2-B068-CCA688193C7C}"/>
              </a:ext>
            </a:extLst>
          </xdr:cNvPr>
          <xdr:cNvSpPr txBox="1"/>
        </xdr:nvSpPr>
        <xdr:spPr>
          <a:xfrm>
            <a:off x="1132743" y="2695575"/>
            <a:ext cx="155257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effectLst/>
                <a:latin typeface="+mn-lt"/>
                <a:ea typeface="+mn-ea"/>
                <a:cs typeface="+mn-cs"/>
              </a:rPr>
              <a:t>Sales</a:t>
            </a:r>
            <a:endParaRPr lang="en-IN" sz="1200">
              <a:solidFill>
                <a:srgbClr val="002060"/>
              </a:solidFill>
              <a:effectLst/>
            </a:endParaRPr>
          </a:p>
        </xdr:txBody>
      </xdr:sp>
    </xdr:grpSp>
    <xdr:clientData/>
  </xdr:twoCellAnchor>
  <xdr:twoCellAnchor>
    <xdr:from>
      <xdr:col>1</xdr:col>
      <xdr:colOff>217714</xdr:colOff>
      <xdr:row>20</xdr:row>
      <xdr:rowOff>476250</xdr:rowOff>
    </xdr:from>
    <xdr:to>
      <xdr:col>3</xdr:col>
      <xdr:colOff>421821</xdr:colOff>
      <xdr:row>20</xdr:row>
      <xdr:rowOff>3252108</xdr:rowOff>
    </xdr:to>
    <xdr:grpSp>
      <xdr:nvGrpSpPr>
        <xdr:cNvPr id="26" name="Group 25">
          <a:extLst>
            <a:ext uri="{FF2B5EF4-FFF2-40B4-BE49-F238E27FC236}">
              <a16:creationId xmlns:a16="http://schemas.microsoft.com/office/drawing/2014/main" id="{FAF253A3-DBDE-4E46-B4CA-FEACB3EFBD02}"/>
            </a:ext>
          </a:extLst>
        </xdr:cNvPr>
        <xdr:cNvGrpSpPr/>
      </xdr:nvGrpSpPr>
      <xdr:grpSpPr>
        <a:xfrm>
          <a:off x="464243" y="6930838"/>
          <a:ext cx="4002902" cy="2775858"/>
          <a:chOff x="238126" y="2695575"/>
          <a:chExt cx="3343274" cy="2009775"/>
        </a:xfrm>
      </xdr:grpSpPr>
      <xdr:graphicFrame macro="">
        <xdr:nvGraphicFramePr>
          <xdr:cNvPr id="27" name="Chart 26">
            <a:extLst>
              <a:ext uri="{FF2B5EF4-FFF2-40B4-BE49-F238E27FC236}">
                <a16:creationId xmlns:a16="http://schemas.microsoft.com/office/drawing/2014/main" id="{E1E5C390-C0D6-6536-DEFB-88E7D1861E97}"/>
              </a:ext>
            </a:extLst>
          </xdr:cNvPr>
          <xdr:cNvGraphicFramePr/>
        </xdr:nvGraphicFramePr>
        <xdr:xfrm>
          <a:off x="238126" y="2905126"/>
          <a:ext cx="3343274" cy="1800224"/>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8" name="TextBox 27">
            <a:extLst>
              <a:ext uri="{FF2B5EF4-FFF2-40B4-BE49-F238E27FC236}">
                <a16:creationId xmlns:a16="http://schemas.microsoft.com/office/drawing/2014/main" id="{90FBF5A9-0FA1-7A21-9734-81DBB3A7B53D}"/>
              </a:ext>
            </a:extLst>
          </xdr:cNvPr>
          <xdr:cNvSpPr txBox="1"/>
        </xdr:nvSpPr>
        <xdr:spPr>
          <a:xfrm>
            <a:off x="1132743" y="2695575"/>
            <a:ext cx="155257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effectLst/>
                <a:latin typeface="+mn-lt"/>
                <a:ea typeface="+mn-ea"/>
                <a:cs typeface="+mn-cs"/>
              </a:rPr>
              <a:t>Long Term Liabilities</a:t>
            </a:r>
          </a:p>
        </xdr:txBody>
      </xdr:sp>
    </xdr:grpSp>
    <xdr:clientData/>
  </xdr:twoCellAnchor>
  <xdr:twoCellAnchor>
    <xdr:from>
      <xdr:col>3</xdr:col>
      <xdr:colOff>598714</xdr:colOff>
      <xdr:row>20</xdr:row>
      <xdr:rowOff>544286</xdr:rowOff>
    </xdr:from>
    <xdr:to>
      <xdr:col>11</xdr:col>
      <xdr:colOff>843642</xdr:colOff>
      <xdr:row>20</xdr:row>
      <xdr:rowOff>3252108</xdr:rowOff>
    </xdr:to>
    <xdr:grpSp>
      <xdr:nvGrpSpPr>
        <xdr:cNvPr id="29" name="Group 28">
          <a:extLst>
            <a:ext uri="{FF2B5EF4-FFF2-40B4-BE49-F238E27FC236}">
              <a16:creationId xmlns:a16="http://schemas.microsoft.com/office/drawing/2014/main" id="{A0B65E3A-FAAD-431D-A8E3-3FD11F21193D}"/>
            </a:ext>
          </a:extLst>
        </xdr:cNvPr>
        <xdr:cNvGrpSpPr/>
      </xdr:nvGrpSpPr>
      <xdr:grpSpPr>
        <a:xfrm>
          <a:off x="4644038" y="6998874"/>
          <a:ext cx="8279545" cy="2707822"/>
          <a:chOff x="-2161576" y="2625273"/>
          <a:chExt cx="3343274" cy="2732270"/>
        </a:xfrm>
      </xdr:grpSpPr>
      <xdr:graphicFrame macro="">
        <xdr:nvGraphicFramePr>
          <xdr:cNvPr id="30" name="Chart 29">
            <a:extLst>
              <a:ext uri="{FF2B5EF4-FFF2-40B4-BE49-F238E27FC236}">
                <a16:creationId xmlns:a16="http://schemas.microsoft.com/office/drawing/2014/main" id="{CA8B378E-03EB-92BB-913F-331AF5CD3F8A}"/>
              </a:ext>
            </a:extLst>
          </xdr:cNvPr>
          <xdr:cNvGraphicFramePr/>
        </xdr:nvGraphicFramePr>
        <xdr:xfrm>
          <a:off x="-2161576" y="2864301"/>
          <a:ext cx="3343274" cy="2493242"/>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1" name="TextBox 30">
            <a:extLst>
              <a:ext uri="{FF2B5EF4-FFF2-40B4-BE49-F238E27FC236}">
                <a16:creationId xmlns:a16="http://schemas.microsoft.com/office/drawing/2014/main" id="{8CABF634-FF6E-BA3B-6068-712AC0D54F84}"/>
              </a:ext>
            </a:extLst>
          </xdr:cNvPr>
          <xdr:cNvSpPr txBox="1"/>
        </xdr:nvSpPr>
        <xdr:spPr>
          <a:xfrm>
            <a:off x="-1336853" y="2625273"/>
            <a:ext cx="1552577"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002060"/>
                </a:solidFill>
                <a:effectLst/>
                <a:latin typeface="+mn-lt"/>
                <a:ea typeface="+mn-ea"/>
                <a:cs typeface="+mn-cs"/>
              </a:rPr>
              <a:t>Final Score </a:t>
            </a:r>
            <a:endParaRPr lang="en-IN" sz="1200">
              <a:solidFill>
                <a:srgbClr val="002060"/>
              </a:solidFill>
              <a:effectLst/>
            </a:endParaRPr>
          </a:p>
        </xdr:txBody>
      </xdr:sp>
    </xdr:grpSp>
    <xdr:clientData/>
  </xdr:twoCellAnchor>
  <xdr:twoCellAnchor>
    <xdr:from>
      <xdr:col>0</xdr:col>
      <xdr:colOff>212912</xdr:colOff>
      <xdr:row>57</xdr:row>
      <xdr:rowOff>190499</xdr:rowOff>
    </xdr:from>
    <xdr:to>
      <xdr:col>11</xdr:col>
      <xdr:colOff>1008530</xdr:colOff>
      <xdr:row>59</xdr:row>
      <xdr:rowOff>952498</xdr:rowOff>
    </xdr:to>
    <xdr:sp macro="" textlink="">
      <xdr:nvSpPr>
        <xdr:cNvPr id="11" name="TextBox 10">
          <a:extLst>
            <a:ext uri="{FF2B5EF4-FFF2-40B4-BE49-F238E27FC236}">
              <a16:creationId xmlns:a16="http://schemas.microsoft.com/office/drawing/2014/main" id="{07389DF6-AC3C-4F4E-A595-AF072B3D56E6}"/>
            </a:ext>
          </a:extLst>
        </xdr:cNvPr>
        <xdr:cNvSpPr txBox="1"/>
      </xdr:nvSpPr>
      <xdr:spPr>
        <a:xfrm>
          <a:off x="212912" y="17324293"/>
          <a:ext cx="12875559" cy="9861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Tata Power's Altman Z-Score shows 'Distress' classification in most years despite the company carrying CRISIL AA+/Stable and ICRA AA+/Stable credit ratings high investment-grade, indicating low default risk. This divergence reflects a known limitation of the original 1968 Altman model, which was calibrated on manufacturing firms. Two of its five ratios are structurally unfavorable for capital intensive regulated utilities:                </a:t>
          </a:r>
          <a:br>
            <a:rPr lang="en-US" sz="1100"/>
          </a:br>
          <a:r>
            <a:rPr lang="en-US" sz="1100"/>
            <a:t>(1) Asset Turnover (Sales/Total Assets) is naturally low given the large fixed-asset base relative to revenue;                                                                                                                                                                                                                                              (2) high leverage normal and low-risk for a utility with regulated, tariff-based cash flows is penalized the same way it would be for a cyclical manufacturer.                                                                                                                            </a:t>
          </a:r>
          <a:br>
            <a:rPr lang="en-US" sz="1100"/>
          </a:br>
          <a:r>
            <a:rPr lang="en-US" sz="1100" b="1" i="0" u="sng"/>
            <a:t>The Z-Score here should be read as a model limitation rather than a genuine distress signal.</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46264</xdr:colOff>
      <xdr:row>1</xdr:row>
      <xdr:rowOff>133350</xdr:rowOff>
    </xdr:from>
    <xdr:to>
      <xdr:col>2</xdr:col>
      <xdr:colOff>62574</xdr:colOff>
      <xdr:row>5</xdr:row>
      <xdr:rowOff>54428</xdr:rowOff>
    </xdr:to>
    <xdr:pic>
      <xdr:nvPicPr>
        <xdr:cNvPr id="2" name="Picture 1">
          <a:extLst>
            <a:ext uri="{FF2B5EF4-FFF2-40B4-BE49-F238E27FC236}">
              <a16:creationId xmlns:a16="http://schemas.microsoft.com/office/drawing/2014/main" id="{F4995C1A-EF0E-4422-BC69-7B242203939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661" b="37735"/>
        <a:stretch>
          <a:fillRect/>
        </a:stretch>
      </xdr:blipFill>
      <xdr:spPr>
        <a:xfrm>
          <a:off x="46264" y="323850"/>
          <a:ext cx="3159560" cy="1118507"/>
        </a:xfrm>
        <a:prstGeom prst="rect">
          <a:avLst/>
        </a:prstGeom>
      </xdr:spPr>
    </xdr:pic>
    <xdr:clientData/>
  </xdr:twoCellAnchor>
  <xdr:twoCellAnchor>
    <xdr:from>
      <xdr:col>10</xdr:col>
      <xdr:colOff>48747</xdr:colOff>
      <xdr:row>7</xdr:row>
      <xdr:rowOff>38100</xdr:rowOff>
    </xdr:from>
    <xdr:to>
      <xdr:col>14</xdr:col>
      <xdr:colOff>136071</xdr:colOff>
      <xdr:row>17</xdr:row>
      <xdr:rowOff>142875</xdr:rowOff>
    </xdr:to>
    <xdr:graphicFrame macro="">
      <xdr:nvGraphicFramePr>
        <xdr:cNvPr id="3" name="Chart 2">
          <a:extLst>
            <a:ext uri="{FF2B5EF4-FFF2-40B4-BE49-F238E27FC236}">
              <a16:creationId xmlns:a16="http://schemas.microsoft.com/office/drawing/2014/main" id="{1FBDC6D4-1F0F-4084-B74B-D1A4936A6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25</xdr:row>
      <xdr:rowOff>126547</xdr:rowOff>
    </xdr:from>
    <xdr:to>
      <xdr:col>14</xdr:col>
      <xdr:colOff>9525</xdr:colOff>
      <xdr:row>32</xdr:row>
      <xdr:rowOff>174173</xdr:rowOff>
    </xdr:to>
    <xdr:graphicFrame macro="">
      <xdr:nvGraphicFramePr>
        <xdr:cNvPr id="4" name="Chart 3">
          <a:extLst>
            <a:ext uri="{FF2B5EF4-FFF2-40B4-BE49-F238E27FC236}">
              <a16:creationId xmlns:a16="http://schemas.microsoft.com/office/drawing/2014/main" id="{87C2BD9C-E5E6-4EA0-8C70-8E734B0CA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65691</xdr:colOff>
      <xdr:row>35</xdr:row>
      <xdr:rowOff>130987</xdr:rowOff>
    </xdr:from>
    <xdr:to>
      <xdr:col>14</xdr:col>
      <xdr:colOff>273326</xdr:colOff>
      <xdr:row>46</xdr:row>
      <xdr:rowOff>103533</xdr:rowOff>
    </xdr:to>
    <xdr:graphicFrame macro="">
      <xdr:nvGraphicFramePr>
        <xdr:cNvPr id="6" name="Chart 5">
          <a:extLst>
            <a:ext uri="{FF2B5EF4-FFF2-40B4-BE49-F238E27FC236}">
              <a16:creationId xmlns:a16="http://schemas.microsoft.com/office/drawing/2014/main" id="{09D27DFA-6B22-881D-A640-A3DB88E50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28575</xdr:colOff>
      <xdr:row>48</xdr:row>
      <xdr:rowOff>85725</xdr:rowOff>
    </xdr:from>
    <xdr:to>
      <xdr:col>13</xdr:col>
      <xdr:colOff>933450</xdr:colOff>
      <xdr:row>59</xdr:row>
      <xdr:rowOff>76200</xdr:rowOff>
    </xdr:to>
    <xdr:graphicFrame macro="">
      <xdr:nvGraphicFramePr>
        <xdr:cNvPr id="7" name="Chart 6">
          <a:extLst>
            <a:ext uri="{FF2B5EF4-FFF2-40B4-BE49-F238E27FC236}">
              <a16:creationId xmlns:a16="http://schemas.microsoft.com/office/drawing/2014/main" id="{F5BA8E92-AFA5-BC20-A75C-03EF7B1C7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228601</xdr:colOff>
      <xdr:row>0</xdr:row>
      <xdr:rowOff>104775</xdr:rowOff>
    </xdr:from>
    <xdr:to>
      <xdr:col>12</xdr:col>
      <xdr:colOff>571501</xdr:colOff>
      <xdr:row>3</xdr:row>
      <xdr:rowOff>171450</xdr:rowOff>
    </xdr:to>
    <xdr:pic>
      <xdr:nvPicPr>
        <xdr:cNvPr id="2" name="Picture 1">
          <a:extLst>
            <a:ext uri="{FF2B5EF4-FFF2-40B4-BE49-F238E27FC236}">
              <a16:creationId xmlns:a16="http://schemas.microsoft.com/office/drawing/2014/main" id="{AA942B3D-14BC-44C7-A636-94B65E51718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661" b="37735"/>
        <a:stretch>
          <a:fillRect/>
        </a:stretch>
      </xdr:blipFill>
      <xdr:spPr>
        <a:xfrm>
          <a:off x="5905501" y="104775"/>
          <a:ext cx="2133600" cy="638175"/>
        </a:xfrm>
        <a:prstGeom prst="rect">
          <a:avLst/>
        </a:prstGeom>
      </xdr:spPr>
    </xdr:pic>
    <xdr:clientData/>
  </xdr:twoCellAnchor>
  <xdr:twoCellAnchor>
    <xdr:from>
      <xdr:col>1</xdr:col>
      <xdr:colOff>9524</xdr:colOff>
      <xdr:row>43</xdr:row>
      <xdr:rowOff>133348</xdr:rowOff>
    </xdr:from>
    <xdr:to>
      <xdr:col>13</xdr:col>
      <xdr:colOff>47625</xdr:colOff>
      <xdr:row>50</xdr:row>
      <xdr:rowOff>104775</xdr:rowOff>
    </xdr:to>
    <xdr:sp macro="" textlink="">
      <xdr:nvSpPr>
        <xdr:cNvPr id="3" name="TextBox 2">
          <a:extLst>
            <a:ext uri="{FF2B5EF4-FFF2-40B4-BE49-F238E27FC236}">
              <a16:creationId xmlns:a16="http://schemas.microsoft.com/office/drawing/2014/main" id="{BE9C662C-F588-7AEA-56C6-A61C8FA405D7}"/>
            </a:ext>
          </a:extLst>
        </xdr:cNvPr>
        <xdr:cNvSpPr txBox="1"/>
      </xdr:nvSpPr>
      <xdr:spPr>
        <a:xfrm>
          <a:off x="133349" y="8420098"/>
          <a:ext cx="7848601" cy="1304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tx1">
                  <a:lumMod val="65000"/>
                  <a:lumOff val="35000"/>
                </a:schemeClr>
              </a:solidFill>
              <a:effectLst/>
              <a:latin typeface="+mn-lt"/>
              <a:ea typeface="+mn-ea"/>
              <a:cs typeface="+mn-cs"/>
            </a:rPr>
            <a:t>Credit Rating Cross-Check:</a:t>
          </a:r>
          <a:r>
            <a:rPr lang="en-IN" sz="1100" b="0" i="0" u="none" strike="noStrike">
              <a:solidFill>
                <a:schemeClr val="tx1">
                  <a:lumMod val="65000"/>
                  <a:lumOff val="35000"/>
                </a:schemeClr>
              </a:solidFill>
              <a:effectLst/>
              <a:latin typeface="+mn-lt"/>
              <a:ea typeface="+mn-ea"/>
              <a:cs typeface="+mn-cs"/>
            </a:rPr>
            <a:t> </a:t>
          </a:r>
          <a:br>
            <a:rPr lang="en-IN" sz="1100" b="0" i="0" u="none" strike="noStrike">
              <a:solidFill>
                <a:schemeClr val="tx1">
                  <a:lumMod val="65000"/>
                  <a:lumOff val="35000"/>
                </a:schemeClr>
              </a:solidFill>
              <a:effectLst/>
              <a:latin typeface="+mn-lt"/>
              <a:ea typeface="+mn-ea"/>
              <a:cs typeface="+mn-cs"/>
            </a:rPr>
          </a:br>
          <a:r>
            <a:rPr lang="en-IN" sz="1100" b="0" i="0" u="none" strike="noStrike">
              <a:solidFill>
                <a:schemeClr val="tx1">
                  <a:lumMod val="65000"/>
                  <a:lumOff val="35000"/>
                </a:schemeClr>
              </a:solidFill>
              <a:effectLst/>
              <a:latin typeface="+mn-lt"/>
              <a:ea typeface="+mn-ea"/>
              <a:cs typeface="+mn-cs"/>
            </a:rPr>
            <a:t>Tata Power's CRISIL long-term rating has moved from AA- (FY17</a:t>
          </a:r>
          <a:r>
            <a:rPr lang="en-IN" sz="1100" b="0" i="0" u="none" strike="noStrike" baseline="0">
              <a:solidFill>
                <a:schemeClr val="tx1">
                  <a:lumMod val="65000"/>
                  <a:lumOff val="35000"/>
                </a:schemeClr>
              </a:solidFill>
              <a:effectLst/>
              <a:latin typeface="+mn-lt"/>
              <a:ea typeface="+mn-ea"/>
              <a:cs typeface="+mn-cs"/>
            </a:rPr>
            <a:t> - </a:t>
          </a:r>
          <a:r>
            <a:rPr lang="en-IN" sz="1100" b="0" i="0" u="none" strike="noStrike">
              <a:solidFill>
                <a:schemeClr val="tx1">
                  <a:lumMod val="65000"/>
                  <a:lumOff val="35000"/>
                </a:schemeClr>
              </a:solidFill>
              <a:effectLst/>
              <a:latin typeface="+mn-lt"/>
              <a:ea typeface="+mn-ea"/>
              <a:cs typeface="+mn-cs"/>
            </a:rPr>
            <a:t>FY20) to AA (Nov 2020</a:t>
          </a:r>
          <a:r>
            <a:rPr lang="en-IN" sz="1100" b="0" i="0" u="none" strike="noStrike" baseline="0">
              <a:solidFill>
                <a:schemeClr val="tx1">
                  <a:lumMod val="65000"/>
                  <a:lumOff val="35000"/>
                </a:schemeClr>
              </a:solidFill>
              <a:effectLst/>
              <a:latin typeface="+mn-lt"/>
              <a:ea typeface="+mn-ea"/>
              <a:cs typeface="+mn-cs"/>
            </a:rPr>
            <a:t> - </a:t>
          </a:r>
          <a:r>
            <a:rPr lang="en-IN" sz="1100" b="0" i="0" u="none" strike="noStrike">
              <a:solidFill>
                <a:schemeClr val="tx1">
                  <a:lumMod val="65000"/>
                  <a:lumOff val="35000"/>
                </a:schemeClr>
              </a:solidFill>
              <a:effectLst/>
              <a:latin typeface="+mn-lt"/>
              <a:ea typeface="+mn-ea"/>
              <a:cs typeface="+mn-cs"/>
            </a:rPr>
            <a:t>Mar 2024) to AA+ (Apr 2024 -</a:t>
          </a:r>
          <a:r>
            <a:rPr lang="en-IN" sz="1100" b="0" i="0" u="none" strike="noStrike" baseline="0">
              <a:solidFill>
                <a:schemeClr val="tx1">
                  <a:lumMod val="65000"/>
                  <a:lumOff val="35000"/>
                </a:schemeClr>
              </a:solidFill>
              <a:effectLst/>
              <a:latin typeface="+mn-lt"/>
              <a:ea typeface="+mn-ea"/>
              <a:cs typeface="+mn-cs"/>
            </a:rPr>
            <a:t> </a:t>
          </a:r>
          <a:r>
            <a:rPr lang="en-IN" sz="1100" b="0" i="0" u="none" strike="noStrike">
              <a:solidFill>
                <a:schemeClr val="tx1">
                  <a:lumMod val="65000"/>
                  <a:lumOff val="35000"/>
                </a:schemeClr>
              </a:solidFill>
              <a:effectLst/>
              <a:latin typeface="+mn-lt"/>
              <a:ea typeface="+mn-ea"/>
              <a:cs typeface="+mn-cs"/>
            </a:rPr>
            <a:t>present), a clean upgrade trajectory with no downgrades over the model period. CRISIL's own stated rating threshold has been Net Debt/EBITDA sustained below 3.5</a:t>
          </a:r>
          <a:r>
            <a:rPr lang="en-IN" sz="1100" b="0" i="0" u="none" strike="noStrike" baseline="0">
              <a:solidFill>
                <a:schemeClr val="tx1">
                  <a:lumMod val="65000"/>
                  <a:lumOff val="35000"/>
                </a:schemeClr>
              </a:solidFill>
              <a:effectLst/>
              <a:latin typeface="+mn-lt"/>
              <a:ea typeface="+mn-ea"/>
              <a:cs typeface="+mn-cs"/>
            </a:rPr>
            <a:t> -</a:t>
          </a:r>
          <a:r>
            <a:rPr lang="en-IN" sz="1100" b="0" i="0" u="none" strike="noStrike">
              <a:solidFill>
                <a:schemeClr val="tx1">
                  <a:lumMod val="65000"/>
                  <a:lumOff val="35000"/>
                </a:schemeClr>
              </a:solidFill>
              <a:effectLst/>
              <a:latin typeface="+mn-lt"/>
              <a:ea typeface="+mn-ea"/>
              <a:cs typeface="+mn-cs"/>
            </a:rPr>
            <a:t>4.0x.</a:t>
          </a:r>
          <a:r>
            <a:rPr lang="en-IN" sz="1100" b="0" i="0" u="none" strike="noStrike" baseline="0">
              <a:solidFill>
                <a:schemeClr val="tx1">
                  <a:lumMod val="65000"/>
                  <a:lumOff val="35000"/>
                </a:schemeClr>
              </a:solidFill>
              <a:effectLst/>
              <a:latin typeface="+mn-lt"/>
              <a:ea typeface="+mn-ea"/>
              <a:cs typeface="+mn-cs"/>
            </a:rPr>
            <a:t> </a:t>
          </a:r>
          <a:br>
            <a:rPr lang="en-IN" sz="1100" b="0" i="0" u="none" strike="noStrike" baseline="0">
              <a:solidFill>
                <a:schemeClr val="tx1">
                  <a:lumMod val="65000"/>
                  <a:lumOff val="35000"/>
                </a:schemeClr>
              </a:solidFill>
              <a:effectLst/>
              <a:latin typeface="+mn-lt"/>
              <a:ea typeface="+mn-ea"/>
              <a:cs typeface="+mn-cs"/>
            </a:rPr>
          </a:br>
          <a:r>
            <a:rPr lang="en-IN" sz="1100" b="0" i="0" u="none" strike="noStrike" baseline="0">
              <a:solidFill>
                <a:schemeClr val="tx1">
                  <a:lumMod val="65000"/>
                  <a:lumOff val="35000"/>
                </a:schemeClr>
              </a:solidFill>
              <a:effectLst/>
              <a:latin typeface="+mn-lt"/>
              <a:ea typeface="+mn-ea"/>
              <a:cs typeface="+mn-cs"/>
            </a:rPr>
            <a:t>T</a:t>
          </a:r>
          <a:r>
            <a:rPr lang="en-IN" sz="1100" b="0" i="0" u="none" strike="noStrike">
              <a:solidFill>
                <a:schemeClr val="tx1">
                  <a:lumMod val="65000"/>
                  <a:lumOff val="35000"/>
                </a:schemeClr>
              </a:solidFill>
              <a:effectLst/>
              <a:latin typeface="+mn-lt"/>
              <a:ea typeface="+mn-ea"/>
              <a:cs typeface="+mn-cs"/>
            </a:rPr>
            <a:t>his scorecard's Net Debt/EBITDA series (8.16x in FY17, declining to 3.98x in FY25, rising to 5.15x in FY26) tracks this trajectory directionally, though the FY26 uptick above CRISIL's stated threshold is worth monitoring against the next rating action. </a:t>
          </a:r>
          <a:br>
            <a:rPr lang="en-IN" sz="1100" b="0" i="0" u="none" strike="noStrike">
              <a:solidFill>
                <a:schemeClr val="tx1">
                  <a:lumMod val="65000"/>
                  <a:lumOff val="35000"/>
                </a:schemeClr>
              </a:solidFill>
              <a:effectLst/>
              <a:latin typeface="+mn-lt"/>
              <a:ea typeface="+mn-ea"/>
              <a:cs typeface="+mn-cs"/>
            </a:rPr>
          </a:br>
          <a:r>
            <a:rPr lang="en-IN" sz="1100" b="0" i="0" u="none" strike="noStrike">
              <a:solidFill>
                <a:schemeClr val="tx1">
                  <a:lumMod val="65000"/>
                  <a:lumOff val="35000"/>
                </a:schemeClr>
              </a:solidFill>
              <a:effectLst/>
              <a:latin typeface="+mn-lt"/>
              <a:ea typeface="+mn-ea"/>
              <a:cs typeface="+mn-cs"/>
            </a:rPr>
            <a:t>This scorecard's composite score is benchmarked against this actual rating history, not a theoretical target.</a:t>
          </a:r>
          <a:r>
            <a:rPr lang="en-IN">
              <a:solidFill>
                <a:schemeClr val="tx1">
                  <a:lumMod val="65000"/>
                  <a:lumOff val="35000"/>
                </a:schemeClr>
              </a:solidFill>
              <a:effectLst/>
            </a:rPr>
            <a:t> </a:t>
          </a:r>
          <a:endParaRPr lang="en-IN" sz="1100">
            <a:solidFill>
              <a:schemeClr val="tx1">
                <a:lumMod val="65000"/>
                <a:lumOff val="35000"/>
              </a:schemeClr>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6a1b9be0e9f5584/Desktop/New%20folder/Tata%20Power%20-%20DCF,%20Relative%20Valuation%20&amp;%20Risk%20Analysis2%20COPY.xlsx.xlsx" TargetMode="External"/><Relationship Id="rId1" Type="http://schemas.openxmlformats.org/officeDocument/2006/relationships/externalLinkPath" Target="file:///C:\Users\Moose\OneDrive\Desktop\New%20folder\Tata%20Power%20-%20DCF,%20Relative%20Valuation%20&amp;%20Risk%20Analysis2%20COPY.xlsx.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c6a1b9be0e9f5584/Desktop/Tata%20Power%20Co.xlsx" TargetMode="External"/><Relationship Id="rId1" Type="http://schemas.openxmlformats.org/officeDocument/2006/relationships/externalLinkPath" Target="file:///C:\Users\Moose\OneDrive\Desktop\Tata%20Power%20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ustomization"/>
      <sheetName val="Data Sheet"/>
      <sheetName val="Peer Company Database"/>
      <sheetName val="Financials -&gt;"/>
      <sheetName val="Historical Financial Statements"/>
      <sheetName val="Ratio Analysis"/>
      <sheetName val="Common Size Statement"/>
      <sheetName val="DCF -&gt;"/>
      <sheetName val="Beta Regression Historical Data"/>
      <sheetName val="Value at Risk (VaR)"/>
      <sheetName val="Valuation Drivers"/>
      <sheetName val="WACC"/>
      <sheetName val="DCF Assumptions"/>
      <sheetName val="DCF Model"/>
      <sheetName val="Peer Multiples Valuation"/>
      <sheetName val="Reg-Based Relative Valuation"/>
      <sheetName val="Reports-&gt;"/>
      <sheetName val="Football Field Analysis"/>
      <sheetName val="DuPont ROE Analysis"/>
      <sheetName val="Altman Z-Score (Credit Risk)"/>
      <sheetName val="Company Profile"/>
      <sheetName val="Sheet1"/>
    </sheetNames>
    <sheetDataSet>
      <sheetData sheetId="0"/>
      <sheetData sheetId="1"/>
      <sheetData sheetId="2"/>
      <sheetData sheetId="3"/>
      <sheetData sheetId="4"/>
      <sheetData sheetId="5">
        <row r="1">
          <cell r="E1" t="str">
            <v/>
          </cell>
        </row>
      </sheetData>
      <sheetData sheetId="6"/>
      <sheetData sheetId="7"/>
      <sheetData sheetId="8"/>
      <sheetData sheetId="9"/>
      <sheetData sheetId="10"/>
      <sheetData sheetId="11"/>
      <sheetData sheetId="12"/>
      <sheetData sheetId="13">
        <row r="21">
          <cell r="V21">
            <v>0.1326</v>
          </cell>
          <cell r="Y21">
            <v>50000</v>
          </cell>
          <cell r="AB21">
            <v>5</v>
          </cell>
        </row>
        <row r="22">
          <cell r="V22">
            <v>0.13178330238086983</v>
          </cell>
          <cell r="Y22">
            <v>0.6</v>
          </cell>
        </row>
        <row r="23">
          <cell r="Y23">
            <v>0.4</v>
          </cell>
        </row>
        <row r="24">
          <cell r="AB24">
            <v>1.6448536269514715</v>
          </cell>
        </row>
        <row r="26">
          <cell r="V26">
            <v>0.27728519089085629</v>
          </cell>
          <cell r="Y26">
            <v>0.13695537503238561</v>
          </cell>
        </row>
        <row r="27">
          <cell r="V27">
            <v>4.2245927744585527E-4</v>
          </cell>
        </row>
      </sheetData>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ustomization"/>
      <sheetName val="Data Sheet"/>
      <sheetName val="Financials -&gt;"/>
      <sheetName val="HistoricalFS"/>
      <sheetName val="Ratio Analysis"/>
      <sheetName val="Common Size Statement "/>
      <sheetName val="Sheet2"/>
    </sheetNames>
    <sheetDataSet>
      <sheetData sheetId="0"/>
      <sheetData sheetId="1"/>
      <sheetData sheetId="2"/>
      <sheetData sheetId="3"/>
      <sheetData sheetId="4"/>
      <sheetData sheetId="5">
        <row r="1">
          <cell r="E1" t="str">
            <v/>
          </cell>
        </row>
      </sheetData>
      <sheetData sheetId="6"/>
      <sheetData sheetId="7">
        <row r="24">
          <cell r="C24">
            <v>5630.6399999999976</v>
          </cell>
        </row>
      </sheetData>
      <sheetData sheetId="8"/>
      <sheetData sheetId="9"/>
      <sheetData sheetId="10">
        <row r="15">
          <cell r="C15">
            <v>-2177</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google.com/search?q=Avenue+Supermarts+Limited&amp;rlz=1C1CHBF_enIN1050IN1050&amp;oq=avenue+supermarts+nse+c&amp;gs_lcrp=EgZjaHJvbWUqCAgBEAAYFhgeMgYIABBFGDkyCAgBEAAYFhgeMg0IAhAAGIYDGIAEGIoFMg0IAxAAGIYDGIAEGIoFMg0IBBAAGIYDGIAEGIoFMg0IBRAAGIYDGIAEGIoFMgcIBhAAGO8FMgoIBxAAGKIEGIkFMgoICBAAGIAEGKIE0gEIOTM1MmowajeoAgCwAgA&amp;sourceid=chrome&amp;ie=UTF-8&amp;ved=2ahUKEwjQkOXxzteTAxW1RWwGHcOpJSgQgK4QegYIAQgAEAM"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pages.stern.nyu.edu/~adamodar/New_Home_Page/datafile/ctryprem.html"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screener.in/company/TATAPOWER/consolidated/"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screener.in/"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3.bin"/><Relationship Id="rId1" Type="http://schemas.openxmlformats.org/officeDocument/2006/relationships/hyperlink" Target="https://in.investing.com/equities/"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workbookViewId="0"/>
  </sheetViews>
  <sheetFormatPr defaultColWidth="8.85546875" defaultRowHeight="15"/>
  <cols>
    <col min="1" max="1" width="20.7109375" customWidth="1"/>
    <col min="2" max="6" width="13.42578125" customWidth="1"/>
    <col min="7" max="7" width="14.85546875" bestFit="1" customWidth="1"/>
    <col min="8" max="11" width="13.42578125" customWidth="1"/>
    <col min="12" max="12" width="13.28515625" customWidth="1"/>
    <col min="13" max="14" width="12.140625" customWidth="1"/>
  </cols>
  <sheetData>
    <row r="1" spans="1:14" s="2" customFormat="1">
      <c r="A1" s="2" t="str">
        <f>'Data Sheet'!B1</f>
        <v>TATA POWER COMPANY LTD</v>
      </c>
      <c r="H1" t="str">
        <f>UPDATE</f>
        <v/>
      </c>
      <c r="J1" s="3"/>
      <c r="K1" s="3"/>
      <c r="M1" s="2" t="s">
        <v>1</v>
      </c>
    </row>
    <row r="3" spans="1:14" s="2" customFormat="1">
      <c r="A3" s="11" t="s">
        <v>2</v>
      </c>
      <c r="B3" s="12">
        <f>'Data Sheet'!B16</f>
        <v>42825</v>
      </c>
      <c r="C3" s="12">
        <f>'Data Sheet'!C16</f>
        <v>43190</v>
      </c>
      <c r="D3" s="12">
        <f>'Data Sheet'!D16</f>
        <v>43555</v>
      </c>
      <c r="E3" s="12">
        <f>'Data Sheet'!E16</f>
        <v>43921</v>
      </c>
      <c r="F3" s="12">
        <f>'Data Sheet'!F16</f>
        <v>44286</v>
      </c>
      <c r="G3" s="12">
        <f>'Data Sheet'!G16</f>
        <v>44651</v>
      </c>
      <c r="H3" s="12">
        <f>'Data Sheet'!H16</f>
        <v>45016</v>
      </c>
      <c r="I3" s="12">
        <f>'Data Sheet'!I16</f>
        <v>45382</v>
      </c>
      <c r="J3" s="12">
        <f>'Data Sheet'!J16</f>
        <v>45747</v>
      </c>
      <c r="K3" s="12">
        <f>'Data Sheet'!K16</f>
        <v>46112</v>
      </c>
      <c r="L3" s="13" t="s">
        <v>3</v>
      </c>
      <c r="M3" s="13" t="s">
        <v>4</v>
      </c>
      <c r="N3" s="13" t="s">
        <v>5</v>
      </c>
    </row>
    <row r="4" spans="1:14" s="2" customFormat="1">
      <c r="A4" s="2" t="s">
        <v>6</v>
      </c>
      <c r="B4" s="1">
        <f>'Data Sheet'!B17</f>
        <v>27587.59</v>
      </c>
      <c r="C4" s="1">
        <f>'Data Sheet'!C17</f>
        <v>26840.27</v>
      </c>
      <c r="D4" s="1">
        <f>'Data Sheet'!D17</f>
        <v>29881.06</v>
      </c>
      <c r="E4" s="1">
        <f>'Data Sheet'!E17</f>
        <v>29136.37</v>
      </c>
      <c r="F4" s="1">
        <f>'Data Sheet'!F17</f>
        <v>32703.31</v>
      </c>
      <c r="G4" s="1">
        <f>'Data Sheet'!G17</f>
        <v>42815.67</v>
      </c>
      <c r="H4" s="1">
        <f>'Data Sheet'!H17</f>
        <v>55109.08</v>
      </c>
      <c r="I4" s="1">
        <f>'Data Sheet'!I17</f>
        <v>61448.9</v>
      </c>
      <c r="J4" s="1">
        <f>'Data Sheet'!J17</f>
        <v>65478.239999999998</v>
      </c>
      <c r="K4" s="1">
        <f>'Data Sheet'!K17</f>
        <v>62428.59</v>
      </c>
      <c r="L4" s="1">
        <f>SUM(Quarters!H4:K4)</f>
        <v>62428.59</v>
      </c>
      <c r="M4" s="1">
        <f>$K4+M23*K4</f>
        <v>65078.417125460888</v>
      </c>
      <c r="N4" s="1">
        <f>$K4+N23*L4</f>
        <v>62428.59</v>
      </c>
    </row>
    <row r="5" spans="1:14">
      <c r="A5" t="s">
        <v>7</v>
      </c>
      <c r="B5" s="6">
        <f>SUM('Data Sheet'!B18,'Data Sheet'!B20:B24, -1*'Data Sheet'!B19)</f>
        <v>22114.32</v>
      </c>
      <c r="C5" s="6">
        <f>SUM('Data Sheet'!C18,'Data Sheet'!C20:C24, -1*'Data Sheet'!C19)</f>
        <v>21833.119999999999</v>
      </c>
      <c r="D5" s="6">
        <f>SUM('Data Sheet'!D18,'Data Sheet'!D20:D24, -1*'Data Sheet'!D19)</f>
        <v>23449.049999999996</v>
      </c>
      <c r="E5" s="6">
        <f>SUM('Data Sheet'!E18,'Data Sheet'!E20:E24, -1*'Data Sheet'!E19)</f>
        <v>22331.299999999996</v>
      </c>
      <c r="F5" s="6">
        <f>SUM('Data Sheet'!F18,'Data Sheet'!F20:F24, -1*'Data Sheet'!F19)</f>
        <v>25782.410000000003</v>
      </c>
      <c r="G5" s="6">
        <f>SUM('Data Sheet'!G18,'Data Sheet'!G20:G24, -1*'Data Sheet'!G19)</f>
        <v>35784.78</v>
      </c>
      <c r="H5" s="6">
        <f>SUM('Data Sheet'!H18,'Data Sheet'!H20:H24, -1*'Data Sheet'!H19)</f>
        <v>47381.32</v>
      </c>
      <c r="I5" s="6">
        <f>SUM('Data Sheet'!I18,'Data Sheet'!I20:I24, -1*'Data Sheet'!I19)</f>
        <v>50713.62</v>
      </c>
      <c r="J5" s="6">
        <f>SUM('Data Sheet'!J18,'Data Sheet'!J20:J24, -1*'Data Sheet'!J19)</f>
        <v>53312.65</v>
      </c>
      <c r="K5" s="6">
        <f>SUM('Data Sheet'!K18,'Data Sheet'!K20:K24, -1*'Data Sheet'!K19)</f>
        <v>49157.32</v>
      </c>
      <c r="L5" s="6">
        <f>SUM(Quarters!H5:K5)</f>
        <v>49907.37</v>
      </c>
      <c r="M5" s="6">
        <f t="shared" ref="M5:N5" si="0">M4-M6</f>
        <v>52025.724792033798</v>
      </c>
      <c r="N5" s="6">
        <f t="shared" si="0"/>
        <v>51360.87872603492</v>
      </c>
    </row>
    <row r="6" spans="1:14" s="2" customFormat="1">
      <c r="A6" s="2" t="s">
        <v>8</v>
      </c>
      <c r="B6" s="1">
        <f>B4-B5</f>
        <v>5473.27</v>
      </c>
      <c r="C6" s="1">
        <f t="shared" ref="C6:K6" si="1">C4-C5</f>
        <v>5007.1500000000015</v>
      </c>
      <c r="D6" s="1">
        <f t="shared" si="1"/>
        <v>6432.0100000000057</v>
      </c>
      <c r="E6" s="1">
        <f t="shared" si="1"/>
        <v>6805.0700000000033</v>
      </c>
      <c r="F6" s="1">
        <f t="shared" si="1"/>
        <v>6920.8999999999978</v>
      </c>
      <c r="G6" s="1">
        <f t="shared" si="1"/>
        <v>7030.8899999999994</v>
      </c>
      <c r="H6" s="1">
        <f t="shared" si="1"/>
        <v>7727.760000000002</v>
      </c>
      <c r="I6" s="1">
        <f t="shared" si="1"/>
        <v>10735.279999999999</v>
      </c>
      <c r="J6" s="1">
        <f t="shared" si="1"/>
        <v>12165.589999999997</v>
      </c>
      <c r="K6" s="1">
        <f t="shared" si="1"/>
        <v>13271.269999999997</v>
      </c>
      <c r="L6" s="1">
        <f>SUM(Quarters!H6:K6)</f>
        <v>12521.22</v>
      </c>
      <c r="M6" s="1">
        <f>M4*M24</f>
        <v>13052.692333427094</v>
      </c>
      <c r="N6" s="1">
        <f>N4*N24</f>
        <v>11067.71127396508</v>
      </c>
    </row>
    <row r="7" spans="1:14">
      <c r="A7" t="s">
        <v>9</v>
      </c>
      <c r="B7" s="6">
        <f>'Data Sheet'!B25</f>
        <v>1297.3699999999999</v>
      </c>
      <c r="C7" s="6">
        <f>'Data Sheet'!C25</f>
        <v>3873.32</v>
      </c>
      <c r="D7" s="6">
        <f>'Data Sheet'!D25</f>
        <v>3824.37</v>
      </c>
      <c r="E7" s="6">
        <f>'Data Sheet'!E25</f>
        <v>2280.15</v>
      </c>
      <c r="F7" s="6">
        <f>'Data Sheet'!F25</f>
        <v>1774.96</v>
      </c>
      <c r="G7" s="6">
        <f>'Data Sheet'!G25</f>
        <v>2485.5</v>
      </c>
      <c r="H7" s="6">
        <f>'Data Sheet'!H25</f>
        <v>5540.09</v>
      </c>
      <c r="I7" s="6">
        <f>'Data Sheet'!I25</f>
        <v>3416.33</v>
      </c>
      <c r="J7" s="6">
        <f>'Data Sheet'!J25</f>
        <v>2973.33</v>
      </c>
      <c r="K7" s="6">
        <f>'Data Sheet'!K25</f>
        <v>3432.6</v>
      </c>
      <c r="L7" s="6">
        <f>SUM(Quarters!H7:K7)</f>
        <v>4182.6499999999996</v>
      </c>
      <c r="M7" s="6">
        <v>0</v>
      </c>
      <c r="N7" s="6">
        <v>0</v>
      </c>
    </row>
    <row r="8" spans="1:14">
      <c r="A8" t="s">
        <v>10</v>
      </c>
      <c r="B8" s="6">
        <f>'Data Sheet'!B26</f>
        <v>1955.59</v>
      </c>
      <c r="C8" s="6">
        <f>'Data Sheet'!C26</f>
        <v>2346.17</v>
      </c>
      <c r="D8" s="6">
        <f>'Data Sheet'!D26</f>
        <v>2393.13</v>
      </c>
      <c r="E8" s="6">
        <f>'Data Sheet'!E26</f>
        <v>2633.56</v>
      </c>
      <c r="F8" s="6">
        <f>'Data Sheet'!F26</f>
        <v>2744.94</v>
      </c>
      <c r="G8" s="6">
        <f>'Data Sheet'!G26</f>
        <v>3122.2</v>
      </c>
      <c r="H8" s="6">
        <f>'Data Sheet'!H26</f>
        <v>3439.2</v>
      </c>
      <c r="I8" s="6">
        <f>'Data Sheet'!I26</f>
        <v>3786.37</v>
      </c>
      <c r="J8" s="6">
        <f>'Data Sheet'!J26</f>
        <v>4116.8599999999997</v>
      </c>
      <c r="K8" s="6">
        <f>'Data Sheet'!K26</f>
        <v>4811.09</v>
      </c>
      <c r="L8" s="6">
        <f>SUM(Quarters!H8:K8)</f>
        <v>4811.09</v>
      </c>
      <c r="M8" s="6">
        <f>+$L8</f>
        <v>4811.09</v>
      </c>
      <c r="N8" s="6">
        <f>+$L8</f>
        <v>4811.09</v>
      </c>
    </row>
    <row r="9" spans="1:14">
      <c r="A9" t="s">
        <v>11</v>
      </c>
      <c r="B9" s="6">
        <f>'Data Sheet'!B27</f>
        <v>3364.96</v>
      </c>
      <c r="C9" s="6">
        <f>'Data Sheet'!C27</f>
        <v>3761.48</v>
      </c>
      <c r="D9" s="6">
        <f>'Data Sheet'!D27</f>
        <v>4170</v>
      </c>
      <c r="E9" s="6">
        <f>'Data Sheet'!E27</f>
        <v>4493.7299999999996</v>
      </c>
      <c r="F9" s="6">
        <f>'Data Sheet'!F27</f>
        <v>4010.39</v>
      </c>
      <c r="G9" s="6">
        <f>'Data Sheet'!G27</f>
        <v>3859.02</v>
      </c>
      <c r="H9" s="6">
        <f>'Data Sheet'!H27</f>
        <v>4371.6499999999996</v>
      </c>
      <c r="I9" s="6">
        <f>'Data Sheet'!I27</f>
        <v>4633.22</v>
      </c>
      <c r="J9" s="6">
        <f>'Data Sheet'!J27</f>
        <v>4702.4399999999996</v>
      </c>
      <c r="K9" s="6">
        <f>'Data Sheet'!K27</f>
        <v>5256.79</v>
      </c>
      <c r="L9" s="6">
        <f>SUM(Quarters!H9:K9)</f>
        <v>5256.79</v>
      </c>
      <c r="M9" s="6">
        <f>+$L9</f>
        <v>5256.79</v>
      </c>
      <c r="N9" s="6">
        <f>+$L9</f>
        <v>5256.79</v>
      </c>
    </row>
    <row r="10" spans="1:14">
      <c r="A10" t="s">
        <v>12</v>
      </c>
      <c r="B10" s="6">
        <f>'Data Sheet'!B28</f>
        <v>1450.09</v>
      </c>
      <c r="C10" s="6">
        <f>'Data Sheet'!C28</f>
        <v>2772.82</v>
      </c>
      <c r="D10" s="6">
        <f>'Data Sheet'!D28</f>
        <v>3693.25</v>
      </c>
      <c r="E10" s="6">
        <f>'Data Sheet'!E28</f>
        <v>1957.93</v>
      </c>
      <c r="F10" s="6">
        <f>'Data Sheet'!F28</f>
        <v>1940.53</v>
      </c>
      <c r="G10" s="6">
        <f>'Data Sheet'!G28</f>
        <v>2535.17</v>
      </c>
      <c r="H10" s="6">
        <f>'Data Sheet'!H28</f>
        <v>5457</v>
      </c>
      <c r="I10" s="6">
        <f>'Data Sheet'!I28</f>
        <v>5732.02</v>
      </c>
      <c r="J10" s="6">
        <f>'Data Sheet'!J28</f>
        <v>6319.62</v>
      </c>
      <c r="K10" s="6">
        <f>'Data Sheet'!K28</f>
        <v>6635.99</v>
      </c>
      <c r="L10" s="6">
        <f>SUM(Quarters!H10:K10)</f>
        <v>6635.99</v>
      </c>
      <c r="M10" s="6">
        <f>M6+M7-SUM(M8:M9)</f>
        <v>2984.8123334270931</v>
      </c>
      <c r="N10" s="6">
        <f>N6+N7-SUM(N8:N9)</f>
        <v>999.83127396507916</v>
      </c>
    </row>
    <row r="11" spans="1:14">
      <c r="A11" t="s">
        <v>13</v>
      </c>
      <c r="B11" s="6">
        <f>'Data Sheet'!B29</f>
        <v>350.46</v>
      </c>
      <c r="C11" s="6">
        <f>'Data Sheet'!C29</f>
        <v>161.97</v>
      </c>
      <c r="D11" s="6">
        <f>'Data Sheet'!D29</f>
        <v>1087.5899999999999</v>
      </c>
      <c r="E11" s="6">
        <f>'Data Sheet'!E29</f>
        <v>641.49</v>
      </c>
      <c r="F11" s="6">
        <f>'Data Sheet'!F29</f>
        <v>501.88</v>
      </c>
      <c r="G11" s="6">
        <f>'Data Sheet'!G29</f>
        <v>379.56</v>
      </c>
      <c r="H11" s="6">
        <f>'Data Sheet'!H29</f>
        <v>1647.33</v>
      </c>
      <c r="I11" s="6">
        <f>'Data Sheet'!I29</f>
        <v>1451.92</v>
      </c>
      <c r="J11" s="6">
        <f>'Data Sheet'!J29</f>
        <v>1544.25</v>
      </c>
      <c r="K11" s="6">
        <f>'Data Sheet'!K29</f>
        <v>1518.43</v>
      </c>
      <c r="L11" s="6">
        <f>SUM(Quarters!H11:K11)</f>
        <v>1518.43</v>
      </c>
      <c r="M11" s="7">
        <f>IF($L10&gt;0,$L11/$L10,0)</f>
        <v>0.22881740328119846</v>
      </c>
      <c r="N11" s="7">
        <f>IF($L10&gt;0,$L11/$L10,0)</f>
        <v>0.22881740328119846</v>
      </c>
    </row>
    <row r="12" spans="1:14" s="2" customFormat="1">
      <c r="A12" s="2" t="s">
        <v>14</v>
      </c>
      <c r="B12" s="1">
        <f>'Data Sheet'!B30</f>
        <v>896.55</v>
      </c>
      <c r="C12" s="1">
        <f>'Data Sheet'!C30</f>
        <v>2408.3000000000002</v>
      </c>
      <c r="D12" s="1">
        <f>'Data Sheet'!D30</f>
        <v>2356.19</v>
      </c>
      <c r="E12" s="1">
        <f>'Data Sheet'!E30</f>
        <v>1017.38</v>
      </c>
      <c r="F12" s="1">
        <f>'Data Sheet'!F30</f>
        <v>1127.3800000000001</v>
      </c>
      <c r="G12" s="1">
        <f>'Data Sheet'!G30</f>
        <v>1741.46</v>
      </c>
      <c r="H12" s="1">
        <f>'Data Sheet'!H30</f>
        <v>3336.44</v>
      </c>
      <c r="I12" s="1">
        <f>'Data Sheet'!I30</f>
        <v>3696.25</v>
      </c>
      <c r="J12" s="1">
        <f>'Data Sheet'!J30</f>
        <v>3971</v>
      </c>
      <c r="K12" s="1">
        <f>'Data Sheet'!K30</f>
        <v>3747.19</v>
      </c>
      <c r="L12" s="1">
        <f>SUM(Quarters!H12:K12)</f>
        <v>3747.1899999999996</v>
      </c>
      <c r="M12" s="1">
        <f>M10-M11*M10</f>
        <v>2301.835326010611</v>
      </c>
      <c r="N12" s="1">
        <f>N10-N11*N10</f>
        <v>771.05247813705728</v>
      </c>
    </row>
    <row r="13" spans="1:14">
      <c r="A13" t="s">
        <v>57</v>
      </c>
      <c r="B13" s="6">
        <f>IF('Data Sheet'!B93&gt;0,B12/'Data Sheet'!B93,0)</f>
        <v>3.314662821650399</v>
      </c>
      <c r="C13" s="6">
        <f>IF('Data Sheet'!C93&gt;0,C12/'Data Sheet'!C93,0)</f>
        <v>8.9038006506950609</v>
      </c>
      <c r="D13" s="6">
        <f>IF('Data Sheet'!D93&gt;0,D12/'Data Sheet'!D93,0)</f>
        <v>8.7111431529133387</v>
      </c>
      <c r="E13" s="6">
        <f>IF('Data Sheet'!E93&gt;0,E12/'Data Sheet'!E93,0)</f>
        <v>3.7613871635610763</v>
      </c>
      <c r="F13" s="6">
        <f>IF('Data Sheet'!F93&gt;0,F12/'Data Sheet'!F93,0)</f>
        <v>3.5282446092698656</v>
      </c>
      <c r="G13" s="6">
        <f>IF('Data Sheet'!G93&gt;0,G12/'Data Sheet'!G93,0)</f>
        <v>5.4500672863267932</v>
      </c>
      <c r="H13" s="6">
        <f>IF('Data Sheet'!H93&gt;0,H12/'Data Sheet'!H93,0)</f>
        <v>10.441711263418146</v>
      </c>
      <c r="I13" s="6">
        <f>IF('Data Sheet'!I93&gt;0,I12/'Data Sheet'!I93,0)</f>
        <v>11.567771414264703</v>
      </c>
      <c r="J13" s="6">
        <f>IF('Data Sheet'!J93&gt;0,J12/'Data Sheet'!J93,0)</f>
        <v>12.427628078740652</v>
      </c>
      <c r="K13" s="6">
        <f>IF('Data Sheet'!K93&gt;0,K12/'Data Sheet'!K93,0)</f>
        <v>11.727193064813946</v>
      </c>
      <c r="L13" s="6">
        <f>IF('Data Sheet'!$B6&gt;0,'Profit &amp; Loss'!L12/'Data Sheet'!$B6,0)</f>
        <v>11.727047620225459</v>
      </c>
      <c r="M13" s="6">
        <f>IF('Data Sheet'!$B6&gt;0,'Profit &amp; Loss'!M12/'Data Sheet'!$B6,0)</f>
        <v>7.2037266543846536</v>
      </c>
      <c r="N13" s="6">
        <f>IF('Data Sheet'!$B6&gt;0,'Profit &amp; Loss'!N12/'Data Sheet'!$B6,0)</f>
        <v>2.4130532822744835</v>
      </c>
    </row>
    <row r="14" spans="1:14">
      <c r="A14" t="s">
        <v>16</v>
      </c>
      <c r="B14" s="6">
        <f>IF(B15&gt;0,B15/B13,"")</f>
        <v>27.257674418604651</v>
      </c>
      <c r="C14" s="6">
        <f t="shared" ref="C14:K14" si="2">IF(C15&gt;0,C15/C13,"")</f>
        <v>8.8726155379313205</v>
      </c>
      <c r="D14" s="6">
        <f t="shared" si="2"/>
        <v>8.471907613562573</v>
      </c>
      <c r="E14" s="6">
        <f t="shared" si="2"/>
        <v>8.7334801155910284</v>
      </c>
      <c r="F14" s="6">
        <f t="shared" si="2"/>
        <v>29.263844045485989</v>
      </c>
      <c r="G14" s="6">
        <f t="shared" si="2"/>
        <v>43.788450208445781</v>
      </c>
      <c r="H14" s="6">
        <f t="shared" si="2"/>
        <v>18.220193529630382</v>
      </c>
      <c r="I14" s="6">
        <f t="shared" si="2"/>
        <v>34.077436861684134</v>
      </c>
      <c r="J14" s="6">
        <f t="shared" si="2"/>
        <v>30.206890455804579</v>
      </c>
      <c r="K14" s="6">
        <f t="shared" si="2"/>
        <v>32.296731017108819</v>
      </c>
      <c r="L14" s="6">
        <f t="shared" ref="L14" si="3">IF(L13&gt;0,L15/L13,0)</f>
        <v>34.309573306931334</v>
      </c>
      <c r="M14" s="6">
        <f>M25</f>
        <v>34.309573306931334</v>
      </c>
      <c r="N14" s="6">
        <f>N25</f>
        <v>25.045345191889144</v>
      </c>
    </row>
    <row r="15" spans="1:14" s="2" customFormat="1">
      <c r="A15" s="2" t="s">
        <v>58</v>
      </c>
      <c r="B15" s="1">
        <f>'Data Sheet'!B90</f>
        <v>90.35</v>
      </c>
      <c r="C15" s="1">
        <f>'Data Sheet'!C90</f>
        <v>79</v>
      </c>
      <c r="D15" s="1">
        <f>'Data Sheet'!D90</f>
        <v>73.8</v>
      </c>
      <c r="E15" s="1">
        <f>'Data Sheet'!E90</f>
        <v>32.85</v>
      </c>
      <c r="F15" s="1">
        <f>'Data Sheet'!F90</f>
        <v>103.25</v>
      </c>
      <c r="G15" s="1">
        <f>'Data Sheet'!G90</f>
        <v>238.65</v>
      </c>
      <c r="H15" s="1">
        <f>'Data Sheet'!H90</f>
        <v>190.25</v>
      </c>
      <c r="I15" s="1">
        <f>'Data Sheet'!I90</f>
        <v>394.2</v>
      </c>
      <c r="J15" s="1">
        <f>'Data Sheet'!J90</f>
        <v>375.4</v>
      </c>
      <c r="K15" s="1">
        <f>'Data Sheet'!K90</f>
        <v>378.75</v>
      </c>
      <c r="L15" s="1">
        <f>'Data Sheet'!B8</f>
        <v>402.35</v>
      </c>
      <c r="M15" s="8">
        <f>M13*M14</f>
        <v>247.15678773170546</v>
      </c>
      <c r="N15" s="9">
        <f>N13*N14</f>
        <v>60.435752420985551</v>
      </c>
    </row>
    <row r="17" spans="1:14" s="2" customFormat="1">
      <c r="A17" s="2" t="s">
        <v>15</v>
      </c>
    </row>
    <row r="18" spans="1:14">
      <c r="A18" t="s">
        <v>17</v>
      </c>
      <c r="B18" s="5">
        <f>IF('Data Sheet'!B30&gt;0, 'Data Sheet'!B31/'Data Sheet'!B30, 0)</f>
        <v>0.39222575428029671</v>
      </c>
      <c r="C18" s="5">
        <f>IF('Data Sheet'!C30&gt;0, 'Data Sheet'!C31/'Data Sheet'!C30, 0)</f>
        <v>0.14601586181123613</v>
      </c>
      <c r="D18" s="5">
        <f>IF('Data Sheet'!D30&gt;0, 'Data Sheet'!D31/'Data Sheet'!D30, 0)</f>
        <v>0.14924517971810422</v>
      </c>
      <c r="E18" s="5">
        <f>IF('Data Sheet'!E30&gt;0, 'Data Sheet'!E31/'Data Sheet'!E30, 0)</f>
        <v>0.41211739959503824</v>
      </c>
      <c r="F18" s="5">
        <f>IF('Data Sheet'!F30&gt;0, 'Data Sheet'!F31/'Data Sheet'!F30, 0)</f>
        <v>0.43935496460820661</v>
      </c>
      <c r="G18" s="5">
        <f>IF('Data Sheet'!G30&gt;0, 'Data Sheet'!G31/'Data Sheet'!G30, 0)</f>
        <v>0.3211271002492162</v>
      </c>
      <c r="H18" s="5">
        <f>IF('Data Sheet'!H30&gt;0, 'Data Sheet'!H31/'Data Sheet'!H30, 0)</f>
        <v>0.19155746843941446</v>
      </c>
      <c r="I18" s="5">
        <f>IF('Data Sheet'!I30&gt;0, 'Data Sheet'!I31/'Data Sheet'!I30, 0)</f>
        <v>0.17291038214406493</v>
      </c>
      <c r="J18" s="5">
        <f>IF('Data Sheet'!J30&gt;0, 'Data Sheet'!J31/'Data Sheet'!J30, 0)</f>
        <v>0.18106522286577689</v>
      </c>
      <c r="K18" s="5">
        <f>IF('Data Sheet'!K30&gt;0, 'Data Sheet'!K31/'Data Sheet'!K30, 0)</f>
        <v>0.21319975768509203</v>
      </c>
    </row>
    <row r="19" spans="1:14">
      <c r="A19" t="s">
        <v>18</v>
      </c>
      <c r="B19" s="5">
        <f t="shared" ref="B19:L19" si="4">IF(B6&gt;0,B6/B4,0)</f>
        <v>0.19839609041601677</v>
      </c>
      <c r="C19" s="5">
        <f t="shared" ref="C19:K19" si="5">IF(C6&gt;0,C6/C4,0)</f>
        <v>0.18655363750066603</v>
      </c>
      <c r="D19" s="5">
        <f t="shared" si="5"/>
        <v>0.21525374267177957</v>
      </c>
      <c r="E19" s="5">
        <f t="shared" si="5"/>
        <v>0.23355929376240087</v>
      </c>
      <c r="F19" s="5">
        <f t="shared" si="5"/>
        <v>0.21162689648234376</v>
      </c>
      <c r="G19" s="5">
        <f t="shared" si="5"/>
        <v>0.16421300892874033</v>
      </c>
      <c r="H19" s="5">
        <f t="shared" si="5"/>
        <v>0.14022661964235297</v>
      </c>
      <c r="I19" s="5">
        <f t="shared" si="5"/>
        <v>0.17470255773496349</v>
      </c>
      <c r="J19" s="5">
        <f t="shared" si="5"/>
        <v>0.18579592243163526</v>
      </c>
      <c r="K19" s="5">
        <f t="shared" si="5"/>
        <v>0.21258320907135653</v>
      </c>
      <c r="L19" s="5">
        <f t="shared" si="4"/>
        <v>0.20056868175302373</v>
      </c>
    </row>
    <row r="20" spans="1:14">
      <c r="B20" s="5"/>
      <c r="C20" s="5"/>
      <c r="D20" s="5"/>
      <c r="E20" s="5"/>
      <c r="F20" s="5"/>
      <c r="G20" s="5"/>
      <c r="H20" s="5"/>
      <c r="I20" s="5"/>
      <c r="J20" s="5"/>
      <c r="K20" s="5"/>
      <c r="L20" s="5"/>
    </row>
    <row r="21" spans="1:14">
      <c r="B21" s="5"/>
      <c r="C21" s="5"/>
      <c r="D21" s="5"/>
      <c r="E21" s="5"/>
      <c r="F21" s="5"/>
      <c r="G21" s="5"/>
      <c r="H21" s="5"/>
      <c r="I21" s="5"/>
      <c r="J21" s="5"/>
      <c r="K21" s="5"/>
      <c r="L21" s="5"/>
    </row>
    <row r="22" spans="1:14" s="2" customFormat="1">
      <c r="A22" s="11"/>
      <c r="B22" s="12"/>
      <c r="C22" s="12"/>
      <c r="D22" s="12"/>
      <c r="E22" s="12"/>
      <c r="F22" s="12"/>
      <c r="G22" s="12" t="s">
        <v>19</v>
      </c>
      <c r="H22" s="12" t="s">
        <v>65</v>
      </c>
      <c r="I22" s="12" t="s">
        <v>66</v>
      </c>
      <c r="J22" s="12" t="s">
        <v>67</v>
      </c>
      <c r="K22" s="12" t="s">
        <v>68</v>
      </c>
      <c r="L22" s="13" t="s">
        <v>69</v>
      </c>
      <c r="M22" s="13" t="s">
        <v>20</v>
      </c>
      <c r="N22" s="13" t="s">
        <v>21</v>
      </c>
    </row>
    <row r="23" spans="1:14" s="2" customFormat="1">
      <c r="A23"/>
      <c r="B23"/>
      <c r="C23"/>
      <c r="D23"/>
      <c r="E23"/>
      <c r="F23"/>
      <c r="G23" t="s">
        <v>22</v>
      </c>
      <c r="H23" s="5">
        <f>IF(B4=0,"",POWER($K4/B4,1/9)-1)</f>
        <v>9.4983945006545278E-2</v>
      </c>
      <c r="I23" s="5">
        <f>IF(D4=0,"",POWER($K4/D4,1/7)-1)</f>
        <v>0.11099602168292577</v>
      </c>
      <c r="J23" s="5">
        <f>IF(F4=0,"",POWER($K4/F4,1/5)-1)</f>
        <v>0.13804219076199797</v>
      </c>
      <c r="K23" s="5">
        <f>IF(H4=0,"",POWER($K4/H4, 1/3)-1)</f>
        <v>4.244573080155889E-2</v>
      </c>
      <c r="L23" s="5">
        <f>IF(ISERROR(MAX(IF(J4=0,"",(K4-J4)/J4),IF(K4=0,"",(L4-K4)/K4))),"",MAX(IF(J4=0,"",(K4-J4)/J4),IF(K4=0,"",(L4-K4)/K4)))</f>
        <v>0</v>
      </c>
      <c r="M23" s="16">
        <f>MAX(K23:L23)</f>
        <v>4.244573080155889E-2</v>
      </c>
      <c r="N23" s="16">
        <f>MIN(H23:L23)</f>
        <v>0</v>
      </c>
    </row>
    <row r="24" spans="1:14">
      <c r="G24" t="s">
        <v>18</v>
      </c>
      <c r="H24" s="5">
        <f>IF(SUM(B4:$K$4)=0,"",SUMPRODUCT(B19:$K$19,B4:$K$4)/SUM(B4:$K$4))</f>
        <v>0.18819500989642871</v>
      </c>
      <c r="I24" s="5">
        <f>IF(SUM(E4:$K$4)=0,"",SUMPRODUCT(E19:$K$19,E4:$K$4)/SUM(E4:$K$4))</f>
        <v>0.1851991589371407</v>
      </c>
      <c r="J24" s="5">
        <f>IF(SUM(G4:$K$4)=0,"",SUMPRODUCT(G19:$K$19,G4:$K$4)/SUM(G4:$K$4))</f>
        <v>0.17728594020728453</v>
      </c>
      <c r="K24" s="5">
        <f>IF(SUM(I4:$K$4)=0, "", SUMPRODUCT(I19:$K$19,I4:$K$4)/SUM(I4:$K$4))</f>
        <v>0.19102743814512502</v>
      </c>
      <c r="L24" s="5">
        <f>L19</f>
        <v>0.20056868175302373</v>
      </c>
      <c r="M24" s="16">
        <f>MAX(K24:L24)</f>
        <v>0.20056868175302373</v>
      </c>
      <c r="N24" s="16">
        <f>MIN(H24:L24)</f>
        <v>0.17728594020728453</v>
      </c>
    </row>
    <row r="25" spans="1:14">
      <c r="G25" t="s">
        <v>23</v>
      </c>
      <c r="H25" s="6">
        <f>IF(ISERROR(AVERAGEIF(B14:$L14,"&gt;0")),"",AVERAGEIF(B14:$L14,"&gt;0"))</f>
        <v>25.045345191889144</v>
      </c>
      <c r="I25" s="6">
        <f>IF(ISERROR(AVERAGEIF(E14:$L14,"&gt;0")),"",AVERAGEIF(E14:$L14,"&gt;0"))</f>
        <v>28.862074942585252</v>
      </c>
      <c r="J25" s="6">
        <f>IF(ISERROR(AVERAGEIF(G14:$L14,"&gt;0")),"",AVERAGEIF(G14:$L14,"&gt;0"))</f>
        <v>32.149879229934172</v>
      </c>
      <c r="K25" s="6">
        <f>IF(ISERROR(AVERAGEIF(I14:$L14,"&gt;0")),"",AVERAGEIF(I14:$L14,"&gt;0"))</f>
        <v>32.722657910382217</v>
      </c>
      <c r="L25" s="6">
        <f>L14</f>
        <v>34.309573306931334</v>
      </c>
      <c r="M25" s="1">
        <f>MAX(K25:L25)</f>
        <v>34.309573306931334</v>
      </c>
      <c r="N25" s="1">
        <f>MIN(H25:L25)</f>
        <v>25.045345191889144</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workbookViewId="0"/>
  </sheetViews>
  <sheetFormatPr defaultColWidth="8.85546875" defaultRowHeight="15"/>
  <cols>
    <col min="1" max="1" width="20.7109375" customWidth="1"/>
    <col min="2" max="11" width="13.42578125" bestFit="1" customWidth="1"/>
  </cols>
  <sheetData>
    <row r="1" spans="1:11" s="2" customFormat="1">
      <c r="A1" s="2" t="str">
        <f>'Profit &amp; Loss'!A1</f>
        <v>TATA POWER COMPANY LTD</v>
      </c>
      <c r="E1" t="str">
        <f>UPDATE</f>
        <v/>
      </c>
      <c r="J1" s="2" t="s">
        <v>1</v>
      </c>
    </row>
    <row r="3" spans="1:11" s="2" customFormat="1">
      <c r="A3" s="11" t="s">
        <v>2</v>
      </c>
      <c r="B3" s="12">
        <f>'Data Sheet'!B41</f>
        <v>45291</v>
      </c>
      <c r="C3" s="12">
        <f>'Data Sheet'!C41</f>
        <v>45382</v>
      </c>
      <c r="D3" s="12">
        <f>'Data Sheet'!D41</f>
        <v>45473</v>
      </c>
      <c r="E3" s="12">
        <f>'Data Sheet'!E41</f>
        <v>45565</v>
      </c>
      <c r="F3" s="12">
        <f>'Data Sheet'!F41</f>
        <v>45657</v>
      </c>
      <c r="G3" s="12">
        <f>'Data Sheet'!G41</f>
        <v>45747</v>
      </c>
      <c r="H3" s="12">
        <f>'Data Sheet'!H41</f>
        <v>45838</v>
      </c>
      <c r="I3" s="12">
        <f>'Data Sheet'!I41</f>
        <v>45930</v>
      </c>
      <c r="J3" s="12">
        <f>'Data Sheet'!J41</f>
        <v>46022</v>
      </c>
      <c r="K3" s="12">
        <f>'Data Sheet'!K41</f>
        <v>46112</v>
      </c>
    </row>
    <row r="4" spans="1:11" s="2" customFormat="1">
      <c r="A4" s="2" t="s">
        <v>6</v>
      </c>
      <c r="B4" s="1">
        <f>'Data Sheet'!B42</f>
        <v>14651</v>
      </c>
      <c r="C4" s="1">
        <f>'Data Sheet'!C42</f>
        <v>15846.58</v>
      </c>
      <c r="D4" s="1">
        <f>'Data Sheet'!D42</f>
        <v>17293.62</v>
      </c>
      <c r="E4" s="1">
        <f>'Data Sheet'!E42</f>
        <v>15697.67</v>
      </c>
      <c r="F4" s="1">
        <f>'Data Sheet'!F42</f>
        <v>15391.06</v>
      </c>
      <c r="G4" s="1">
        <f>'Data Sheet'!G42</f>
        <v>17095.88</v>
      </c>
      <c r="H4" s="1">
        <f>'Data Sheet'!H42</f>
        <v>18035.07</v>
      </c>
      <c r="I4" s="1">
        <f>'Data Sheet'!I42</f>
        <v>15544.91</v>
      </c>
      <c r="J4" s="1">
        <f>'Data Sheet'!J42</f>
        <v>13948.41</v>
      </c>
      <c r="K4" s="1">
        <f>'Data Sheet'!K42</f>
        <v>14900.2</v>
      </c>
    </row>
    <row r="5" spans="1:11">
      <c r="A5" t="s">
        <v>7</v>
      </c>
      <c r="B5" s="6">
        <f>'Data Sheet'!B43</f>
        <v>12233.58</v>
      </c>
      <c r="C5" s="6">
        <f>'Data Sheet'!C43</f>
        <v>13539.69</v>
      </c>
      <c r="D5" s="6">
        <f>'Data Sheet'!D43</f>
        <v>14231.87</v>
      </c>
      <c r="E5" s="6">
        <f>'Data Sheet'!E43</f>
        <v>12426.76</v>
      </c>
      <c r="F5" s="6">
        <f>'Data Sheet'!F43</f>
        <v>12312.03</v>
      </c>
      <c r="G5" s="6">
        <f>'Data Sheet'!G43</f>
        <v>13850.28</v>
      </c>
      <c r="H5" s="6">
        <f>'Data Sheet'!H43</f>
        <v>14469.9</v>
      </c>
      <c r="I5" s="6">
        <f>'Data Sheet'!I43</f>
        <v>12242.96</v>
      </c>
      <c r="J5" s="6">
        <f>'Data Sheet'!J43</f>
        <v>10893.5</v>
      </c>
      <c r="K5" s="6">
        <f>'Data Sheet'!K43</f>
        <v>12301.01</v>
      </c>
    </row>
    <row r="6" spans="1:11" s="2" customFormat="1">
      <c r="A6" s="2" t="s">
        <v>8</v>
      </c>
      <c r="B6" s="1">
        <f>'Data Sheet'!B50</f>
        <v>2417.42</v>
      </c>
      <c r="C6" s="1">
        <f>'Data Sheet'!C50</f>
        <v>2306.89</v>
      </c>
      <c r="D6" s="1">
        <f>'Data Sheet'!D50</f>
        <v>3061.75</v>
      </c>
      <c r="E6" s="1">
        <f>'Data Sheet'!E50</f>
        <v>3270.91</v>
      </c>
      <c r="F6" s="1">
        <f>'Data Sheet'!F50</f>
        <v>3079.03</v>
      </c>
      <c r="G6" s="1">
        <f>'Data Sheet'!G50</f>
        <v>3245.6</v>
      </c>
      <c r="H6" s="1">
        <f>'Data Sheet'!H50</f>
        <v>3565.17</v>
      </c>
      <c r="I6" s="1">
        <f>'Data Sheet'!I50</f>
        <v>3301.95</v>
      </c>
      <c r="J6" s="1">
        <f>'Data Sheet'!J50</f>
        <v>3054.91</v>
      </c>
      <c r="K6" s="1">
        <f>'Data Sheet'!K50</f>
        <v>2599.19</v>
      </c>
    </row>
    <row r="7" spans="1:11">
      <c r="A7" t="s">
        <v>9</v>
      </c>
      <c r="B7" s="6">
        <f>'Data Sheet'!B44</f>
        <v>1091.8699999999999</v>
      </c>
      <c r="C7" s="6">
        <f>'Data Sheet'!C44</f>
        <v>1406.63</v>
      </c>
      <c r="D7" s="6">
        <f>'Data Sheet'!D44</f>
        <v>577.72</v>
      </c>
      <c r="E7" s="6">
        <f>'Data Sheet'!E44</f>
        <v>631.75</v>
      </c>
      <c r="F7" s="6">
        <f>'Data Sheet'!F44</f>
        <v>588.54999999999995</v>
      </c>
      <c r="G7" s="6">
        <f>'Data Sheet'!G44</f>
        <v>683.58</v>
      </c>
      <c r="H7" s="6">
        <f>'Data Sheet'!H44</f>
        <v>494.42</v>
      </c>
      <c r="I7" s="6">
        <f>'Data Sheet'!I44</f>
        <v>858.65</v>
      </c>
      <c r="J7" s="6">
        <f>'Data Sheet'!J44</f>
        <v>1056.28</v>
      </c>
      <c r="K7" s="6">
        <f>'Data Sheet'!K44</f>
        <v>1773.3</v>
      </c>
    </row>
    <row r="8" spans="1:11">
      <c r="A8" t="s">
        <v>10</v>
      </c>
      <c r="B8" s="6">
        <f>'Data Sheet'!B45</f>
        <v>926.27</v>
      </c>
      <c r="C8" s="6">
        <f>'Data Sheet'!C45</f>
        <v>1040.77</v>
      </c>
      <c r="D8" s="6">
        <f>'Data Sheet'!D45</f>
        <v>972.89</v>
      </c>
      <c r="E8" s="6">
        <f>'Data Sheet'!E45</f>
        <v>986.69</v>
      </c>
      <c r="F8" s="6">
        <f>'Data Sheet'!F45</f>
        <v>1040.99</v>
      </c>
      <c r="G8" s="6">
        <f>'Data Sheet'!G45</f>
        <v>1116.28</v>
      </c>
      <c r="H8" s="6">
        <f>'Data Sheet'!H45</f>
        <v>1160.9100000000001</v>
      </c>
      <c r="I8" s="6">
        <f>'Data Sheet'!I45</f>
        <v>1162.05</v>
      </c>
      <c r="J8" s="6">
        <f>'Data Sheet'!J45</f>
        <v>1207.9000000000001</v>
      </c>
      <c r="K8" s="6">
        <f>'Data Sheet'!K45</f>
        <v>1280.23</v>
      </c>
    </row>
    <row r="9" spans="1:11">
      <c r="A9" t="s">
        <v>11</v>
      </c>
      <c r="B9" s="6">
        <f>'Data Sheet'!B46</f>
        <v>1094.26</v>
      </c>
      <c r="C9" s="6">
        <f>'Data Sheet'!C46</f>
        <v>1135.72</v>
      </c>
      <c r="D9" s="6">
        <f>'Data Sheet'!D46</f>
        <v>1176.24</v>
      </c>
      <c r="E9" s="6">
        <f>'Data Sheet'!E46</f>
        <v>1143.0999999999999</v>
      </c>
      <c r="F9" s="6">
        <f>'Data Sheet'!F46</f>
        <v>1169.9000000000001</v>
      </c>
      <c r="G9" s="6">
        <f>'Data Sheet'!G46</f>
        <v>1213.21</v>
      </c>
      <c r="H9" s="6">
        <f>'Data Sheet'!H46</f>
        <v>1279.22</v>
      </c>
      <c r="I9" s="6">
        <f>'Data Sheet'!I46</f>
        <v>1318.65</v>
      </c>
      <c r="J9" s="6">
        <f>'Data Sheet'!J46</f>
        <v>1363.66</v>
      </c>
      <c r="K9" s="6">
        <f>'Data Sheet'!K46</f>
        <v>1295.26</v>
      </c>
    </row>
    <row r="10" spans="1:11">
      <c r="A10" t="s">
        <v>12</v>
      </c>
      <c r="B10" s="6">
        <f>'Data Sheet'!B47</f>
        <v>1488.76</v>
      </c>
      <c r="C10" s="6">
        <f>'Data Sheet'!C47</f>
        <v>1537.03</v>
      </c>
      <c r="D10" s="6">
        <f>'Data Sheet'!D47</f>
        <v>1490.34</v>
      </c>
      <c r="E10" s="6">
        <f>'Data Sheet'!E47</f>
        <v>1772.87</v>
      </c>
      <c r="F10" s="6">
        <f>'Data Sheet'!F47</f>
        <v>1456.69</v>
      </c>
      <c r="G10" s="6">
        <f>'Data Sheet'!G47</f>
        <v>1599.69</v>
      </c>
      <c r="H10" s="6">
        <f>'Data Sheet'!H47</f>
        <v>1619.46</v>
      </c>
      <c r="I10" s="6">
        <f>'Data Sheet'!I47</f>
        <v>1679.9</v>
      </c>
      <c r="J10" s="6">
        <f>'Data Sheet'!J47</f>
        <v>1539.63</v>
      </c>
      <c r="K10" s="6">
        <f>'Data Sheet'!K47</f>
        <v>1797</v>
      </c>
    </row>
    <row r="11" spans="1:11">
      <c r="A11" t="s">
        <v>13</v>
      </c>
      <c r="B11" s="6">
        <f>'Data Sheet'!B48</f>
        <v>412.64</v>
      </c>
      <c r="C11" s="6">
        <f>'Data Sheet'!C48</f>
        <v>491.44</v>
      </c>
      <c r="D11" s="6">
        <f>'Data Sheet'!D48</f>
        <v>301.70999999999998</v>
      </c>
      <c r="E11" s="6">
        <f>'Data Sheet'!E48</f>
        <v>679.79</v>
      </c>
      <c r="F11" s="6">
        <f>'Data Sheet'!F48</f>
        <v>269.14999999999998</v>
      </c>
      <c r="G11" s="6">
        <f>'Data Sheet'!G48</f>
        <v>293.60000000000002</v>
      </c>
      <c r="H11" s="6">
        <f>'Data Sheet'!H48</f>
        <v>357.14</v>
      </c>
      <c r="I11" s="6">
        <f>'Data Sheet'!I48</f>
        <v>434.51</v>
      </c>
      <c r="J11" s="6">
        <f>'Data Sheet'!J48</f>
        <v>345.3</v>
      </c>
      <c r="K11" s="6">
        <f>'Data Sheet'!K48</f>
        <v>381.48</v>
      </c>
    </row>
    <row r="12" spans="1:11" s="2" customFormat="1">
      <c r="A12" s="2" t="s">
        <v>14</v>
      </c>
      <c r="B12" s="1">
        <f>'Data Sheet'!B49</f>
        <v>953.01</v>
      </c>
      <c r="C12" s="1">
        <f>'Data Sheet'!C49</f>
        <v>895.21</v>
      </c>
      <c r="D12" s="1">
        <f>'Data Sheet'!D49</f>
        <v>970.91</v>
      </c>
      <c r="E12" s="1">
        <f>'Data Sheet'!E49</f>
        <v>926.53</v>
      </c>
      <c r="F12" s="1">
        <f>'Data Sheet'!F49</f>
        <v>1030.7</v>
      </c>
      <c r="G12" s="1">
        <f>'Data Sheet'!G49</f>
        <v>1042.83</v>
      </c>
      <c r="H12" s="1">
        <f>'Data Sheet'!H49</f>
        <v>1059.8599999999999</v>
      </c>
      <c r="I12" s="1">
        <f>'Data Sheet'!I49</f>
        <v>919.44</v>
      </c>
      <c r="J12" s="1">
        <f>'Data Sheet'!J49</f>
        <v>771.98</v>
      </c>
      <c r="K12" s="1">
        <f>'Data Sheet'!K49</f>
        <v>995.91</v>
      </c>
    </row>
    <row r="14" spans="1:11" s="2" customFormat="1">
      <c r="A14" s="2" t="s">
        <v>18</v>
      </c>
      <c r="B14" s="10">
        <f>IF(B4&gt;0,B6/B4,"")</f>
        <v>0.16500034127363319</v>
      </c>
      <c r="C14" s="10">
        <f t="shared" ref="C14:K14" si="0">IF(C4&gt;0,C6/C4,"")</f>
        <v>0.14557652187412046</v>
      </c>
      <c r="D14" s="10">
        <f t="shared" si="0"/>
        <v>0.17704506054834096</v>
      </c>
      <c r="E14" s="10">
        <f t="shared" si="0"/>
        <v>0.20836914013353572</v>
      </c>
      <c r="F14" s="10">
        <f t="shared" si="0"/>
        <v>0.20005314773641322</v>
      </c>
      <c r="G14" s="10">
        <f t="shared" si="0"/>
        <v>0.18984691048369548</v>
      </c>
      <c r="H14" s="10">
        <f t="shared" si="0"/>
        <v>0.19767985375160729</v>
      </c>
      <c r="I14" s="10">
        <f t="shared" si="0"/>
        <v>0.21241358103713689</v>
      </c>
      <c r="J14" s="10">
        <f t="shared" si="0"/>
        <v>0.21901492714940268</v>
      </c>
      <c r="K14" s="10">
        <f t="shared" si="0"/>
        <v>0.17443994040348451</v>
      </c>
    </row>
    <row r="22" s="23" customFormat="1"/>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4"/>
  <sheetViews>
    <sheetView workbookViewId="0"/>
  </sheetViews>
  <sheetFormatPr defaultColWidth="8.85546875" defaultRowHeight="15"/>
  <cols>
    <col min="1" max="1" width="22.85546875" bestFit="1" customWidth="1"/>
    <col min="2" max="2" width="13.42578125" customWidth="1"/>
    <col min="3" max="11" width="15.42578125" customWidth="1"/>
  </cols>
  <sheetData>
    <row r="1" spans="1:11" s="2" customFormat="1">
      <c r="A1" s="2" t="str">
        <f>'Profit &amp; Loss'!A1</f>
        <v>TATA POWER COMPANY LTD</v>
      </c>
      <c r="E1" t="str">
        <f>UPDATE</f>
        <v/>
      </c>
      <c r="G1"/>
      <c r="J1" s="2" t="s">
        <v>1</v>
      </c>
    </row>
    <row r="2" spans="1:11">
      <c r="G2" s="2"/>
      <c r="H2" s="2"/>
    </row>
    <row r="3" spans="1:11">
      <c r="A3" s="11" t="s">
        <v>2</v>
      </c>
      <c r="B3" s="12">
        <f>'Data Sheet'!B56</f>
        <v>42825</v>
      </c>
      <c r="C3" s="12">
        <f>'Data Sheet'!C56</f>
        <v>43190</v>
      </c>
      <c r="D3" s="12">
        <f>'Data Sheet'!D56</f>
        <v>43555</v>
      </c>
      <c r="E3" s="12">
        <f>'Data Sheet'!E56</f>
        <v>43921</v>
      </c>
      <c r="F3" s="12">
        <f>'Data Sheet'!F56</f>
        <v>44286</v>
      </c>
      <c r="G3" s="12">
        <f>'Data Sheet'!G56</f>
        <v>44651</v>
      </c>
      <c r="H3" s="12">
        <f>'Data Sheet'!H56</f>
        <v>45016</v>
      </c>
      <c r="I3" s="12">
        <f>'Data Sheet'!I56</f>
        <v>45382</v>
      </c>
      <c r="J3" s="12">
        <f>'Data Sheet'!J56</f>
        <v>45747</v>
      </c>
      <c r="K3" s="12">
        <f>'Data Sheet'!K56</f>
        <v>46112</v>
      </c>
    </row>
    <row r="4" spans="1:11">
      <c r="A4" t="s">
        <v>24</v>
      </c>
      <c r="B4" s="14">
        <f>'Data Sheet'!B57</f>
        <v>270.5</v>
      </c>
      <c r="C4" s="14">
        <f>'Data Sheet'!C57</f>
        <v>270.5</v>
      </c>
      <c r="D4" s="14">
        <f>'Data Sheet'!D57</f>
        <v>270.5</v>
      </c>
      <c r="E4" s="14">
        <f>'Data Sheet'!E57</f>
        <v>270.5</v>
      </c>
      <c r="F4" s="14">
        <f>'Data Sheet'!F57</f>
        <v>319.56</v>
      </c>
      <c r="G4" s="14">
        <f>'Data Sheet'!G57</f>
        <v>319.56</v>
      </c>
      <c r="H4" s="14">
        <f>'Data Sheet'!H57</f>
        <v>319.56</v>
      </c>
      <c r="I4" s="14">
        <f>'Data Sheet'!I57</f>
        <v>319.56</v>
      </c>
      <c r="J4" s="14">
        <f>'Data Sheet'!J57</f>
        <v>319.56</v>
      </c>
      <c r="K4" s="14">
        <f>'Data Sheet'!K57</f>
        <v>319.56</v>
      </c>
    </row>
    <row r="5" spans="1:11">
      <c r="A5" t="s">
        <v>25</v>
      </c>
      <c r="B5" s="14">
        <f>'Data Sheet'!B58</f>
        <v>12944.05</v>
      </c>
      <c r="C5" s="14">
        <f>'Data Sheet'!C58</f>
        <v>16129.38</v>
      </c>
      <c r="D5" s="14">
        <f>'Data Sheet'!D58</f>
        <v>18035.009999999998</v>
      </c>
      <c r="E5" s="14">
        <f>'Data Sheet'!E58</f>
        <v>19295.52</v>
      </c>
      <c r="F5" s="14">
        <f>'Data Sheet'!F58</f>
        <v>22002.7</v>
      </c>
      <c r="G5" s="14">
        <f>'Data Sheet'!G58</f>
        <v>22122</v>
      </c>
      <c r="H5" s="14">
        <f>'Data Sheet'!H58</f>
        <v>28467.87</v>
      </c>
      <c r="I5" s="14">
        <f>'Data Sheet'!I58</f>
        <v>32035.73</v>
      </c>
      <c r="J5" s="14">
        <f>'Data Sheet'!J58</f>
        <v>35521.11</v>
      </c>
      <c r="K5" s="14">
        <f>'Data Sheet'!K58</f>
        <v>39147.65</v>
      </c>
    </row>
    <row r="6" spans="1:11">
      <c r="A6" t="s">
        <v>71</v>
      </c>
      <c r="B6" s="14">
        <f>'Data Sheet'!B59</f>
        <v>48815.41</v>
      </c>
      <c r="C6" s="14">
        <f>'Data Sheet'!C59</f>
        <v>48589.24</v>
      </c>
      <c r="D6" s="14">
        <f>'Data Sheet'!D59</f>
        <v>48506.04</v>
      </c>
      <c r="E6" s="14">
        <f>'Data Sheet'!E59</f>
        <v>51936.15</v>
      </c>
      <c r="F6" s="14">
        <f>'Data Sheet'!F59</f>
        <v>46707.95</v>
      </c>
      <c r="G6" s="14">
        <f>'Data Sheet'!G59</f>
        <v>51195.12</v>
      </c>
      <c r="H6" s="14">
        <f>'Data Sheet'!H59</f>
        <v>52923</v>
      </c>
      <c r="I6" s="14">
        <f>'Data Sheet'!I59</f>
        <v>53689.45</v>
      </c>
      <c r="J6" s="14">
        <f>'Data Sheet'!J59</f>
        <v>62865.8</v>
      </c>
      <c r="K6" s="14">
        <f>'Data Sheet'!K59</f>
        <v>76141.27</v>
      </c>
    </row>
    <row r="7" spans="1:11">
      <c r="A7" t="s">
        <v>72</v>
      </c>
      <c r="B7" s="14">
        <f>'Data Sheet'!B60</f>
        <v>20799.3</v>
      </c>
      <c r="C7" s="14">
        <f>'Data Sheet'!C60</f>
        <v>16902.68</v>
      </c>
      <c r="D7" s="14">
        <f>'Data Sheet'!D60</f>
        <v>17261.89</v>
      </c>
      <c r="E7" s="14">
        <f>'Data Sheet'!E60</f>
        <v>18171.740000000002</v>
      </c>
      <c r="F7" s="14">
        <f>'Data Sheet'!F60</f>
        <v>29624.63</v>
      </c>
      <c r="G7" s="14">
        <f>'Data Sheet'!G60</f>
        <v>38913.31</v>
      </c>
      <c r="H7" s="14">
        <f>'Data Sheet'!H60</f>
        <v>46385.71</v>
      </c>
      <c r="I7" s="14">
        <f>'Data Sheet'!I60</f>
        <v>53009.66</v>
      </c>
      <c r="J7" s="14">
        <f>'Data Sheet'!J60</f>
        <v>57486.83</v>
      </c>
      <c r="K7" s="14">
        <f>'Data Sheet'!K60</f>
        <v>58955.76</v>
      </c>
    </row>
    <row r="8" spans="1:11" s="2" customFormat="1">
      <c r="A8" s="2" t="s">
        <v>26</v>
      </c>
      <c r="B8" s="15">
        <f>'Data Sheet'!B61</f>
        <v>82829.259999999995</v>
      </c>
      <c r="C8" s="15">
        <f>'Data Sheet'!C61</f>
        <v>81891.8</v>
      </c>
      <c r="D8" s="15">
        <f>'Data Sheet'!D61</f>
        <v>84073.44</v>
      </c>
      <c r="E8" s="15">
        <f>'Data Sheet'!E61</f>
        <v>89673.91</v>
      </c>
      <c r="F8" s="15">
        <f>'Data Sheet'!F61</f>
        <v>98654.84</v>
      </c>
      <c r="G8" s="15">
        <f>'Data Sheet'!G61</f>
        <v>112549.99</v>
      </c>
      <c r="H8" s="15">
        <f>'Data Sheet'!H61</f>
        <v>128096.14</v>
      </c>
      <c r="I8" s="15">
        <f>'Data Sheet'!I61</f>
        <v>139054.39999999999</v>
      </c>
      <c r="J8" s="15">
        <f>'Data Sheet'!J61</f>
        <v>156193.29999999999</v>
      </c>
      <c r="K8" s="15">
        <f>'Data Sheet'!K61</f>
        <v>174564.24</v>
      </c>
    </row>
    <row r="9" spans="1:11" s="2" customFormat="1">
      <c r="B9" s="15"/>
      <c r="C9" s="15"/>
      <c r="D9" s="15"/>
      <c r="E9" s="15"/>
      <c r="F9" s="15"/>
      <c r="G9" s="15"/>
      <c r="H9" s="15"/>
      <c r="I9" s="15"/>
      <c r="J9" s="15"/>
      <c r="K9" s="15"/>
    </row>
    <row r="10" spans="1:11">
      <c r="A10" t="s">
        <v>27</v>
      </c>
      <c r="B10" s="14">
        <f>'Data Sheet'!B62</f>
        <v>46594.79</v>
      </c>
      <c r="C10" s="14">
        <f>'Data Sheet'!C62</f>
        <v>44656.26</v>
      </c>
      <c r="D10" s="14">
        <f>'Data Sheet'!D62</f>
        <v>44304.89</v>
      </c>
      <c r="E10" s="14">
        <f>'Data Sheet'!E62</f>
        <v>47666.36</v>
      </c>
      <c r="F10" s="14">
        <f>'Data Sheet'!F62</f>
        <v>52179.15</v>
      </c>
      <c r="G10" s="14">
        <f>'Data Sheet'!G62</f>
        <v>57389.440000000002</v>
      </c>
      <c r="H10" s="14">
        <f>'Data Sheet'!H62</f>
        <v>61746.66</v>
      </c>
      <c r="I10" s="14">
        <f>'Data Sheet'!I62</f>
        <v>67209.56</v>
      </c>
      <c r="J10" s="14">
        <f>'Data Sheet'!J62</f>
        <v>78374.429999999993</v>
      </c>
      <c r="K10" s="14">
        <f>'Data Sheet'!K62</f>
        <v>87292.69</v>
      </c>
    </row>
    <row r="11" spans="1:11">
      <c r="A11" t="s">
        <v>28</v>
      </c>
      <c r="B11" s="14">
        <f>'Data Sheet'!B63</f>
        <v>2177.92</v>
      </c>
      <c r="C11" s="14">
        <f>'Data Sheet'!C63</f>
        <v>1652.6</v>
      </c>
      <c r="D11" s="14">
        <f>'Data Sheet'!D63</f>
        <v>2575.6999999999998</v>
      </c>
      <c r="E11" s="14">
        <f>'Data Sheet'!E63</f>
        <v>1611.52</v>
      </c>
      <c r="F11" s="14">
        <f>'Data Sheet'!F63</f>
        <v>3270.26</v>
      </c>
      <c r="G11" s="14">
        <f>'Data Sheet'!G63</f>
        <v>4635.1000000000004</v>
      </c>
      <c r="H11" s="14">
        <f>'Data Sheet'!H63</f>
        <v>5376.36</v>
      </c>
      <c r="I11" s="14">
        <f>'Data Sheet'!I63</f>
        <v>11561.31</v>
      </c>
      <c r="J11" s="14">
        <f>'Data Sheet'!J63</f>
        <v>12678.87</v>
      </c>
      <c r="K11" s="14">
        <f>'Data Sheet'!K63</f>
        <v>14595.13</v>
      </c>
    </row>
    <row r="12" spans="1:11">
      <c r="A12" t="s">
        <v>29</v>
      </c>
      <c r="B12" s="14">
        <f>'Data Sheet'!B64</f>
        <v>11873.01</v>
      </c>
      <c r="C12" s="14">
        <f>'Data Sheet'!C64</f>
        <v>12428.93</v>
      </c>
      <c r="D12" s="14">
        <f>'Data Sheet'!D64</f>
        <v>13541.87</v>
      </c>
      <c r="E12" s="14">
        <f>'Data Sheet'!E64</f>
        <v>14534.84</v>
      </c>
      <c r="F12" s="14">
        <f>'Data Sheet'!F64</f>
        <v>13149.05</v>
      </c>
      <c r="G12" s="14">
        <f>'Data Sheet'!G64</f>
        <v>14160.33</v>
      </c>
      <c r="H12" s="14">
        <f>'Data Sheet'!H64</f>
        <v>16669.689999999999</v>
      </c>
      <c r="I12" s="14">
        <f>'Data Sheet'!I64</f>
        <v>16315.99</v>
      </c>
      <c r="J12" s="14">
        <f>'Data Sheet'!J64</f>
        <v>16316.39</v>
      </c>
      <c r="K12" s="14">
        <f>'Data Sheet'!K64</f>
        <v>16574.54</v>
      </c>
    </row>
    <row r="13" spans="1:11">
      <c r="A13" t="s">
        <v>73</v>
      </c>
      <c r="B13" s="14">
        <f>'Data Sheet'!B65</f>
        <v>22183.54</v>
      </c>
      <c r="C13" s="14">
        <f>'Data Sheet'!C65</f>
        <v>23154.01</v>
      </c>
      <c r="D13" s="14">
        <f>'Data Sheet'!D65</f>
        <v>23650.98</v>
      </c>
      <c r="E13" s="14">
        <f>'Data Sheet'!E65</f>
        <v>25861.19</v>
      </c>
      <c r="F13" s="14">
        <f>'Data Sheet'!F65</f>
        <v>30056.38</v>
      </c>
      <c r="G13" s="14">
        <f>'Data Sheet'!G65</f>
        <v>36365.120000000003</v>
      </c>
      <c r="H13" s="14">
        <f>'Data Sheet'!H65</f>
        <v>44303.43</v>
      </c>
      <c r="I13" s="14">
        <f>'Data Sheet'!I65</f>
        <v>43967.54</v>
      </c>
      <c r="J13" s="14">
        <f>'Data Sheet'!J65</f>
        <v>48823.61</v>
      </c>
      <c r="K13" s="14">
        <f>'Data Sheet'!K65</f>
        <v>56101.88</v>
      </c>
    </row>
    <row r="14" spans="1:11" s="2" customFormat="1">
      <c r="A14" s="2" t="s">
        <v>26</v>
      </c>
      <c r="B14" s="14">
        <f>'Data Sheet'!B66</f>
        <v>82829.259999999995</v>
      </c>
      <c r="C14" s="14">
        <f>'Data Sheet'!C66</f>
        <v>81891.8</v>
      </c>
      <c r="D14" s="14">
        <f>'Data Sheet'!D66</f>
        <v>84073.44</v>
      </c>
      <c r="E14" s="14">
        <f>'Data Sheet'!E66</f>
        <v>89673.91</v>
      </c>
      <c r="F14" s="14">
        <f>'Data Sheet'!F66</f>
        <v>98654.84</v>
      </c>
      <c r="G14" s="14">
        <f>'Data Sheet'!G66</f>
        <v>112549.99</v>
      </c>
      <c r="H14" s="14">
        <f>'Data Sheet'!H66</f>
        <v>128096.14</v>
      </c>
      <c r="I14" s="14">
        <f>'Data Sheet'!I66</f>
        <v>139054.39999999999</v>
      </c>
      <c r="J14" s="14">
        <f>'Data Sheet'!J66</f>
        <v>156193.29999999999</v>
      </c>
      <c r="K14" s="14">
        <f>'Data Sheet'!K66</f>
        <v>174564.24</v>
      </c>
    </row>
    <row r="15" spans="1:11">
      <c r="B15" s="4"/>
      <c r="C15" s="4"/>
      <c r="D15" s="4"/>
      <c r="E15" s="4"/>
      <c r="F15" s="4"/>
      <c r="G15" s="4"/>
      <c r="H15" s="4"/>
      <c r="I15" s="4"/>
      <c r="J15" s="4"/>
      <c r="K15" s="4"/>
    </row>
    <row r="16" spans="1:11">
      <c r="A16" t="s">
        <v>30</v>
      </c>
      <c r="B16" s="4">
        <f>B13-B7</f>
        <v>1384.2400000000016</v>
      </c>
      <c r="C16" s="4">
        <f t="shared" ref="C16:K16" si="0">C13-C7</f>
        <v>6251.3299999999981</v>
      </c>
      <c r="D16" s="4">
        <f t="shared" si="0"/>
        <v>6389.09</v>
      </c>
      <c r="E16" s="4">
        <f t="shared" si="0"/>
        <v>7689.4499999999971</v>
      </c>
      <c r="F16" s="4">
        <f t="shared" si="0"/>
        <v>431.75</v>
      </c>
      <c r="G16" s="4">
        <f t="shared" si="0"/>
        <v>-2548.1899999999951</v>
      </c>
      <c r="H16" s="4">
        <f t="shared" si="0"/>
        <v>-2082.2799999999988</v>
      </c>
      <c r="I16" s="4">
        <f t="shared" si="0"/>
        <v>-9042.1200000000026</v>
      </c>
      <c r="J16" s="4">
        <f t="shared" si="0"/>
        <v>-8663.2200000000012</v>
      </c>
      <c r="K16" s="4">
        <f t="shared" si="0"/>
        <v>-2853.8800000000047</v>
      </c>
    </row>
    <row r="17" spans="1:11">
      <c r="A17" t="s">
        <v>44</v>
      </c>
      <c r="B17" s="4">
        <f>'Data Sheet'!B67</f>
        <v>3832.12</v>
      </c>
      <c r="C17" s="4">
        <f>'Data Sheet'!C67</f>
        <v>2788.93</v>
      </c>
      <c r="D17" s="4">
        <f>'Data Sheet'!D67</f>
        <v>4445.26</v>
      </c>
      <c r="E17" s="4">
        <f>'Data Sheet'!E67</f>
        <v>4425.8999999999996</v>
      </c>
      <c r="F17" s="4">
        <f>'Data Sheet'!F67</f>
        <v>5200.08</v>
      </c>
      <c r="G17" s="4">
        <f>'Data Sheet'!G67</f>
        <v>5979.74</v>
      </c>
      <c r="H17" s="4">
        <f>'Data Sheet'!H67</f>
        <v>6952.15</v>
      </c>
      <c r="I17" s="4">
        <f>'Data Sheet'!I67</f>
        <v>7401.69</v>
      </c>
      <c r="J17" s="4">
        <f>'Data Sheet'!J67</f>
        <v>5709.78</v>
      </c>
      <c r="K17" s="4">
        <f>'Data Sheet'!K67</f>
        <v>4423.96</v>
      </c>
    </row>
    <row r="18" spans="1:11">
      <c r="A18" t="s">
        <v>45</v>
      </c>
      <c r="B18" s="4">
        <f>'Data Sheet'!B68</f>
        <v>1599.56</v>
      </c>
      <c r="C18" s="4">
        <f>'Data Sheet'!C68</f>
        <v>1623.08</v>
      </c>
      <c r="D18" s="4">
        <f>'Data Sheet'!D68</f>
        <v>1706.42</v>
      </c>
      <c r="E18" s="4">
        <f>'Data Sheet'!E68</f>
        <v>1752.35</v>
      </c>
      <c r="F18" s="4">
        <f>'Data Sheet'!F68</f>
        <v>1885.62</v>
      </c>
      <c r="G18" s="4">
        <f>'Data Sheet'!G68</f>
        <v>4231.5200000000004</v>
      </c>
      <c r="H18" s="4">
        <f>'Data Sheet'!H68</f>
        <v>3942.88</v>
      </c>
      <c r="I18" s="4">
        <f>'Data Sheet'!I68</f>
        <v>4419.63</v>
      </c>
      <c r="J18" s="4">
        <f>'Data Sheet'!J68</f>
        <v>4571.82</v>
      </c>
      <c r="K18" s="4">
        <f>'Data Sheet'!K68</f>
        <v>5107.6400000000003</v>
      </c>
    </row>
    <row r="20" spans="1:11">
      <c r="A20" t="s">
        <v>46</v>
      </c>
      <c r="B20" s="4">
        <f>IF('Profit &amp; Loss'!B4&gt;0,'Balance Sheet'!B17/('Profit &amp; Loss'!B4/365),0)</f>
        <v>50.701195718799646</v>
      </c>
      <c r="C20" s="4">
        <f>IF('Profit &amp; Loss'!C4&gt;0,'Balance Sheet'!C17/('Profit &amp; Loss'!C4/365),0)</f>
        <v>37.926572646251316</v>
      </c>
      <c r="D20" s="4">
        <f>IF('Profit &amp; Loss'!D4&gt;0,'Balance Sheet'!D17/('Profit &amp; Loss'!D4/365),0)</f>
        <v>54.299275193048707</v>
      </c>
      <c r="E20" s="4">
        <f>IF('Profit &amp; Loss'!E4&gt;0,'Balance Sheet'!E17/('Profit &amp; Loss'!E4/365),0)</f>
        <v>55.444569793697696</v>
      </c>
      <c r="F20" s="4">
        <f>IF('Profit &amp; Loss'!F4&gt;0,'Balance Sheet'!F17/('Profit &amp; Loss'!F4/365),0)</f>
        <v>58.037831644564413</v>
      </c>
      <c r="G20" s="4">
        <f>IF('Profit &amp; Loss'!G4&gt;0,'Balance Sheet'!G17/('Profit &amp; Loss'!G4/365),0)</f>
        <v>50.976782565822283</v>
      </c>
      <c r="H20" s="4">
        <f>IF('Profit &amp; Loss'!H4&gt;0,'Balance Sheet'!H17/('Profit &amp; Loss'!H4/365),0)</f>
        <v>46.045674324448889</v>
      </c>
      <c r="I20" s="4">
        <f>IF('Profit &amp; Loss'!I4&gt;0,'Balance Sheet'!I17/('Profit &amp; Loss'!I4/365),0)</f>
        <v>43.965259752412166</v>
      </c>
      <c r="J20" s="4">
        <f>IF('Profit &amp; Loss'!J4&gt;0,'Balance Sheet'!J17/('Profit &amp; Loss'!J4/365),0)</f>
        <v>31.828431857667525</v>
      </c>
      <c r="K20" s="4">
        <f>IF('Profit &amp; Loss'!K4&gt;0,'Balance Sheet'!K17/('Profit &amp; Loss'!K4/365),0)</f>
        <v>25.865479261985577</v>
      </c>
    </row>
    <row r="21" spans="1:11">
      <c r="A21" t="s">
        <v>47</v>
      </c>
      <c r="B21" s="4">
        <f>IF('Balance Sheet'!B18&gt;0,'Profit &amp; Loss'!B4/'Balance Sheet'!B18,0)</f>
        <v>17.246986671334618</v>
      </c>
      <c r="C21" s="4">
        <f>IF('Balance Sheet'!C18&gt;0,'Profit &amp; Loss'!C4/'Balance Sheet'!C18,0)</f>
        <v>16.536627892648546</v>
      </c>
      <c r="D21" s="4">
        <f>IF('Balance Sheet'!D18&gt;0,'Profit &amp; Loss'!D4/'Balance Sheet'!D18,0)</f>
        <v>17.510964475334326</v>
      </c>
      <c r="E21" s="4">
        <f>IF('Balance Sheet'!E18&gt;0,'Profit &amp; Loss'!E4/'Balance Sheet'!E18,0)</f>
        <v>16.627026564327902</v>
      </c>
      <c r="F21" s="4">
        <f>IF('Balance Sheet'!F18&gt;0,'Profit &amp; Loss'!F4/'Balance Sheet'!F18,0)</f>
        <v>17.343531570517921</v>
      </c>
      <c r="G21" s="4">
        <f>IF('Balance Sheet'!G18&gt;0,'Profit &amp; Loss'!G4/'Balance Sheet'!G18,0)</f>
        <v>10.118271921200892</v>
      </c>
      <c r="H21" s="4">
        <f>IF('Balance Sheet'!H18&gt;0,'Profit &amp; Loss'!H4/'Balance Sheet'!H18,0)</f>
        <v>13.976859554437366</v>
      </c>
      <c r="I21" s="4">
        <f>IF('Balance Sheet'!I18&gt;0,'Profit &amp; Loss'!I4/'Balance Sheet'!I18,0)</f>
        <v>13.903629941872962</v>
      </c>
      <c r="J21" s="4">
        <f>IF('Balance Sheet'!J18&gt;0,'Profit &amp; Loss'!J4/'Balance Sheet'!J18,0)</f>
        <v>14.322138666876649</v>
      </c>
      <c r="K21" s="4">
        <f>IF('Balance Sheet'!K18&gt;0,'Profit &amp; Loss'!K4/'Balance Sheet'!K18,0)</f>
        <v>12.222590080741789</v>
      </c>
    </row>
    <row r="23" spans="1:11" s="2" customFormat="1">
      <c r="A23" s="2" t="s">
        <v>59</v>
      </c>
      <c r="B23" s="10">
        <f>IF(SUM('Balance Sheet'!B4:B5)&gt;0,'Profit &amp; Loss'!B12/SUM('Balance Sheet'!B4:B5),"")</f>
        <v>6.7845670113624759E-2</v>
      </c>
      <c r="C23" s="10">
        <f>IF(SUM('Balance Sheet'!C4:C5)&gt;0,'Profit &amp; Loss'!C12/SUM('Balance Sheet'!C4:C5),"")</f>
        <v>0.14684863547782059</v>
      </c>
      <c r="D23" s="10">
        <f>IF(SUM('Balance Sheet'!D4:D5)&gt;0,'Profit &amp; Loss'!D12/SUM('Balance Sheet'!D4:D5),"")</f>
        <v>0.12871479680161876</v>
      </c>
      <c r="E23" s="10">
        <f>IF(SUM('Balance Sheet'!E4:E5)&gt;0,'Profit &amp; Loss'!E12/SUM('Balance Sheet'!E4:E5),"")</f>
        <v>5.1997289177870616E-2</v>
      </c>
      <c r="F23" s="10">
        <f>IF(SUM('Balance Sheet'!F4:F5)&gt;0,'Profit &amp; Loss'!F12/SUM('Balance Sheet'!F4:F5),"")</f>
        <v>5.050474279934021E-2</v>
      </c>
      <c r="G23" s="10">
        <f>IF(SUM('Balance Sheet'!G4:G5)&gt;0,'Profit &amp; Loss'!G12/SUM('Balance Sheet'!G4:G5),"")</f>
        <v>7.7599774703719343E-2</v>
      </c>
      <c r="H23" s="10">
        <f>IF(SUM('Balance Sheet'!H4:H5)&gt;0,'Profit &amp; Loss'!H12/SUM('Balance Sheet'!H4:H5),"")</f>
        <v>0.11589919628115465</v>
      </c>
      <c r="I23" s="10">
        <f>IF(SUM('Balance Sheet'!I4:I5)&gt;0,'Profit &amp; Loss'!I12/SUM('Balance Sheet'!I4:I5),"")</f>
        <v>0.11423943348985591</v>
      </c>
      <c r="J23" s="10">
        <f>IF(SUM('Balance Sheet'!J4:J5)&gt;0,'Profit &amp; Loss'!J12/SUM('Balance Sheet'!J4:J5),"")</f>
        <v>0.11079591983073978</v>
      </c>
      <c r="K23" s="10">
        <f>IF(SUM('Balance Sheet'!K4:K5)&gt;0,'Profit &amp; Loss'!K12/SUM('Balance Sheet'!K4:K5),"")</f>
        <v>9.4944385478476945E-2</v>
      </c>
    </row>
    <row r="24" spans="1:11" s="2" customFormat="1">
      <c r="A24" s="2" t="s">
        <v>60</v>
      </c>
      <c r="B24" s="10"/>
      <c r="C24" s="10">
        <f>IF((B4+B5+B6+C4+C5+C6)&gt;0,('Profit &amp; Loss'!C10+'Profit &amp; Loss'!C9)*2/(B4+B5+B6+C4+C5+C6),"")</f>
        <v>0.10288690486500138</v>
      </c>
      <c r="D24" s="10">
        <f>IF((C4+C5+C6+D4+D5+D6)&gt;0,('Profit &amp; Loss'!D10+'Profit &amp; Loss'!D9)*2/(C4+C5+C6+D4+D5+D6),"")</f>
        <v>0.11932033425930234</v>
      </c>
      <c r="E24" s="10">
        <f>IF((D4+D5+D6+E4+E5+E6)&gt;0,('Profit &amp; Loss'!E10+'Profit &amp; Loss'!E9)*2/(D4+D5+D6+E4+E5+E6),"")</f>
        <v>9.3290239030517003E-2</v>
      </c>
      <c r="F24" s="10">
        <f>IF((E4+E5+E6+F4+F5+F6)&gt;0,('Profit &amp; Loss'!F10+'Profit &amp; Loss'!F9)*2/(E4+E5+E6+F4+F5+F6),"")</f>
        <v>8.4691086851300751E-2</v>
      </c>
      <c r="G24" s="10">
        <f>IF((F4+F5+F6+G4+G5+G6)&gt;0,('Profit &amp; Loss'!G10+'Profit &amp; Loss'!G9)*2/(F4+F5+F6+G4+G5+G6),"")</f>
        <v>8.9638037248866945E-2</v>
      </c>
      <c r="H24" s="10">
        <f>IF((G4+G5+G6+H4+H5+H6)&gt;0,('Profit &amp; Loss'!H10+'Profit &amp; Loss'!H9)*2/(G4+G5+G6+H4+H5+H6),"")</f>
        <v>0.12653791885796911</v>
      </c>
      <c r="I24" s="10">
        <f>IF((H4+H5+H6+I4+I5+I6)&gt;0,('Profit &amp; Loss'!I10+'Profit &amp; Loss'!I9)*2/(H4+H5+H6+I4+I5+I6),"")</f>
        <v>0.12357580395286777</v>
      </c>
      <c r="J24" s="10">
        <f>IF((I4+I5+I6+J4+J5+J6)&gt;0,('Profit &amp; Loss'!J10+'Profit &amp; Loss'!J9)*2/(I4+I5+I6+J4+J5+J6),"")</f>
        <v>0.1193178653606653</v>
      </c>
      <c r="K24" s="10">
        <f>IF((J4+J5+J6+K4+K5+K6)&gt;0,('Profit &amp; Loss'!K10+'Profit &amp; Loss'!K9)*2/(J4+J5+J6+K4+K5+K6),"")</f>
        <v>0.11098413806409677</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8"/>
  <sheetViews>
    <sheetView workbookViewId="0">
      <selection activeCell="I32" sqref="I32"/>
    </sheetView>
  </sheetViews>
  <sheetFormatPr defaultColWidth="8.85546875" defaultRowHeight="15"/>
  <cols>
    <col min="1" max="1" width="26.85546875" bestFit="1" customWidth="1"/>
    <col min="2" max="6" width="13.42578125" customWidth="1"/>
    <col min="7" max="11" width="13.42578125" bestFit="1" customWidth="1"/>
  </cols>
  <sheetData>
    <row r="1" spans="1:11" s="2" customFormat="1">
      <c r="A1" s="2" t="str">
        <f>'Balance Sheet'!A1</f>
        <v>TATA POWER COMPANY LTD</v>
      </c>
      <c r="E1" t="str">
        <f>UPDATE</f>
        <v/>
      </c>
      <c r="F1"/>
      <c r="J1" s="2" t="s">
        <v>1</v>
      </c>
    </row>
    <row r="3" spans="1:11" s="2" customFormat="1">
      <c r="A3" s="11" t="s">
        <v>2</v>
      </c>
      <c r="B3" s="12">
        <f>'Data Sheet'!B81</f>
        <v>42825</v>
      </c>
      <c r="C3" s="12">
        <f>'Data Sheet'!C81</f>
        <v>43190</v>
      </c>
      <c r="D3" s="12">
        <f>'Data Sheet'!D81</f>
        <v>43555</v>
      </c>
      <c r="E3" s="12">
        <f>'Data Sheet'!E81</f>
        <v>43921</v>
      </c>
      <c r="F3" s="12">
        <f>'Data Sheet'!F81</f>
        <v>44286</v>
      </c>
      <c r="G3" s="12">
        <f>'Data Sheet'!G81</f>
        <v>44651</v>
      </c>
      <c r="H3" s="12">
        <f>'Data Sheet'!H81</f>
        <v>45016</v>
      </c>
      <c r="I3" s="12">
        <f>'Data Sheet'!I81</f>
        <v>45382</v>
      </c>
      <c r="J3" s="12">
        <f>'Data Sheet'!J81</f>
        <v>45747</v>
      </c>
      <c r="K3" s="12">
        <f>'Data Sheet'!K81</f>
        <v>46112</v>
      </c>
    </row>
    <row r="4" spans="1:11" s="2" customFormat="1">
      <c r="A4" s="2" t="s">
        <v>32</v>
      </c>
      <c r="B4" s="1">
        <f>'Data Sheet'!B82</f>
        <v>7014.18</v>
      </c>
      <c r="C4" s="1">
        <f>'Data Sheet'!C82</f>
        <v>6363.85</v>
      </c>
      <c r="D4" s="1">
        <f>'Data Sheet'!D82</f>
        <v>4573.79</v>
      </c>
      <c r="E4" s="1">
        <f>'Data Sheet'!E82</f>
        <v>7375.32</v>
      </c>
      <c r="F4" s="1">
        <f>'Data Sheet'!F82</f>
        <v>8345.1200000000008</v>
      </c>
      <c r="G4" s="1">
        <f>'Data Sheet'!G82</f>
        <v>6692.73</v>
      </c>
      <c r="H4" s="1">
        <f>'Data Sheet'!H82</f>
        <v>7165.59</v>
      </c>
      <c r="I4" s="1">
        <f>'Data Sheet'!I82</f>
        <v>12504.37</v>
      </c>
      <c r="J4" s="1">
        <f>'Data Sheet'!J82</f>
        <v>12680.19</v>
      </c>
      <c r="K4" s="1">
        <f>'Data Sheet'!K82</f>
        <v>5993.33</v>
      </c>
    </row>
    <row r="5" spans="1:11">
      <c r="A5" t="s">
        <v>33</v>
      </c>
      <c r="B5" s="6">
        <f>'Data Sheet'!B83</f>
        <v>-7372.73</v>
      </c>
      <c r="C5" s="6">
        <f>'Data Sheet'!C83</f>
        <v>-1511.65</v>
      </c>
      <c r="D5" s="6">
        <f>'Data Sheet'!D83</f>
        <v>-272.33999999999997</v>
      </c>
      <c r="E5" s="6">
        <f>'Data Sheet'!E83</f>
        <v>-492.88</v>
      </c>
      <c r="F5" s="6">
        <f>'Data Sheet'!F83</f>
        <v>993.33</v>
      </c>
      <c r="G5" s="6">
        <f>'Data Sheet'!G83</f>
        <v>-6250.47</v>
      </c>
      <c r="H5" s="6">
        <f>'Data Sheet'!H83</f>
        <v>-7263.1</v>
      </c>
      <c r="I5" s="6">
        <f>'Data Sheet'!I83</f>
        <v>-8935.3700000000008</v>
      </c>
      <c r="J5" s="6">
        <f>'Data Sheet'!J83</f>
        <v>-15436.29</v>
      </c>
      <c r="K5" s="6">
        <f>'Data Sheet'!K83</f>
        <v>-14128.65</v>
      </c>
    </row>
    <row r="6" spans="1:11">
      <c r="A6" t="s">
        <v>34</v>
      </c>
      <c r="B6" s="6">
        <f>'Data Sheet'!B84</f>
        <v>937.34</v>
      </c>
      <c r="C6" s="6">
        <f>'Data Sheet'!C84</f>
        <v>-4726.26</v>
      </c>
      <c r="D6" s="6">
        <f>'Data Sheet'!D84</f>
        <v>-5184.45</v>
      </c>
      <c r="E6" s="6">
        <f>'Data Sheet'!E84</f>
        <v>-5109.57</v>
      </c>
      <c r="F6" s="6">
        <f>'Data Sheet'!F84</f>
        <v>-7602.88</v>
      </c>
      <c r="G6" s="6">
        <f>'Data Sheet'!G84</f>
        <v>-1183.2</v>
      </c>
      <c r="H6" s="6">
        <f>'Data Sheet'!H84</f>
        <v>1340.77</v>
      </c>
      <c r="I6" s="6">
        <f>'Data Sheet'!I84</f>
        <v>-4497.43</v>
      </c>
      <c r="J6" s="6">
        <f>'Data Sheet'!J84</f>
        <v>4292.3900000000003</v>
      </c>
      <c r="K6" s="6">
        <f>'Data Sheet'!K84</f>
        <v>7782.63</v>
      </c>
    </row>
    <row r="7" spans="1:11" s="2" customFormat="1">
      <c r="A7" s="2" t="s">
        <v>35</v>
      </c>
      <c r="B7" s="1">
        <f>'Data Sheet'!B85</f>
        <v>578.79</v>
      </c>
      <c r="C7" s="1">
        <f>'Data Sheet'!C85</f>
        <v>125.94</v>
      </c>
      <c r="D7" s="1">
        <f>'Data Sheet'!D85</f>
        <v>-883</v>
      </c>
      <c r="E7" s="1">
        <f>'Data Sheet'!E85</f>
        <v>1772.87</v>
      </c>
      <c r="F7" s="1">
        <f>'Data Sheet'!F85</f>
        <v>1735.57</v>
      </c>
      <c r="G7" s="1">
        <f>'Data Sheet'!G85</f>
        <v>-740.94</v>
      </c>
      <c r="H7" s="1">
        <f>'Data Sheet'!H85</f>
        <v>1243.26</v>
      </c>
      <c r="I7" s="1">
        <f>'Data Sheet'!I85</f>
        <v>-928.43</v>
      </c>
      <c r="J7" s="1">
        <f>'Data Sheet'!J85</f>
        <v>1536.29</v>
      </c>
      <c r="K7" s="1">
        <f>'Data Sheet'!K85</f>
        <v>-352.69</v>
      </c>
    </row>
    <row r="8" spans="1:11">
      <c r="B8" s="6"/>
      <c r="C8" s="6"/>
      <c r="D8" s="6"/>
      <c r="E8" s="6"/>
      <c r="F8" s="6"/>
      <c r="G8" s="6"/>
      <c r="H8" s="6"/>
      <c r="I8" s="6"/>
      <c r="J8" s="6"/>
      <c r="K8" s="6"/>
    </row>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workbookViewId="0"/>
  </sheetViews>
  <sheetFormatPr defaultColWidth="8.85546875" defaultRowHeight="15"/>
  <cols>
    <col min="1" max="1" width="8.85546875" style="2"/>
    <col min="2" max="2" width="10.42578125" customWidth="1"/>
    <col min="3" max="3" width="13.28515625" style="20" customWidth="1"/>
    <col min="6" max="6" width="6.85546875" customWidth="1"/>
  </cols>
  <sheetData>
    <row r="1" spans="1:7" ht="21">
      <c r="A1" s="19" t="s">
        <v>56</v>
      </c>
    </row>
    <row r="3" spans="1:7">
      <c r="A3" s="2" t="s">
        <v>48</v>
      </c>
    </row>
    <row r="4" spans="1:7">
      <c r="B4" t="s">
        <v>90</v>
      </c>
    </row>
    <row r="5" spans="1:7">
      <c r="B5" t="s">
        <v>49</v>
      </c>
    </row>
    <row r="7" spans="1:7">
      <c r="A7" s="2" t="s">
        <v>50</v>
      </c>
    </row>
    <row r="8" spans="1:7">
      <c r="B8" t="s">
        <v>51</v>
      </c>
      <c r="C8" s="21" t="s">
        <v>91</v>
      </c>
    </row>
    <row r="10" spans="1:7">
      <c r="A10" s="2" t="s">
        <v>52</v>
      </c>
    </row>
    <row r="11" spans="1:7">
      <c r="B11" t="s">
        <v>53</v>
      </c>
    </row>
    <row r="14" spans="1:7">
      <c r="A14" s="2" t="s">
        <v>54</v>
      </c>
    </row>
    <row r="15" spans="1:7">
      <c r="B15" t="s">
        <v>55</v>
      </c>
    </row>
    <row r="16" spans="1:7">
      <c r="B16" t="s">
        <v>92</v>
      </c>
      <c r="G16" s="22"/>
    </row>
  </sheetData>
  <hyperlinks>
    <hyperlink ref="C8" r:id="rId1" display=" http://www.screener.in/excel"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93"/>
  <sheetViews>
    <sheetView topLeftCell="A61" workbookViewId="0">
      <selection activeCell="F90" sqref="F90:K90"/>
    </sheetView>
  </sheetViews>
  <sheetFormatPr defaultColWidth="8.85546875" defaultRowHeight="15"/>
  <cols>
    <col min="1" max="1" width="27.7109375" style="4" bestFit="1" customWidth="1"/>
    <col min="2" max="11" width="13.42578125" style="4" bestFit="1" customWidth="1"/>
    <col min="12" max="12" width="10.28515625" style="4" bestFit="1" customWidth="1"/>
    <col min="13" max="16384" width="8.85546875" style="4"/>
  </cols>
  <sheetData>
    <row r="1" spans="1:11" s="1" customFormat="1">
      <c r="A1" s="1" t="s">
        <v>0</v>
      </c>
      <c r="B1" s="1" t="s">
        <v>63</v>
      </c>
      <c r="E1" s="417" t="str">
        <f>IF(B2&lt;&gt;B3, "A NEW VERSION OF THE WORKSHEET IS AVAILABLE", "")</f>
        <v/>
      </c>
      <c r="F1" s="417"/>
      <c r="G1" s="417"/>
      <c r="H1" s="417"/>
      <c r="I1" s="417"/>
      <c r="J1" s="417"/>
      <c r="K1" s="417"/>
    </row>
    <row r="2" spans="1:11">
      <c r="A2" s="1" t="s">
        <v>61</v>
      </c>
      <c r="B2" s="4">
        <v>2.1</v>
      </c>
      <c r="E2" s="418" t="s">
        <v>36</v>
      </c>
      <c r="F2" s="418"/>
      <c r="G2" s="418"/>
      <c r="H2" s="418"/>
      <c r="I2" s="418"/>
      <c r="J2" s="418"/>
      <c r="K2" s="418"/>
    </row>
    <row r="3" spans="1:11">
      <c r="A3" s="1" t="s">
        <v>62</v>
      </c>
      <c r="B3" s="4">
        <v>2.1</v>
      </c>
    </row>
    <row r="4" spans="1:11">
      <c r="A4" s="1"/>
    </row>
    <row r="5" spans="1:11">
      <c r="A5" s="1" t="s">
        <v>64</v>
      </c>
    </row>
    <row r="6" spans="1:11">
      <c r="A6" s="4" t="s">
        <v>42</v>
      </c>
      <c r="B6" s="4">
        <f>IF(B9&gt;0, B9/B8, 0)</f>
        <v>319.53396296756557</v>
      </c>
    </row>
    <row r="7" spans="1:11">
      <c r="A7" s="4" t="s">
        <v>31</v>
      </c>
      <c r="B7">
        <v>1</v>
      </c>
    </row>
    <row r="8" spans="1:11">
      <c r="A8" s="4" t="s">
        <v>43</v>
      </c>
      <c r="B8">
        <v>402.35</v>
      </c>
    </row>
    <row r="9" spans="1:11">
      <c r="A9" s="4" t="s">
        <v>79</v>
      </c>
      <c r="B9">
        <v>128564.49</v>
      </c>
    </row>
    <row r="15" spans="1:11">
      <c r="A15" s="1" t="s">
        <v>37</v>
      </c>
    </row>
    <row r="16" spans="1:11" s="18" customFormat="1">
      <c r="A16" s="17" t="s">
        <v>38</v>
      </c>
      <c r="B16" s="12">
        <v>42825</v>
      </c>
      <c r="C16" s="12">
        <v>43190</v>
      </c>
      <c r="D16" s="12">
        <v>43555</v>
      </c>
      <c r="E16" s="12">
        <v>43921</v>
      </c>
      <c r="F16" s="12">
        <v>44286</v>
      </c>
      <c r="G16" s="12">
        <v>44651</v>
      </c>
      <c r="H16" s="12">
        <v>45016</v>
      </c>
      <c r="I16" s="12">
        <v>45382</v>
      </c>
      <c r="J16" s="12">
        <v>45747</v>
      </c>
      <c r="K16" s="12">
        <v>46112</v>
      </c>
    </row>
    <row r="17" spans="1:11" s="6" customFormat="1">
      <c r="A17" s="6" t="s">
        <v>6</v>
      </c>
      <c r="B17">
        <v>27587.59</v>
      </c>
      <c r="C17">
        <v>26840.27</v>
      </c>
      <c r="D17">
        <v>29881.06</v>
      </c>
      <c r="E17">
        <v>29136.37</v>
      </c>
      <c r="F17">
        <v>32703.31</v>
      </c>
      <c r="G17">
        <v>42815.67</v>
      </c>
      <c r="H17">
        <v>55109.08</v>
      </c>
      <c r="I17">
        <v>61448.9</v>
      </c>
      <c r="J17">
        <v>65478.239999999998</v>
      </c>
      <c r="K17">
        <v>62428.59</v>
      </c>
    </row>
    <row r="18" spans="1:11" s="6" customFormat="1">
      <c r="A18" s="4" t="s">
        <v>80</v>
      </c>
    </row>
    <row r="19" spans="1:11" s="6" customFormat="1">
      <c r="A19" s="4" t="s">
        <v>81</v>
      </c>
      <c r="B19">
        <v>-28.34</v>
      </c>
      <c r="C19">
        <v>8.51</v>
      </c>
      <c r="D19">
        <v>-24.37</v>
      </c>
      <c r="E19">
        <v>15.64</v>
      </c>
      <c r="F19">
        <v>-0.41</v>
      </c>
      <c r="G19">
        <v>199.22</v>
      </c>
      <c r="H19">
        <v>-43.53</v>
      </c>
      <c r="I19">
        <v>51.78</v>
      </c>
      <c r="J19">
        <v>440.76</v>
      </c>
      <c r="K19">
        <v>84.11</v>
      </c>
    </row>
    <row r="20" spans="1:11" s="6" customFormat="1">
      <c r="A20" s="4" t="s">
        <v>82</v>
      </c>
      <c r="B20">
        <v>17921.05</v>
      </c>
      <c r="C20">
        <v>16356.15</v>
      </c>
      <c r="D20">
        <v>18918.900000000001</v>
      </c>
      <c r="E20">
        <v>17100.03</v>
      </c>
      <c r="F20">
        <v>20037.560000000001</v>
      </c>
      <c r="G20">
        <v>26764.37</v>
      </c>
      <c r="H20">
        <v>36708.559999999998</v>
      </c>
      <c r="I20">
        <v>39584.79</v>
      </c>
      <c r="J20">
        <v>39363.54</v>
      </c>
      <c r="K20">
        <v>35764.04</v>
      </c>
    </row>
    <row r="21" spans="1:11" s="6" customFormat="1">
      <c r="A21" s="4" t="s">
        <v>83</v>
      </c>
      <c r="B21">
        <v>1720.75</v>
      </c>
      <c r="C21">
        <v>2041.68</v>
      </c>
      <c r="D21">
        <v>2056.1</v>
      </c>
      <c r="E21">
        <v>2013.68</v>
      </c>
      <c r="F21">
        <v>2533.4299999999998</v>
      </c>
      <c r="G21">
        <v>3942.93</v>
      </c>
      <c r="H21">
        <v>5007.21</v>
      </c>
      <c r="I21">
        <v>5272.77</v>
      </c>
      <c r="J21">
        <v>6306.19</v>
      </c>
      <c r="K21">
        <v>6743.03</v>
      </c>
    </row>
    <row r="22" spans="1:11" s="6" customFormat="1">
      <c r="A22" s="4" t="s">
        <v>84</v>
      </c>
      <c r="B22">
        <v>1342.92</v>
      </c>
      <c r="C22">
        <v>1475</v>
      </c>
      <c r="D22">
        <v>1497.6</v>
      </c>
      <c r="E22">
        <v>1541.05</v>
      </c>
      <c r="F22">
        <v>2414.2399999999998</v>
      </c>
      <c r="G22">
        <v>3731.29</v>
      </c>
      <c r="H22">
        <v>3801.4</v>
      </c>
      <c r="I22">
        <v>4264.99</v>
      </c>
      <c r="J22">
        <v>4649.25</v>
      </c>
      <c r="K22">
        <v>5099.95</v>
      </c>
    </row>
    <row r="23" spans="1:11" s="6" customFormat="1">
      <c r="A23" s="4" t="s">
        <v>85</v>
      </c>
      <c r="B23">
        <v>481.89</v>
      </c>
      <c r="C23">
        <v>511.78</v>
      </c>
      <c r="D23">
        <v>466.39</v>
      </c>
      <c r="E23">
        <v>401.51</v>
      </c>
      <c r="F23">
        <v>523.94000000000005</v>
      </c>
      <c r="G23">
        <v>730.58</v>
      </c>
      <c r="H23">
        <v>1016.41</v>
      </c>
      <c r="I23">
        <v>1017.98</v>
      </c>
      <c r="J23">
        <v>1055.18</v>
      </c>
      <c r="K23">
        <v>1213.3699999999999</v>
      </c>
    </row>
    <row r="24" spans="1:11" s="6" customFormat="1">
      <c r="A24" s="4" t="s">
        <v>86</v>
      </c>
      <c r="B24">
        <v>619.37</v>
      </c>
      <c r="C24">
        <v>1457.02</v>
      </c>
      <c r="D24">
        <v>485.69</v>
      </c>
      <c r="E24">
        <v>1290.67</v>
      </c>
      <c r="F24">
        <v>272.83</v>
      </c>
      <c r="G24">
        <v>814.83</v>
      </c>
      <c r="H24">
        <v>804.21</v>
      </c>
      <c r="I24">
        <v>624.87</v>
      </c>
      <c r="J24">
        <v>2379.25</v>
      </c>
      <c r="K24">
        <v>421.04</v>
      </c>
    </row>
    <row r="25" spans="1:11" s="6" customFormat="1">
      <c r="A25" s="6" t="s">
        <v>9</v>
      </c>
      <c r="B25">
        <v>1297.3699999999999</v>
      </c>
      <c r="C25">
        <v>3873.32</v>
      </c>
      <c r="D25">
        <v>3824.37</v>
      </c>
      <c r="E25">
        <v>2280.15</v>
      </c>
      <c r="F25">
        <v>1774.96</v>
      </c>
      <c r="G25">
        <v>2485.5</v>
      </c>
      <c r="H25">
        <v>5540.09</v>
      </c>
      <c r="I25">
        <v>3416.33</v>
      </c>
      <c r="J25">
        <v>2973.33</v>
      </c>
      <c r="K25">
        <v>3432.6</v>
      </c>
    </row>
    <row r="26" spans="1:11" s="6" customFormat="1">
      <c r="A26" s="6" t="s">
        <v>10</v>
      </c>
      <c r="B26">
        <v>1955.59</v>
      </c>
      <c r="C26">
        <v>2346.17</v>
      </c>
      <c r="D26">
        <v>2393.13</v>
      </c>
      <c r="E26">
        <v>2633.56</v>
      </c>
      <c r="F26">
        <v>2744.94</v>
      </c>
      <c r="G26">
        <v>3122.2</v>
      </c>
      <c r="H26">
        <v>3439.2</v>
      </c>
      <c r="I26">
        <v>3786.37</v>
      </c>
      <c r="J26">
        <v>4116.8599999999997</v>
      </c>
      <c r="K26">
        <v>4811.09</v>
      </c>
    </row>
    <row r="27" spans="1:11" s="6" customFormat="1">
      <c r="A27" s="6" t="s">
        <v>11</v>
      </c>
      <c r="B27">
        <v>3364.96</v>
      </c>
      <c r="C27">
        <v>3761.48</v>
      </c>
      <c r="D27">
        <v>4170</v>
      </c>
      <c r="E27">
        <v>4493.7299999999996</v>
      </c>
      <c r="F27">
        <v>4010.39</v>
      </c>
      <c r="G27">
        <v>3859.02</v>
      </c>
      <c r="H27">
        <v>4371.6499999999996</v>
      </c>
      <c r="I27">
        <v>4633.22</v>
      </c>
      <c r="J27">
        <v>4702.4399999999996</v>
      </c>
      <c r="K27">
        <v>5256.79</v>
      </c>
    </row>
    <row r="28" spans="1:11" s="6" customFormat="1">
      <c r="A28" s="6" t="s">
        <v>12</v>
      </c>
      <c r="B28">
        <v>1450.09</v>
      </c>
      <c r="C28">
        <v>2772.82</v>
      </c>
      <c r="D28">
        <v>3693.25</v>
      </c>
      <c r="E28">
        <v>1957.93</v>
      </c>
      <c r="F28">
        <v>1940.53</v>
      </c>
      <c r="G28">
        <v>2535.17</v>
      </c>
      <c r="H28">
        <v>5457</v>
      </c>
      <c r="I28">
        <v>5732.02</v>
      </c>
      <c r="J28">
        <v>6319.62</v>
      </c>
      <c r="K28">
        <v>6635.99</v>
      </c>
    </row>
    <row r="29" spans="1:11" s="6" customFormat="1">
      <c r="A29" s="6" t="s">
        <v>13</v>
      </c>
      <c r="B29">
        <v>350.46</v>
      </c>
      <c r="C29">
        <v>161.97</v>
      </c>
      <c r="D29">
        <v>1087.5899999999999</v>
      </c>
      <c r="E29">
        <v>641.49</v>
      </c>
      <c r="F29">
        <v>501.88</v>
      </c>
      <c r="G29">
        <v>379.56</v>
      </c>
      <c r="H29">
        <v>1647.33</v>
      </c>
      <c r="I29">
        <v>1451.92</v>
      </c>
      <c r="J29">
        <v>1544.25</v>
      </c>
      <c r="K29">
        <v>1518.43</v>
      </c>
    </row>
    <row r="30" spans="1:11" s="6" customFormat="1">
      <c r="A30" s="6" t="s">
        <v>14</v>
      </c>
      <c r="B30">
        <v>896.55</v>
      </c>
      <c r="C30">
        <v>2408.3000000000002</v>
      </c>
      <c r="D30">
        <v>2356.19</v>
      </c>
      <c r="E30">
        <v>1017.38</v>
      </c>
      <c r="F30">
        <v>1127.3800000000001</v>
      </c>
      <c r="G30">
        <v>1741.46</v>
      </c>
      <c r="H30">
        <v>3336.44</v>
      </c>
      <c r="I30">
        <v>3696.25</v>
      </c>
      <c r="J30">
        <v>3971</v>
      </c>
      <c r="K30">
        <v>3747.19</v>
      </c>
    </row>
    <row r="31" spans="1:11" s="6" customFormat="1">
      <c r="A31" s="6" t="s">
        <v>70</v>
      </c>
      <c r="B31">
        <v>351.65</v>
      </c>
      <c r="C31">
        <v>351.65</v>
      </c>
      <c r="D31">
        <v>351.65</v>
      </c>
      <c r="E31">
        <v>419.28</v>
      </c>
      <c r="F31">
        <v>495.32</v>
      </c>
      <c r="G31">
        <v>559.23</v>
      </c>
      <c r="H31">
        <v>639.12</v>
      </c>
      <c r="I31">
        <v>639.12</v>
      </c>
      <c r="J31">
        <v>719.01</v>
      </c>
      <c r="K31">
        <v>798.9</v>
      </c>
    </row>
    <row r="32" spans="1:11" s="6" customFormat="1"/>
    <row r="33" spans="1:11">
      <c r="A33" s="6"/>
    </row>
    <row r="34" spans="1:11">
      <c r="A34" s="6"/>
    </row>
    <row r="35" spans="1:11">
      <c r="A35" s="6"/>
    </row>
    <row r="36" spans="1:11">
      <c r="A36" s="6"/>
    </row>
    <row r="37" spans="1:11">
      <c r="A37" s="6"/>
    </row>
    <row r="38" spans="1:11">
      <c r="A38" s="6"/>
    </row>
    <row r="39" spans="1:11">
      <c r="A39" s="6"/>
    </row>
    <row r="40" spans="1:11">
      <c r="A40" s="1" t="s">
        <v>39</v>
      </c>
    </row>
    <row r="41" spans="1:11" s="18" customFormat="1">
      <c r="A41" s="17" t="s">
        <v>38</v>
      </c>
      <c r="B41" s="12">
        <v>45291</v>
      </c>
      <c r="C41" s="12">
        <v>45382</v>
      </c>
      <c r="D41" s="12">
        <v>45473</v>
      </c>
      <c r="E41" s="12">
        <v>45565</v>
      </c>
      <c r="F41" s="12">
        <v>45657</v>
      </c>
      <c r="G41" s="12">
        <v>45747</v>
      </c>
      <c r="H41" s="12">
        <v>45838</v>
      </c>
      <c r="I41" s="12">
        <v>45930</v>
      </c>
      <c r="J41" s="12">
        <v>46022</v>
      </c>
      <c r="K41" s="12">
        <v>46112</v>
      </c>
    </row>
    <row r="42" spans="1:11" s="6" customFormat="1">
      <c r="A42" s="6" t="s">
        <v>6</v>
      </c>
      <c r="B42">
        <v>14651</v>
      </c>
      <c r="C42">
        <v>15846.58</v>
      </c>
      <c r="D42">
        <v>17293.62</v>
      </c>
      <c r="E42">
        <v>15697.67</v>
      </c>
      <c r="F42">
        <v>15391.06</v>
      </c>
      <c r="G42">
        <v>17095.88</v>
      </c>
      <c r="H42">
        <v>18035.07</v>
      </c>
      <c r="I42">
        <v>15544.91</v>
      </c>
      <c r="J42">
        <v>13948.41</v>
      </c>
      <c r="K42">
        <v>14900.2</v>
      </c>
    </row>
    <row r="43" spans="1:11" s="6" customFormat="1">
      <c r="A43" s="6" t="s">
        <v>7</v>
      </c>
      <c r="B43">
        <v>12233.58</v>
      </c>
      <c r="C43">
        <v>13539.69</v>
      </c>
      <c r="D43">
        <v>14231.87</v>
      </c>
      <c r="E43">
        <v>12426.76</v>
      </c>
      <c r="F43">
        <v>12312.03</v>
      </c>
      <c r="G43">
        <v>13850.28</v>
      </c>
      <c r="H43">
        <v>14469.9</v>
      </c>
      <c r="I43">
        <v>12242.96</v>
      </c>
      <c r="J43">
        <v>10893.5</v>
      </c>
      <c r="K43">
        <v>12301.01</v>
      </c>
    </row>
    <row r="44" spans="1:11" s="6" customFormat="1">
      <c r="A44" s="6" t="s">
        <v>9</v>
      </c>
      <c r="B44">
        <v>1091.8699999999999</v>
      </c>
      <c r="C44">
        <v>1406.63</v>
      </c>
      <c r="D44">
        <v>577.72</v>
      </c>
      <c r="E44">
        <v>631.75</v>
      </c>
      <c r="F44">
        <v>588.54999999999995</v>
      </c>
      <c r="G44">
        <v>683.58</v>
      </c>
      <c r="H44">
        <v>494.42</v>
      </c>
      <c r="I44">
        <v>858.65</v>
      </c>
      <c r="J44">
        <v>1056.28</v>
      </c>
      <c r="K44">
        <v>1773.3</v>
      </c>
    </row>
    <row r="45" spans="1:11" s="6" customFormat="1">
      <c r="A45" s="6" t="s">
        <v>10</v>
      </c>
      <c r="B45">
        <v>926.27</v>
      </c>
      <c r="C45">
        <v>1040.77</v>
      </c>
      <c r="D45">
        <v>972.89</v>
      </c>
      <c r="E45">
        <v>986.69</v>
      </c>
      <c r="F45">
        <v>1040.99</v>
      </c>
      <c r="G45">
        <v>1116.28</v>
      </c>
      <c r="H45">
        <v>1160.9100000000001</v>
      </c>
      <c r="I45">
        <v>1162.05</v>
      </c>
      <c r="J45">
        <v>1207.9000000000001</v>
      </c>
      <c r="K45">
        <v>1280.23</v>
      </c>
    </row>
    <row r="46" spans="1:11" s="6" customFormat="1">
      <c r="A46" s="6" t="s">
        <v>11</v>
      </c>
      <c r="B46">
        <v>1094.26</v>
      </c>
      <c r="C46">
        <v>1135.72</v>
      </c>
      <c r="D46">
        <v>1176.24</v>
      </c>
      <c r="E46">
        <v>1143.0999999999999</v>
      </c>
      <c r="F46">
        <v>1169.9000000000001</v>
      </c>
      <c r="G46">
        <v>1213.21</v>
      </c>
      <c r="H46">
        <v>1279.22</v>
      </c>
      <c r="I46">
        <v>1318.65</v>
      </c>
      <c r="J46">
        <v>1363.66</v>
      </c>
      <c r="K46">
        <v>1295.26</v>
      </c>
    </row>
    <row r="47" spans="1:11" s="6" customFormat="1">
      <c r="A47" s="6" t="s">
        <v>12</v>
      </c>
      <c r="B47">
        <v>1488.76</v>
      </c>
      <c r="C47">
        <v>1537.03</v>
      </c>
      <c r="D47">
        <v>1490.34</v>
      </c>
      <c r="E47">
        <v>1772.87</v>
      </c>
      <c r="F47">
        <v>1456.69</v>
      </c>
      <c r="G47">
        <v>1599.69</v>
      </c>
      <c r="H47">
        <v>1619.46</v>
      </c>
      <c r="I47">
        <v>1679.9</v>
      </c>
      <c r="J47">
        <v>1539.63</v>
      </c>
      <c r="K47">
        <v>1797</v>
      </c>
    </row>
    <row r="48" spans="1:11" s="6" customFormat="1">
      <c r="A48" s="6" t="s">
        <v>13</v>
      </c>
      <c r="B48">
        <v>412.64</v>
      </c>
      <c r="C48">
        <v>491.44</v>
      </c>
      <c r="D48">
        <v>301.70999999999998</v>
      </c>
      <c r="E48">
        <v>679.79</v>
      </c>
      <c r="F48">
        <v>269.14999999999998</v>
      </c>
      <c r="G48">
        <v>293.60000000000002</v>
      </c>
      <c r="H48">
        <v>357.14</v>
      </c>
      <c r="I48">
        <v>434.51</v>
      </c>
      <c r="J48">
        <v>345.3</v>
      </c>
      <c r="K48">
        <v>381.48</v>
      </c>
    </row>
    <row r="49" spans="1:11" s="6" customFormat="1">
      <c r="A49" s="6" t="s">
        <v>14</v>
      </c>
      <c r="B49">
        <v>953.01</v>
      </c>
      <c r="C49">
        <v>895.21</v>
      </c>
      <c r="D49">
        <v>970.91</v>
      </c>
      <c r="E49">
        <v>926.53</v>
      </c>
      <c r="F49">
        <v>1030.7</v>
      </c>
      <c r="G49">
        <v>1042.83</v>
      </c>
      <c r="H49">
        <v>1059.8599999999999</v>
      </c>
      <c r="I49">
        <v>919.44</v>
      </c>
      <c r="J49">
        <v>771.98</v>
      </c>
      <c r="K49">
        <v>995.91</v>
      </c>
    </row>
    <row r="50" spans="1:11">
      <c r="A50" s="6" t="s">
        <v>8</v>
      </c>
      <c r="B50">
        <v>2417.42</v>
      </c>
      <c r="C50">
        <v>2306.89</v>
      </c>
      <c r="D50">
        <v>3061.75</v>
      </c>
      <c r="E50">
        <v>3270.91</v>
      </c>
      <c r="F50">
        <v>3079.03</v>
      </c>
      <c r="G50">
        <v>3245.6</v>
      </c>
      <c r="H50">
        <v>3565.17</v>
      </c>
      <c r="I50">
        <v>3301.95</v>
      </c>
      <c r="J50">
        <v>3054.91</v>
      </c>
      <c r="K50">
        <v>2599.19</v>
      </c>
    </row>
    <row r="51" spans="1:11">
      <c r="A51" s="6"/>
    </row>
    <row r="52" spans="1:11">
      <c r="A52" s="6"/>
    </row>
    <row r="53" spans="1:11">
      <c r="A53" s="6"/>
    </row>
    <row r="54" spans="1:11">
      <c r="A54" s="6"/>
    </row>
    <row r="55" spans="1:11">
      <c r="A55" s="1" t="s">
        <v>40</v>
      </c>
    </row>
    <row r="56" spans="1:11" s="18" customFormat="1">
      <c r="A56" s="17" t="s">
        <v>38</v>
      </c>
      <c r="B56" s="12">
        <v>42825</v>
      </c>
      <c r="C56" s="12">
        <v>43190</v>
      </c>
      <c r="D56" s="12">
        <v>43555</v>
      </c>
      <c r="E56" s="12">
        <v>43921</v>
      </c>
      <c r="F56" s="12">
        <v>44286</v>
      </c>
      <c r="G56" s="12">
        <v>44651</v>
      </c>
      <c r="H56" s="12">
        <v>45016</v>
      </c>
      <c r="I56" s="12">
        <v>45382</v>
      </c>
      <c r="J56" s="12">
        <v>45747</v>
      </c>
      <c r="K56" s="12">
        <v>46112</v>
      </c>
    </row>
    <row r="57" spans="1:11">
      <c r="A57" s="6" t="s">
        <v>24</v>
      </c>
      <c r="B57">
        <v>270.5</v>
      </c>
      <c r="C57">
        <v>270.5</v>
      </c>
      <c r="D57">
        <v>270.5</v>
      </c>
      <c r="E57">
        <v>270.5</v>
      </c>
      <c r="F57">
        <v>319.56</v>
      </c>
      <c r="G57">
        <v>319.56</v>
      </c>
      <c r="H57">
        <v>319.56</v>
      </c>
      <c r="I57">
        <v>319.56</v>
      </c>
      <c r="J57">
        <v>319.56</v>
      </c>
      <c r="K57">
        <v>319.56</v>
      </c>
    </row>
    <row r="58" spans="1:11">
      <c r="A58" s="6" t="s">
        <v>25</v>
      </c>
      <c r="B58">
        <v>12944.05</v>
      </c>
      <c r="C58">
        <v>16129.38</v>
      </c>
      <c r="D58">
        <v>18035.009999999998</v>
      </c>
      <c r="E58">
        <v>19295.52</v>
      </c>
      <c r="F58">
        <v>22002.7</v>
      </c>
      <c r="G58">
        <v>22122</v>
      </c>
      <c r="H58">
        <v>28467.87</v>
      </c>
      <c r="I58">
        <v>32035.73</v>
      </c>
      <c r="J58">
        <v>35521.11</v>
      </c>
      <c r="K58">
        <v>39147.65</v>
      </c>
    </row>
    <row r="59" spans="1:11">
      <c r="A59" s="6" t="s">
        <v>71</v>
      </c>
      <c r="B59">
        <v>48815.41</v>
      </c>
      <c r="C59">
        <v>48589.24</v>
      </c>
      <c r="D59">
        <v>48506.04</v>
      </c>
      <c r="E59">
        <v>51936.15</v>
      </c>
      <c r="F59">
        <v>46707.95</v>
      </c>
      <c r="G59">
        <v>51195.12</v>
      </c>
      <c r="H59">
        <v>52923</v>
      </c>
      <c r="I59">
        <v>53689.45</v>
      </c>
      <c r="J59">
        <v>62865.8</v>
      </c>
      <c r="K59">
        <v>76141.27</v>
      </c>
    </row>
    <row r="60" spans="1:11">
      <c r="A60" s="6" t="s">
        <v>72</v>
      </c>
      <c r="B60">
        <v>20799.3</v>
      </c>
      <c r="C60">
        <v>16902.68</v>
      </c>
      <c r="D60">
        <v>17261.89</v>
      </c>
      <c r="E60">
        <v>18171.740000000002</v>
      </c>
      <c r="F60">
        <v>29624.63</v>
      </c>
      <c r="G60">
        <v>38913.31</v>
      </c>
      <c r="H60">
        <v>46385.71</v>
      </c>
      <c r="I60">
        <v>53009.66</v>
      </c>
      <c r="J60">
        <v>57486.83</v>
      </c>
      <c r="K60">
        <v>58955.76</v>
      </c>
    </row>
    <row r="61" spans="1:11" s="1" customFormat="1">
      <c r="A61" s="1" t="s">
        <v>26</v>
      </c>
      <c r="B61">
        <v>82829.259999999995</v>
      </c>
      <c r="C61">
        <v>81891.8</v>
      </c>
      <c r="D61">
        <v>84073.44</v>
      </c>
      <c r="E61">
        <v>89673.91</v>
      </c>
      <c r="F61">
        <v>98654.84</v>
      </c>
      <c r="G61">
        <v>112549.99</v>
      </c>
      <c r="H61">
        <v>128096.14</v>
      </c>
      <c r="I61">
        <v>139054.39999999999</v>
      </c>
      <c r="J61">
        <v>156193.29999999999</v>
      </c>
      <c r="K61">
        <v>174564.24</v>
      </c>
    </row>
    <row r="62" spans="1:11">
      <c r="A62" s="6" t="s">
        <v>27</v>
      </c>
      <c r="B62">
        <v>46594.79</v>
      </c>
      <c r="C62">
        <v>44656.26</v>
      </c>
      <c r="D62">
        <v>44304.89</v>
      </c>
      <c r="E62">
        <v>47666.36</v>
      </c>
      <c r="F62">
        <v>52179.15</v>
      </c>
      <c r="G62">
        <v>57389.440000000002</v>
      </c>
      <c r="H62">
        <v>61746.66</v>
      </c>
      <c r="I62">
        <v>67209.56</v>
      </c>
      <c r="J62">
        <v>78374.429999999993</v>
      </c>
      <c r="K62">
        <v>87292.69</v>
      </c>
    </row>
    <row r="63" spans="1:11">
      <c r="A63" s="6" t="s">
        <v>28</v>
      </c>
      <c r="B63">
        <v>2177.92</v>
      </c>
      <c r="C63">
        <v>1652.6</v>
      </c>
      <c r="D63">
        <v>2575.6999999999998</v>
      </c>
      <c r="E63">
        <v>1611.52</v>
      </c>
      <c r="F63">
        <v>3270.26</v>
      </c>
      <c r="G63">
        <v>4635.1000000000004</v>
      </c>
      <c r="H63">
        <v>5376.36</v>
      </c>
      <c r="I63">
        <v>11561.31</v>
      </c>
      <c r="J63">
        <v>12678.87</v>
      </c>
      <c r="K63">
        <v>14595.13</v>
      </c>
    </row>
    <row r="64" spans="1:11">
      <c r="A64" s="6" t="s">
        <v>29</v>
      </c>
      <c r="B64">
        <v>11873.01</v>
      </c>
      <c r="C64">
        <v>12428.93</v>
      </c>
      <c r="D64">
        <v>13541.87</v>
      </c>
      <c r="E64">
        <v>14534.84</v>
      </c>
      <c r="F64">
        <v>13149.05</v>
      </c>
      <c r="G64">
        <v>14160.33</v>
      </c>
      <c r="H64">
        <v>16669.689999999999</v>
      </c>
      <c r="I64">
        <v>16315.99</v>
      </c>
      <c r="J64">
        <v>16316.39</v>
      </c>
      <c r="K64">
        <v>16574.54</v>
      </c>
    </row>
    <row r="65" spans="1:11">
      <c r="A65" s="6" t="s">
        <v>73</v>
      </c>
      <c r="B65">
        <v>22183.54</v>
      </c>
      <c r="C65">
        <v>23154.01</v>
      </c>
      <c r="D65">
        <v>23650.98</v>
      </c>
      <c r="E65">
        <v>25861.19</v>
      </c>
      <c r="F65">
        <v>30056.38</v>
      </c>
      <c r="G65">
        <v>36365.120000000003</v>
      </c>
      <c r="H65">
        <v>44303.43</v>
      </c>
      <c r="I65">
        <v>43967.54</v>
      </c>
      <c r="J65">
        <v>48823.61</v>
      </c>
      <c r="K65">
        <v>56101.88</v>
      </c>
    </row>
    <row r="66" spans="1:11" s="1" customFormat="1">
      <c r="A66" s="1" t="s">
        <v>26</v>
      </c>
      <c r="B66">
        <v>82829.259999999995</v>
      </c>
      <c r="C66">
        <v>81891.8</v>
      </c>
      <c r="D66">
        <v>84073.44</v>
      </c>
      <c r="E66">
        <v>89673.91</v>
      </c>
      <c r="F66">
        <v>98654.84</v>
      </c>
      <c r="G66">
        <v>112549.99</v>
      </c>
      <c r="H66">
        <v>128096.14</v>
      </c>
      <c r="I66">
        <v>139054.39999999999</v>
      </c>
      <c r="J66">
        <v>156193.29999999999</v>
      </c>
      <c r="K66">
        <v>174564.24</v>
      </c>
    </row>
    <row r="67" spans="1:11" s="6" customFormat="1">
      <c r="A67" s="6" t="s">
        <v>78</v>
      </c>
      <c r="B67">
        <v>3832.12</v>
      </c>
      <c r="C67">
        <v>2788.93</v>
      </c>
      <c r="D67">
        <v>4445.26</v>
      </c>
      <c r="E67">
        <v>4425.8999999999996</v>
      </c>
      <c r="F67">
        <v>5200.08</v>
      </c>
      <c r="G67">
        <v>5979.74</v>
      </c>
      <c r="H67">
        <v>6952.15</v>
      </c>
      <c r="I67">
        <v>7401.69</v>
      </c>
      <c r="J67">
        <v>5709.78</v>
      </c>
      <c r="K67">
        <v>4423.96</v>
      </c>
    </row>
    <row r="68" spans="1:11">
      <c r="A68" s="6" t="s">
        <v>45</v>
      </c>
      <c r="B68">
        <v>1599.56</v>
      </c>
      <c r="C68">
        <v>1623.08</v>
      </c>
      <c r="D68">
        <v>1706.42</v>
      </c>
      <c r="E68">
        <v>1752.35</v>
      </c>
      <c r="F68">
        <v>1885.62</v>
      </c>
      <c r="G68">
        <v>4231.5200000000004</v>
      </c>
      <c r="H68">
        <v>3942.88</v>
      </c>
      <c r="I68">
        <v>4419.63</v>
      </c>
      <c r="J68">
        <v>4571.82</v>
      </c>
      <c r="K68">
        <v>5107.6400000000003</v>
      </c>
    </row>
    <row r="69" spans="1:11">
      <c r="A69" s="4" t="s">
        <v>87</v>
      </c>
      <c r="B69">
        <v>954.3</v>
      </c>
      <c r="C69">
        <v>1185.78</v>
      </c>
      <c r="D69">
        <v>787.45</v>
      </c>
      <c r="E69">
        <v>2094.1799999999998</v>
      </c>
      <c r="F69">
        <v>5870.67</v>
      </c>
      <c r="G69">
        <v>6640.7</v>
      </c>
      <c r="H69">
        <v>11206.53</v>
      </c>
      <c r="I69">
        <v>9151.91</v>
      </c>
      <c r="J69">
        <v>11750.98</v>
      </c>
      <c r="K69">
        <v>13644</v>
      </c>
    </row>
    <row r="70" spans="1:11">
      <c r="A70" s="4" t="s">
        <v>74</v>
      </c>
      <c r="B70">
        <v>2706281698</v>
      </c>
      <c r="C70">
        <v>2706425810</v>
      </c>
      <c r="D70">
        <v>2706425810</v>
      </c>
      <c r="E70">
        <v>2706425810</v>
      </c>
      <c r="F70">
        <v>3196991847</v>
      </c>
      <c r="G70">
        <v>3196991847</v>
      </c>
      <c r="H70">
        <v>3196991847</v>
      </c>
      <c r="I70">
        <v>3196991847</v>
      </c>
      <c r="J70">
        <v>3196991847</v>
      </c>
      <c r="K70">
        <v>3196991847</v>
      </c>
    </row>
    <row r="71" spans="1:11">
      <c r="A71" s="4" t="s">
        <v>75</v>
      </c>
    </row>
    <row r="72" spans="1:11">
      <c r="A72" s="4" t="s">
        <v>88</v>
      </c>
      <c r="B72">
        <v>1</v>
      </c>
      <c r="C72">
        <v>1</v>
      </c>
      <c r="D72">
        <v>1</v>
      </c>
      <c r="E72">
        <v>1</v>
      </c>
      <c r="F72">
        <v>1</v>
      </c>
      <c r="G72">
        <v>1</v>
      </c>
      <c r="H72">
        <v>1</v>
      </c>
      <c r="I72">
        <v>1</v>
      </c>
      <c r="J72">
        <v>1</v>
      </c>
      <c r="K72">
        <v>1</v>
      </c>
    </row>
    <row r="74" spans="1:11">
      <c r="A74" s="6"/>
    </row>
    <row r="75" spans="1:11">
      <c r="A75" s="6"/>
    </row>
    <row r="76" spans="1:11">
      <c r="A76" s="6"/>
    </row>
    <row r="77" spans="1:11">
      <c r="A77" s="6"/>
    </row>
    <row r="78" spans="1:11">
      <c r="A78" s="6"/>
    </row>
    <row r="79" spans="1:11">
      <c r="A79" s="6"/>
    </row>
    <row r="80" spans="1:11">
      <c r="A80" s="1" t="s">
        <v>41</v>
      </c>
    </row>
    <row r="81" spans="1:11" s="18" customFormat="1">
      <c r="A81" s="17" t="s">
        <v>38</v>
      </c>
      <c r="B81" s="12">
        <v>42825</v>
      </c>
      <c r="C81" s="12">
        <v>43190</v>
      </c>
      <c r="D81" s="12">
        <v>43555</v>
      </c>
      <c r="E81" s="12">
        <v>43921</v>
      </c>
      <c r="F81" s="12">
        <v>44286</v>
      </c>
      <c r="G81" s="12">
        <v>44651</v>
      </c>
      <c r="H81" s="12">
        <v>45016</v>
      </c>
      <c r="I81" s="12">
        <v>45382</v>
      </c>
      <c r="J81" s="12">
        <v>45747</v>
      </c>
      <c r="K81" s="12">
        <v>46112</v>
      </c>
    </row>
    <row r="82" spans="1:11" s="1" customFormat="1">
      <c r="A82" s="6" t="s">
        <v>32</v>
      </c>
      <c r="B82">
        <v>7014.18</v>
      </c>
      <c r="C82">
        <v>6363.85</v>
      </c>
      <c r="D82">
        <v>4573.79</v>
      </c>
      <c r="E82">
        <v>7375.32</v>
      </c>
      <c r="F82">
        <v>8345.1200000000008</v>
      </c>
      <c r="G82">
        <v>6692.73</v>
      </c>
      <c r="H82">
        <v>7165.59</v>
      </c>
      <c r="I82">
        <v>12504.37</v>
      </c>
      <c r="J82">
        <v>12680.19</v>
      </c>
      <c r="K82">
        <v>5993.33</v>
      </c>
    </row>
    <row r="83" spans="1:11" s="6" customFormat="1">
      <c r="A83" s="6" t="s">
        <v>33</v>
      </c>
      <c r="B83">
        <v>-7372.73</v>
      </c>
      <c r="C83">
        <v>-1511.65</v>
      </c>
      <c r="D83">
        <v>-272.33999999999997</v>
      </c>
      <c r="E83">
        <v>-492.88</v>
      </c>
      <c r="F83">
        <v>993.33</v>
      </c>
      <c r="G83">
        <v>-6250.47</v>
      </c>
      <c r="H83">
        <v>-7263.1</v>
      </c>
      <c r="I83">
        <v>-8935.3700000000008</v>
      </c>
      <c r="J83">
        <v>-15436.29</v>
      </c>
      <c r="K83">
        <v>-14128.65</v>
      </c>
    </row>
    <row r="84" spans="1:11" s="6" customFormat="1">
      <c r="A84" s="6" t="s">
        <v>34</v>
      </c>
      <c r="B84">
        <v>937.34</v>
      </c>
      <c r="C84">
        <v>-4726.26</v>
      </c>
      <c r="D84">
        <v>-5184.45</v>
      </c>
      <c r="E84">
        <v>-5109.57</v>
      </c>
      <c r="F84">
        <v>-7602.88</v>
      </c>
      <c r="G84">
        <v>-1183.2</v>
      </c>
      <c r="H84">
        <v>1340.77</v>
      </c>
      <c r="I84">
        <v>-4497.43</v>
      </c>
      <c r="J84">
        <v>4292.3900000000003</v>
      </c>
      <c r="K84">
        <v>7782.63</v>
      </c>
    </row>
    <row r="85" spans="1:11" s="1" customFormat="1">
      <c r="A85" s="6" t="s">
        <v>35</v>
      </c>
      <c r="B85">
        <v>578.79</v>
      </c>
      <c r="C85">
        <v>125.94</v>
      </c>
      <c r="D85">
        <v>-883</v>
      </c>
      <c r="E85">
        <v>1772.87</v>
      </c>
      <c r="F85">
        <v>1735.57</v>
      </c>
      <c r="G85">
        <v>-740.94</v>
      </c>
      <c r="H85">
        <v>1243.26</v>
      </c>
      <c r="I85">
        <v>-928.43</v>
      </c>
      <c r="J85">
        <v>1536.29</v>
      </c>
      <c r="K85">
        <v>-352.69</v>
      </c>
    </row>
    <row r="86" spans="1:11">
      <c r="A86" s="6"/>
    </row>
    <row r="87" spans="1:11">
      <c r="A87" s="6"/>
    </row>
    <row r="88" spans="1:11">
      <c r="A88" s="6"/>
    </row>
    <row r="89" spans="1:11">
      <c r="A89" s="6"/>
    </row>
    <row r="90" spans="1:11" s="1" customFormat="1">
      <c r="A90" s="1" t="s">
        <v>77</v>
      </c>
      <c r="B90">
        <v>90.35</v>
      </c>
      <c r="C90">
        <v>79</v>
      </c>
      <c r="D90">
        <v>73.8</v>
      </c>
      <c r="E90">
        <v>32.85</v>
      </c>
      <c r="F90">
        <v>103.25</v>
      </c>
      <c r="G90">
        <v>238.65</v>
      </c>
      <c r="H90">
        <v>190.25</v>
      </c>
      <c r="I90">
        <v>394.2</v>
      </c>
      <c r="J90">
        <v>375.4</v>
      </c>
      <c r="K90">
        <v>378.75</v>
      </c>
    </row>
    <row r="92" spans="1:11" s="1" customFormat="1">
      <c r="A92" s="1" t="s">
        <v>76</v>
      </c>
    </row>
    <row r="93" spans="1:11">
      <c r="A93" s="4" t="s">
        <v>89</v>
      </c>
      <c r="B93" s="24">
        <v>270.48</v>
      </c>
      <c r="C93" s="24">
        <v>270.48</v>
      </c>
      <c r="D93" s="24">
        <v>270.48</v>
      </c>
      <c r="E93" s="24">
        <v>270.48</v>
      </c>
      <c r="F93" s="24">
        <v>319.52999999999997</v>
      </c>
      <c r="G93" s="24">
        <v>319.52999999999997</v>
      </c>
      <c r="H93" s="24">
        <v>319.52999999999997</v>
      </c>
      <c r="I93" s="24">
        <v>319.52999999999997</v>
      </c>
      <c r="J93" s="24">
        <v>319.52999999999997</v>
      </c>
      <c r="K93" s="24">
        <v>319.52999999999997</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D915-0459-4503-92C2-85E50B83F84F}">
  <dimension ref="B1:E5443"/>
  <sheetViews>
    <sheetView workbookViewId="0"/>
  </sheetViews>
  <sheetFormatPr defaultRowHeight="15"/>
  <cols>
    <col min="2" max="2" width="43.5703125" customWidth="1"/>
    <col min="3" max="3" width="10" bestFit="1" customWidth="1"/>
    <col min="4" max="4" width="15.5703125" bestFit="1" customWidth="1"/>
    <col min="5" max="5" width="69.7109375" bestFit="1" customWidth="1"/>
  </cols>
  <sheetData>
    <row r="1" spans="2:5" ht="15.75" thickBot="1"/>
    <row r="2" spans="2:5" ht="15.75" thickBot="1">
      <c r="B2" s="224" t="s">
        <v>571</v>
      </c>
      <c r="C2" s="224" t="s">
        <v>572</v>
      </c>
      <c r="D2" s="224" t="s">
        <v>573</v>
      </c>
      <c r="E2" s="224" t="s">
        <v>574</v>
      </c>
    </row>
    <row r="3" spans="2:5" ht="15.75" thickBot="1">
      <c r="B3" s="225" t="s">
        <v>575</v>
      </c>
      <c r="C3" s="226">
        <v>533022</v>
      </c>
      <c r="D3" s="225" t="s">
        <v>576</v>
      </c>
      <c r="E3" s="225" t="s">
        <v>577</v>
      </c>
    </row>
    <row r="4" spans="2:5" ht="15.75" thickBot="1">
      <c r="B4" s="225" t="s">
        <v>578</v>
      </c>
      <c r="C4" s="226">
        <v>526921</v>
      </c>
      <c r="D4" s="225" t="s">
        <v>579</v>
      </c>
      <c r="E4" s="225" t="s">
        <v>580</v>
      </c>
    </row>
    <row r="5" spans="2:5" ht="15.75" thickBot="1">
      <c r="B5" s="225" t="s">
        <v>581</v>
      </c>
      <c r="C5" s="226">
        <v>532628</v>
      </c>
      <c r="D5" s="225" t="s">
        <v>582</v>
      </c>
      <c r="E5" s="225" t="s">
        <v>583</v>
      </c>
    </row>
    <row r="6" spans="2:5" ht="15.75" thickBot="1">
      <c r="B6" s="225" t="s">
        <v>584</v>
      </c>
      <c r="C6" s="226">
        <v>523395</v>
      </c>
      <c r="D6" s="225" t="s">
        <v>585</v>
      </c>
      <c r="E6" s="225" t="s">
        <v>586</v>
      </c>
    </row>
    <row r="7" spans="2:5" ht="15.75" thickBot="1">
      <c r="B7" s="225" t="s">
        <v>587</v>
      </c>
      <c r="C7" s="226">
        <v>523395</v>
      </c>
      <c r="D7" s="225" t="s">
        <v>588</v>
      </c>
      <c r="E7" s="225" t="s">
        <v>586</v>
      </c>
    </row>
    <row r="8" spans="2:5" ht="15.75" thickBot="1">
      <c r="B8" s="225" t="s">
        <v>589</v>
      </c>
      <c r="C8" s="226">
        <v>516092</v>
      </c>
      <c r="D8" s="225" t="s">
        <v>590</v>
      </c>
      <c r="E8" s="225" t="s">
        <v>591</v>
      </c>
    </row>
    <row r="9" spans="2:5" ht="15.75" thickBot="1">
      <c r="B9" s="225" t="s">
        <v>592</v>
      </c>
      <c r="C9" s="226">
        <v>540776</v>
      </c>
      <c r="D9" s="225" t="s">
        <v>593</v>
      </c>
      <c r="E9" s="225" t="s">
        <v>580</v>
      </c>
    </row>
    <row r="10" spans="2:5" ht="15.75" thickBot="1">
      <c r="B10" s="225" t="s">
        <v>594</v>
      </c>
      <c r="C10" s="226">
        <v>526881</v>
      </c>
      <c r="D10" s="225" t="s">
        <v>595</v>
      </c>
      <c r="E10" s="225" t="s">
        <v>583</v>
      </c>
    </row>
    <row r="11" spans="2:5" ht="15.75" thickBot="1">
      <c r="B11" s="225" t="s">
        <v>596</v>
      </c>
      <c r="C11" s="226">
        <v>540615</v>
      </c>
      <c r="D11" s="225" t="s">
        <v>597</v>
      </c>
      <c r="E11" s="225" t="s">
        <v>598</v>
      </c>
    </row>
    <row r="12" spans="2:5" ht="15.75" thickBot="1">
      <c r="B12" s="225" t="s">
        <v>599</v>
      </c>
      <c r="C12" s="226">
        <v>540874</v>
      </c>
      <c r="D12" s="225" t="s">
        <v>597</v>
      </c>
      <c r="E12" s="225" t="s">
        <v>600</v>
      </c>
    </row>
    <row r="13" spans="2:5" ht="15.75" thickBot="1">
      <c r="B13" s="225" t="s">
        <v>601</v>
      </c>
      <c r="C13" s="226">
        <v>512161</v>
      </c>
      <c r="D13" s="225" t="s">
        <v>602</v>
      </c>
      <c r="E13" s="225" t="s">
        <v>603</v>
      </c>
    </row>
    <row r="14" spans="2:5" ht="15.75" thickBot="1">
      <c r="B14" s="225" t="s">
        <v>604</v>
      </c>
      <c r="C14" s="226">
        <v>540697</v>
      </c>
      <c r="D14" s="225" t="s">
        <v>597</v>
      </c>
      <c r="E14" s="225" t="s">
        <v>605</v>
      </c>
    </row>
    <row r="15" spans="2:5" ht="15.75" thickBot="1">
      <c r="B15" s="225" t="s">
        <v>606</v>
      </c>
      <c r="C15" s="225" t="s">
        <v>597</v>
      </c>
      <c r="D15" s="225" t="s">
        <v>607</v>
      </c>
      <c r="E15" s="225" t="s">
        <v>608</v>
      </c>
    </row>
    <row r="16" spans="2:5" ht="15.75" thickBot="1">
      <c r="B16" s="225" t="s">
        <v>609</v>
      </c>
      <c r="C16" s="226">
        <v>539620</v>
      </c>
      <c r="D16" s="225" t="s">
        <v>597</v>
      </c>
      <c r="E16" s="225" t="s">
        <v>610</v>
      </c>
    </row>
    <row r="17" spans="2:5" ht="15.75" thickBot="1">
      <c r="B17" s="225" t="s">
        <v>611</v>
      </c>
      <c r="C17" s="226">
        <v>539300</v>
      </c>
      <c r="D17" s="225" t="s">
        <v>597</v>
      </c>
      <c r="E17" s="225" t="s">
        <v>612</v>
      </c>
    </row>
    <row r="18" spans="2:5" ht="15.75" thickBot="1">
      <c r="B18" s="225" t="s">
        <v>613</v>
      </c>
      <c r="C18" s="226">
        <v>530499</v>
      </c>
      <c r="D18" s="225" t="s">
        <v>597</v>
      </c>
      <c r="E18" s="225" t="s">
        <v>614</v>
      </c>
    </row>
    <row r="19" spans="2:5" ht="15.75" thickBot="1">
      <c r="B19" s="225" t="s">
        <v>615</v>
      </c>
      <c r="C19" s="226">
        <v>538351</v>
      </c>
      <c r="D19" s="225" t="s">
        <v>616</v>
      </c>
      <c r="E19" s="225" t="s">
        <v>617</v>
      </c>
    </row>
    <row r="20" spans="2:5" ht="15.75" thickBot="1">
      <c r="B20" s="225" t="s">
        <v>618</v>
      </c>
      <c r="C20" s="226">
        <v>542012</v>
      </c>
      <c r="D20" s="225" t="s">
        <v>597</v>
      </c>
      <c r="E20" s="225" t="s">
        <v>619</v>
      </c>
    </row>
    <row r="21" spans="2:5" ht="15.75" thickBot="1">
      <c r="B21" s="225" t="s">
        <v>620</v>
      </c>
      <c r="C21" s="226">
        <v>533292</v>
      </c>
      <c r="D21" s="225" t="s">
        <v>621</v>
      </c>
      <c r="E21" s="225" t="s">
        <v>622</v>
      </c>
    </row>
    <row r="22" spans="2:5" ht="15.75" thickBot="1">
      <c r="B22" s="225" t="s">
        <v>623</v>
      </c>
      <c r="C22" s="226">
        <v>531611</v>
      </c>
      <c r="D22" s="225" t="s">
        <v>597</v>
      </c>
      <c r="E22" s="225" t="s">
        <v>614</v>
      </c>
    </row>
    <row r="23" spans="2:5" ht="15.75" thickBot="1">
      <c r="B23" s="225" t="s">
        <v>624</v>
      </c>
      <c r="C23" s="226">
        <v>531611</v>
      </c>
      <c r="D23" s="225" t="s">
        <v>597</v>
      </c>
      <c r="E23" s="225" t="s">
        <v>614</v>
      </c>
    </row>
    <row r="24" spans="2:5" ht="15.75" thickBot="1">
      <c r="B24" s="225" t="s">
        <v>625</v>
      </c>
      <c r="C24" s="225" t="s">
        <v>597</v>
      </c>
      <c r="D24" s="225" t="s">
        <v>626</v>
      </c>
      <c r="E24" s="225" t="s">
        <v>608</v>
      </c>
    </row>
    <row r="25" spans="2:5" ht="15.75" thickBot="1">
      <c r="B25" s="225" t="s">
        <v>627</v>
      </c>
      <c r="C25" s="226">
        <v>539096</v>
      </c>
      <c r="D25" s="225" t="s">
        <v>597</v>
      </c>
      <c r="E25" s="225" t="s">
        <v>612</v>
      </c>
    </row>
    <row r="26" spans="2:5" ht="15.75" thickBot="1">
      <c r="B26" s="225" t="s">
        <v>628</v>
      </c>
      <c r="C26" s="226">
        <v>538812</v>
      </c>
      <c r="D26" s="225" t="s">
        <v>597</v>
      </c>
      <c r="E26" s="225" t="s">
        <v>629</v>
      </c>
    </row>
    <row r="27" spans="2:5" ht="15.75" thickBot="1">
      <c r="B27" s="225" t="s">
        <v>630</v>
      </c>
      <c r="C27" s="226">
        <v>539632</v>
      </c>
      <c r="D27" s="225" t="s">
        <v>597</v>
      </c>
      <c r="E27" s="225" t="s">
        <v>631</v>
      </c>
    </row>
    <row r="28" spans="2:5" ht="15.75" thickBot="1">
      <c r="B28" s="225" t="s">
        <v>632</v>
      </c>
      <c r="C28" s="226">
        <v>542377</v>
      </c>
      <c r="D28" s="225" t="s">
        <v>633</v>
      </c>
      <c r="E28" s="225" t="s">
        <v>614</v>
      </c>
    </row>
    <row r="29" spans="2:5" ht="15.75" thickBot="1">
      <c r="B29" s="225" t="s">
        <v>634</v>
      </c>
      <c r="C29" s="226">
        <v>524412</v>
      </c>
      <c r="D29" s="225" t="s">
        <v>597</v>
      </c>
      <c r="E29" s="225" t="s">
        <v>635</v>
      </c>
    </row>
    <row r="30" spans="2:5" ht="15.75" thickBot="1">
      <c r="B30" s="225" t="s">
        <v>636</v>
      </c>
      <c r="C30" s="225" t="s">
        <v>597</v>
      </c>
      <c r="D30" s="225" t="s">
        <v>637</v>
      </c>
      <c r="E30" s="225" t="s">
        <v>608</v>
      </c>
    </row>
    <row r="31" spans="2:5" ht="15.75" thickBot="1">
      <c r="B31" s="225" t="s">
        <v>638</v>
      </c>
      <c r="C31" s="226">
        <v>542580</v>
      </c>
      <c r="D31" s="225" t="s">
        <v>639</v>
      </c>
      <c r="E31" s="225" t="s">
        <v>640</v>
      </c>
    </row>
    <row r="32" spans="2:5" ht="15.75" thickBot="1">
      <c r="B32" s="225" t="s">
        <v>641</v>
      </c>
      <c r="C32" s="226">
        <v>524348</v>
      </c>
      <c r="D32" s="225" t="s">
        <v>642</v>
      </c>
      <c r="E32" s="225" t="s">
        <v>635</v>
      </c>
    </row>
    <row r="33" spans="2:5" ht="15.75" thickBot="1">
      <c r="B33" s="225" t="s">
        <v>643</v>
      </c>
      <c r="C33" s="226">
        <v>524208</v>
      </c>
      <c r="D33" s="225" t="s">
        <v>644</v>
      </c>
      <c r="E33" s="225" t="s">
        <v>645</v>
      </c>
    </row>
    <row r="34" spans="2:5" ht="15.75" thickBot="1">
      <c r="B34" s="225" t="s">
        <v>646</v>
      </c>
      <c r="C34" s="226">
        <v>526488</v>
      </c>
      <c r="D34" s="225" t="s">
        <v>597</v>
      </c>
      <c r="E34" s="225" t="s">
        <v>612</v>
      </c>
    </row>
    <row r="35" spans="2:5" ht="15.75" thickBot="1">
      <c r="B35" s="225" t="s">
        <v>647</v>
      </c>
      <c r="C35" s="226">
        <v>514274</v>
      </c>
      <c r="D35" s="225" t="s">
        <v>648</v>
      </c>
      <c r="E35" s="225" t="s">
        <v>612</v>
      </c>
    </row>
    <row r="36" spans="2:5" ht="15.75" thickBot="1">
      <c r="B36" s="225" t="s">
        <v>649</v>
      </c>
      <c r="C36" s="225" t="s">
        <v>597</v>
      </c>
      <c r="D36" s="225" t="s">
        <v>650</v>
      </c>
      <c r="E36" s="225" t="s">
        <v>608</v>
      </c>
    </row>
    <row r="37" spans="2:5" ht="15.75" thickBot="1">
      <c r="B37" s="225" t="s">
        <v>651</v>
      </c>
      <c r="C37" s="226">
        <v>519319</v>
      </c>
      <c r="D37" s="225" t="s">
        <v>597</v>
      </c>
      <c r="E37" s="225" t="s">
        <v>603</v>
      </c>
    </row>
    <row r="38" spans="2:5" ht="15.75" thickBot="1">
      <c r="B38" s="225" t="s">
        <v>652</v>
      </c>
      <c r="C38" s="226">
        <v>512038</v>
      </c>
      <c r="D38" s="225" t="s">
        <v>597</v>
      </c>
      <c r="E38" s="225" t="s">
        <v>619</v>
      </c>
    </row>
    <row r="39" spans="2:5" ht="15.75" thickBot="1">
      <c r="B39" s="225" t="s">
        <v>653</v>
      </c>
      <c r="C39" s="226">
        <v>541988</v>
      </c>
      <c r="D39" s="225" t="s">
        <v>654</v>
      </c>
      <c r="E39" s="225" t="s">
        <v>655</v>
      </c>
    </row>
    <row r="40" spans="2:5" ht="15.75" thickBot="1">
      <c r="B40" s="225" t="s">
        <v>656</v>
      </c>
      <c r="C40" s="226">
        <v>539528</v>
      </c>
      <c r="D40" s="225" t="s">
        <v>597</v>
      </c>
      <c r="E40" s="225" t="s">
        <v>657</v>
      </c>
    </row>
    <row r="41" spans="2:5" ht="15.75" thickBot="1">
      <c r="B41" s="225" t="s">
        <v>658</v>
      </c>
      <c r="C41" s="226">
        <v>523204</v>
      </c>
      <c r="D41" s="225" t="s">
        <v>659</v>
      </c>
      <c r="E41" s="225" t="s">
        <v>660</v>
      </c>
    </row>
    <row r="42" spans="2:5" ht="15.75" thickBot="1">
      <c r="B42" s="225" t="s">
        <v>661</v>
      </c>
      <c r="C42" s="226">
        <v>512165</v>
      </c>
      <c r="D42" s="225" t="s">
        <v>597</v>
      </c>
      <c r="E42" s="225" t="s">
        <v>619</v>
      </c>
    </row>
    <row r="43" spans="2:5" ht="15.75" thickBot="1">
      <c r="B43" s="225" t="s">
        <v>662</v>
      </c>
      <c r="C43" s="226">
        <v>500002</v>
      </c>
      <c r="D43" s="225" t="s">
        <v>663</v>
      </c>
      <c r="E43" s="225" t="s">
        <v>640</v>
      </c>
    </row>
    <row r="44" spans="2:5" ht="15.75" thickBot="1">
      <c r="B44" s="225" t="s">
        <v>664</v>
      </c>
      <c r="C44" s="226">
        <v>500488</v>
      </c>
      <c r="D44" s="225" t="s">
        <v>665</v>
      </c>
      <c r="E44" s="225" t="s">
        <v>635</v>
      </c>
    </row>
    <row r="45" spans="2:5" ht="15.75" thickBot="1">
      <c r="B45" s="225" t="s">
        <v>666</v>
      </c>
      <c r="C45" s="226">
        <v>500488</v>
      </c>
      <c r="D45" s="225" t="s">
        <v>667</v>
      </c>
      <c r="E45" s="225" t="s">
        <v>635</v>
      </c>
    </row>
    <row r="46" spans="2:5" ht="15.75" thickBot="1">
      <c r="B46" s="225" t="s">
        <v>668</v>
      </c>
      <c r="C46" s="226">
        <v>520123</v>
      </c>
      <c r="D46" s="225" t="s">
        <v>597</v>
      </c>
      <c r="E46" s="225" t="s">
        <v>669</v>
      </c>
    </row>
    <row r="47" spans="2:5" ht="15.75" thickBot="1">
      <c r="B47" s="225" t="s">
        <v>670</v>
      </c>
      <c r="C47" s="226">
        <v>513119</v>
      </c>
      <c r="D47" s="225" t="s">
        <v>597</v>
      </c>
      <c r="E47" s="225" t="s">
        <v>671</v>
      </c>
    </row>
    <row r="48" spans="2:5" ht="15.75" thickBot="1">
      <c r="B48" s="225" t="s">
        <v>672</v>
      </c>
      <c r="C48" s="226">
        <v>520123</v>
      </c>
      <c r="D48" s="225" t="s">
        <v>597</v>
      </c>
      <c r="E48" s="225" t="s">
        <v>669</v>
      </c>
    </row>
    <row r="49" spans="2:5" ht="15.75" thickBot="1">
      <c r="B49" s="225" t="s">
        <v>673</v>
      </c>
      <c r="C49" s="226">
        <v>532682</v>
      </c>
      <c r="D49" s="225" t="s">
        <v>674</v>
      </c>
      <c r="E49" s="225" t="s">
        <v>675</v>
      </c>
    </row>
    <row r="50" spans="2:5" ht="15.75" thickBot="1">
      <c r="B50" s="225" t="s">
        <v>676</v>
      </c>
      <c r="C50" s="226">
        <v>539560</v>
      </c>
      <c r="D50" s="225" t="s">
        <v>597</v>
      </c>
      <c r="E50" s="225" t="s">
        <v>677</v>
      </c>
    </row>
    <row r="51" spans="2:5" ht="15.75" thickBot="1">
      <c r="B51" s="225" t="s">
        <v>678</v>
      </c>
      <c r="C51" s="226">
        <v>532057</v>
      </c>
      <c r="D51" s="225" t="s">
        <v>597</v>
      </c>
      <c r="E51" s="225" t="s">
        <v>614</v>
      </c>
    </row>
    <row r="52" spans="2:5" ht="15.75" thickBot="1">
      <c r="B52" s="225" t="s">
        <v>679</v>
      </c>
      <c r="C52" s="226">
        <v>538952</v>
      </c>
      <c r="D52" s="225" t="s">
        <v>597</v>
      </c>
      <c r="E52" s="225" t="s">
        <v>614</v>
      </c>
    </row>
    <row r="53" spans="2:5" ht="15.75" thickBot="1">
      <c r="B53" s="225" t="s">
        <v>680</v>
      </c>
      <c r="C53" s="226">
        <v>538935</v>
      </c>
      <c r="D53" s="225" t="s">
        <v>597</v>
      </c>
      <c r="E53" s="225" t="s">
        <v>681</v>
      </c>
    </row>
    <row r="54" spans="2:5" ht="15.75" thickBot="1">
      <c r="B54" s="225" t="s">
        <v>682</v>
      </c>
      <c r="C54" s="226">
        <v>539544</v>
      </c>
      <c r="D54" s="225" t="s">
        <v>597</v>
      </c>
      <c r="E54" s="225" t="s">
        <v>683</v>
      </c>
    </row>
    <row r="55" spans="2:5" ht="15.75" thickBot="1">
      <c r="B55" s="225" t="s">
        <v>684</v>
      </c>
      <c r="C55" s="226">
        <v>511756</v>
      </c>
      <c r="D55" s="225" t="s">
        <v>597</v>
      </c>
      <c r="E55" s="225" t="s">
        <v>614</v>
      </c>
    </row>
    <row r="56" spans="2:5" ht="15.75" thickBot="1">
      <c r="B56" s="225" t="s">
        <v>685</v>
      </c>
      <c r="C56" s="226">
        <v>511756</v>
      </c>
      <c r="D56" s="225" t="s">
        <v>597</v>
      </c>
      <c r="E56" s="225" t="s">
        <v>614</v>
      </c>
    </row>
    <row r="57" spans="2:5" ht="15.75" thickBot="1">
      <c r="B57" s="225" t="s">
        <v>686</v>
      </c>
      <c r="C57" s="225" t="s">
        <v>597</v>
      </c>
      <c r="D57" s="225" t="s">
        <v>687</v>
      </c>
      <c r="E57" s="225" t="s">
        <v>688</v>
      </c>
    </row>
    <row r="58" spans="2:5" ht="15.75" thickBot="1">
      <c r="B58" s="225" t="s">
        <v>689</v>
      </c>
      <c r="C58" s="226">
        <v>531161</v>
      </c>
      <c r="D58" s="225" t="s">
        <v>597</v>
      </c>
      <c r="E58" s="225" t="s">
        <v>690</v>
      </c>
    </row>
    <row r="59" spans="2:5" ht="15.75" thickBot="1">
      <c r="B59" s="225" t="s">
        <v>691</v>
      </c>
      <c r="C59" s="226">
        <v>500410</v>
      </c>
      <c r="D59" s="225" t="s">
        <v>692</v>
      </c>
      <c r="E59" s="225" t="s">
        <v>610</v>
      </c>
    </row>
    <row r="60" spans="2:5" ht="15.75" thickBot="1">
      <c r="B60" s="225" t="s">
        <v>693</v>
      </c>
      <c r="C60" s="226">
        <v>517494</v>
      </c>
      <c r="D60" s="225" t="s">
        <v>597</v>
      </c>
      <c r="E60" s="225" t="s">
        <v>694</v>
      </c>
    </row>
    <row r="61" spans="2:5" ht="15.75" thickBot="1">
      <c r="B61" s="225" t="s">
        <v>695</v>
      </c>
      <c r="C61" s="226">
        <v>532268</v>
      </c>
      <c r="D61" s="225" t="s">
        <v>696</v>
      </c>
      <c r="E61" s="225" t="s">
        <v>583</v>
      </c>
    </row>
    <row r="62" spans="2:5" ht="15.75" thickBot="1">
      <c r="B62" s="225" t="s">
        <v>697</v>
      </c>
      <c r="C62" s="225" t="s">
        <v>597</v>
      </c>
      <c r="D62" s="225" t="s">
        <v>698</v>
      </c>
      <c r="E62" s="225" t="s">
        <v>608</v>
      </c>
    </row>
    <row r="63" spans="2:5" ht="15.75" thickBot="1">
      <c r="B63" s="225" t="s">
        <v>699</v>
      </c>
      <c r="C63" s="225" t="s">
        <v>597</v>
      </c>
      <c r="D63" s="225" t="s">
        <v>700</v>
      </c>
      <c r="E63" s="225" t="s">
        <v>608</v>
      </c>
    </row>
    <row r="64" spans="2:5" ht="15.75" thickBot="1">
      <c r="B64" s="225" t="s">
        <v>701</v>
      </c>
      <c r="C64" s="226">
        <v>530093</v>
      </c>
      <c r="D64" s="225" t="s">
        <v>597</v>
      </c>
      <c r="E64" s="225" t="s">
        <v>702</v>
      </c>
    </row>
    <row r="65" spans="2:5" ht="15.75" thickBot="1">
      <c r="B65" s="225" t="s">
        <v>703</v>
      </c>
      <c r="C65" s="225" t="s">
        <v>597</v>
      </c>
      <c r="D65" s="225" t="s">
        <v>704</v>
      </c>
      <c r="E65" s="225" t="s">
        <v>608</v>
      </c>
    </row>
    <row r="66" spans="2:5" ht="15.75" thickBot="1">
      <c r="B66" s="225" t="s">
        <v>705</v>
      </c>
      <c r="C66" s="226">
        <v>539661</v>
      </c>
      <c r="D66" s="225" t="s">
        <v>597</v>
      </c>
      <c r="E66" s="225" t="s">
        <v>631</v>
      </c>
    </row>
    <row r="67" spans="2:5" ht="15.75" thickBot="1">
      <c r="B67" s="225" t="s">
        <v>706</v>
      </c>
      <c r="C67" s="226">
        <v>531525</v>
      </c>
      <c r="D67" s="225" t="s">
        <v>597</v>
      </c>
      <c r="E67" s="225" t="s">
        <v>690</v>
      </c>
    </row>
    <row r="68" spans="2:5" ht="15.75" thickBot="1">
      <c r="B68" s="225" t="s">
        <v>707</v>
      </c>
      <c r="C68" s="226">
        <v>538570</v>
      </c>
      <c r="D68" s="225" t="s">
        <v>708</v>
      </c>
      <c r="E68" s="225" t="s">
        <v>580</v>
      </c>
    </row>
    <row r="69" spans="2:5" ht="15.75" thickBot="1">
      <c r="B69" s="225" t="s">
        <v>709</v>
      </c>
      <c r="C69" s="226">
        <v>517356</v>
      </c>
      <c r="D69" s="225" t="s">
        <v>597</v>
      </c>
      <c r="E69" s="225" t="s">
        <v>694</v>
      </c>
    </row>
    <row r="70" spans="2:5" ht="15.75" thickBot="1">
      <c r="B70" s="225" t="s">
        <v>710</v>
      </c>
      <c r="C70" s="226">
        <v>530043</v>
      </c>
      <c r="D70" s="225" t="s">
        <v>597</v>
      </c>
      <c r="E70" s="225" t="s">
        <v>711</v>
      </c>
    </row>
    <row r="71" spans="2:5" ht="15.75" thickBot="1">
      <c r="B71" s="225" t="s">
        <v>712</v>
      </c>
      <c r="C71" s="226">
        <v>539391</v>
      </c>
      <c r="D71" s="225" t="s">
        <v>597</v>
      </c>
      <c r="E71" s="225" t="s">
        <v>614</v>
      </c>
    </row>
    <row r="72" spans="2:5" ht="15.75" thickBot="1">
      <c r="B72" s="225" t="s">
        <v>713</v>
      </c>
      <c r="C72" s="226">
        <v>513149</v>
      </c>
      <c r="D72" s="225" t="s">
        <v>714</v>
      </c>
      <c r="E72" s="225" t="s">
        <v>715</v>
      </c>
    </row>
    <row r="73" spans="2:5" ht="15.75" thickBot="1">
      <c r="B73" s="225" t="s">
        <v>716</v>
      </c>
      <c r="C73" s="226">
        <v>524091</v>
      </c>
      <c r="D73" s="225" t="s">
        <v>597</v>
      </c>
      <c r="E73" s="225" t="s">
        <v>717</v>
      </c>
    </row>
    <row r="74" spans="2:5" ht="15.75" thickBot="1">
      <c r="B74" s="225" t="s">
        <v>718</v>
      </c>
      <c r="C74" s="226">
        <v>532762</v>
      </c>
      <c r="D74" s="225" t="s">
        <v>719</v>
      </c>
      <c r="E74" s="225" t="s">
        <v>720</v>
      </c>
    </row>
    <row r="75" spans="2:5" ht="15.75" thickBot="1">
      <c r="B75" s="225" t="s">
        <v>721</v>
      </c>
      <c r="C75" s="226">
        <v>511706</v>
      </c>
      <c r="D75" s="225" t="s">
        <v>597</v>
      </c>
      <c r="E75" s="225" t="s">
        <v>580</v>
      </c>
    </row>
    <row r="76" spans="2:5" ht="15.75" thickBot="1">
      <c r="B76" s="225" t="s">
        <v>722</v>
      </c>
      <c r="C76" s="226">
        <v>511706</v>
      </c>
      <c r="D76" s="225" t="s">
        <v>597</v>
      </c>
      <c r="E76" s="225" t="s">
        <v>580</v>
      </c>
    </row>
    <row r="77" spans="2:5" ht="15.75" thickBot="1">
      <c r="B77" s="225" t="s">
        <v>723</v>
      </c>
      <c r="C77" s="226">
        <v>541144</v>
      </c>
      <c r="D77" s="225" t="s">
        <v>597</v>
      </c>
      <c r="E77" s="225" t="s">
        <v>711</v>
      </c>
    </row>
    <row r="78" spans="2:5" ht="15.75" thickBot="1">
      <c r="B78" s="225" t="s">
        <v>724</v>
      </c>
      <c r="C78" s="226">
        <v>512599</v>
      </c>
      <c r="D78" s="225" t="s">
        <v>725</v>
      </c>
      <c r="E78" s="225" t="s">
        <v>619</v>
      </c>
    </row>
    <row r="79" spans="2:5" ht="15.75" thickBot="1">
      <c r="B79" s="225" t="s">
        <v>726</v>
      </c>
      <c r="C79" s="226">
        <v>542066</v>
      </c>
      <c r="D79" s="225" t="s">
        <v>727</v>
      </c>
      <c r="E79" s="225" t="s">
        <v>728</v>
      </c>
    </row>
    <row r="80" spans="2:5" ht="15.75" thickBot="1">
      <c r="B80" s="225" t="s">
        <v>729</v>
      </c>
      <c r="C80" s="226">
        <v>541450</v>
      </c>
      <c r="D80" s="225" t="s">
        <v>730</v>
      </c>
      <c r="E80" s="225" t="s">
        <v>640</v>
      </c>
    </row>
    <row r="81" spans="2:5" ht="15.75" thickBot="1">
      <c r="B81" s="225" t="s">
        <v>731</v>
      </c>
      <c r="C81" s="226">
        <v>532921</v>
      </c>
      <c r="D81" s="225" t="s">
        <v>732</v>
      </c>
      <c r="E81" s="225" t="s">
        <v>733</v>
      </c>
    </row>
    <row r="82" spans="2:5" ht="15.75" thickBot="1">
      <c r="B82" s="225" t="s">
        <v>734</v>
      </c>
      <c r="C82" s="226">
        <v>533096</v>
      </c>
      <c r="D82" s="225" t="s">
        <v>735</v>
      </c>
      <c r="E82" s="225" t="s">
        <v>736</v>
      </c>
    </row>
    <row r="83" spans="2:5" ht="15.75" thickBot="1">
      <c r="B83" s="225" t="s">
        <v>737</v>
      </c>
      <c r="C83" s="226">
        <v>539254</v>
      </c>
      <c r="D83" s="225" t="s">
        <v>738</v>
      </c>
      <c r="E83" s="225" t="s">
        <v>736</v>
      </c>
    </row>
    <row r="84" spans="2:5" ht="15.75" thickBot="1">
      <c r="B84" s="225" t="s">
        <v>739</v>
      </c>
      <c r="C84" s="226">
        <v>538563</v>
      </c>
      <c r="D84" s="225" t="s">
        <v>597</v>
      </c>
      <c r="E84" s="225" t="s">
        <v>619</v>
      </c>
    </row>
    <row r="85" spans="2:5" ht="15.75" thickBot="1">
      <c r="B85" s="225" t="s">
        <v>740</v>
      </c>
      <c r="C85" s="226">
        <v>526711</v>
      </c>
      <c r="D85" s="225" t="s">
        <v>597</v>
      </c>
      <c r="E85" s="225" t="s">
        <v>741</v>
      </c>
    </row>
    <row r="86" spans="2:5" ht="15.75" thickBot="1">
      <c r="B86" s="225" t="s">
        <v>742</v>
      </c>
      <c r="C86" s="226">
        <v>523411</v>
      </c>
      <c r="D86" s="225" t="s">
        <v>597</v>
      </c>
      <c r="E86" s="225" t="s">
        <v>743</v>
      </c>
    </row>
    <row r="87" spans="2:5" ht="15.75" thickBot="1">
      <c r="B87" s="225" t="s">
        <v>744</v>
      </c>
      <c r="C87" s="226">
        <v>539506</v>
      </c>
      <c r="D87" s="225" t="s">
        <v>597</v>
      </c>
      <c r="E87" s="225" t="s">
        <v>614</v>
      </c>
    </row>
    <row r="88" spans="2:5" ht="15.75" thickBot="1">
      <c r="B88" s="225" t="s">
        <v>745</v>
      </c>
      <c r="C88" s="226">
        <v>507852</v>
      </c>
      <c r="D88" s="225" t="s">
        <v>597</v>
      </c>
      <c r="E88" s="225" t="s">
        <v>711</v>
      </c>
    </row>
    <row r="89" spans="2:5" ht="15.75" thickBot="1">
      <c r="B89" s="225" t="s">
        <v>746</v>
      </c>
      <c r="C89" s="226">
        <v>541865</v>
      </c>
      <c r="D89" s="225" t="s">
        <v>597</v>
      </c>
      <c r="E89" s="225" t="s">
        <v>631</v>
      </c>
    </row>
    <row r="90" spans="2:5" ht="15.75" thickBot="1">
      <c r="B90" s="225" t="s">
        <v>747</v>
      </c>
      <c r="C90" s="226">
        <v>519183</v>
      </c>
      <c r="D90" s="225" t="s">
        <v>748</v>
      </c>
      <c r="E90" s="225" t="s">
        <v>657</v>
      </c>
    </row>
    <row r="91" spans="2:5" ht="15.75" thickBot="1">
      <c r="B91" s="225" t="s">
        <v>749</v>
      </c>
      <c r="C91" s="226">
        <v>539493</v>
      </c>
      <c r="D91" s="225" t="s">
        <v>597</v>
      </c>
      <c r="E91" s="225" t="s">
        <v>614</v>
      </c>
    </row>
    <row r="92" spans="2:5" ht="15.75" thickBot="1">
      <c r="B92" s="225" t="s">
        <v>750</v>
      </c>
      <c r="C92" s="226">
        <v>539189</v>
      </c>
      <c r="D92" s="225" t="s">
        <v>597</v>
      </c>
      <c r="E92" s="225" t="s">
        <v>683</v>
      </c>
    </row>
    <row r="93" spans="2:5" ht="15.75" thickBot="1">
      <c r="B93" s="225" t="s">
        <v>751</v>
      </c>
      <c r="C93" s="226">
        <v>780018</v>
      </c>
      <c r="D93" s="225" t="s">
        <v>597</v>
      </c>
      <c r="E93" s="225" t="s">
        <v>688</v>
      </c>
    </row>
    <row r="94" spans="2:5" ht="15.75" thickBot="1">
      <c r="B94" s="225" t="s">
        <v>752</v>
      </c>
      <c r="C94" s="226">
        <v>538365</v>
      </c>
      <c r="D94" s="225" t="s">
        <v>753</v>
      </c>
      <c r="E94" s="225" t="s">
        <v>629</v>
      </c>
    </row>
    <row r="95" spans="2:5" ht="15.75" thickBot="1">
      <c r="B95" s="225" t="s">
        <v>754</v>
      </c>
      <c r="C95" s="226">
        <v>532727</v>
      </c>
      <c r="D95" s="225" t="s">
        <v>755</v>
      </c>
      <c r="E95" s="225" t="s">
        <v>629</v>
      </c>
    </row>
    <row r="96" spans="2:5" ht="15.75" thickBot="1">
      <c r="B96" s="225" t="s">
        <v>756</v>
      </c>
      <c r="C96" s="226">
        <v>531592</v>
      </c>
      <c r="D96" s="225" t="s">
        <v>597</v>
      </c>
      <c r="E96" s="225" t="s">
        <v>757</v>
      </c>
    </row>
    <row r="97" spans="2:5" ht="15.75" thickBot="1">
      <c r="B97" s="225" t="s">
        <v>758</v>
      </c>
      <c r="C97" s="226">
        <v>532056</v>
      </c>
      <c r="D97" s="225" t="s">
        <v>597</v>
      </c>
      <c r="E97" s="225" t="s">
        <v>617</v>
      </c>
    </row>
    <row r="98" spans="2:5" ht="15.75" thickBot="1">
      <c r="B98" s="225" t="s">
        <v>759</v>
      </c>
      <c r="C98" s="226">
        <v>514113</v>
      </c>
      <c r="D98" s="225" t="s">
        <v>597</v>
      </c>
      <c r="E98" s="225" t="s">
        <v>612</v>
      </c>
    </row>
    <row r="99" spans="2:5" ht="15.75" thickBot="1">
      <c r="B99" s="225" t="s">
        <v>760</v>
      </c>
      <c r="C99" s="226">
        <v>534707</v>
      </c>
      <c r="D99" s="225" t="s">
        <v>597</v>
      </c>
      <c r="E99" s="225" t="s">
        <v>711</v>
      </c>
    </row>
    <row r="100" spans="2:5" ht="15.75" thickBot="1">
      <c r="B100" s="225" t="s">
        <v>761</v>
      </c>
      <c r="C100" s="226">
        <v>540691</v>
      </c>
      <c r="D100" s="225" t="s">
        <v>762</v>
      </c>
      <c r="E100" s="225" t="s">
        <v>763</v>
      </c>
    </row>
    <row r="101" spans="2:5" ht="15.75" thickBot="1">
      <c r="B101" s="225" t="s">
        <v>764</v>
      </c>
      <c r="C101" s="226">
        <v>535755</v>
      </c>
      <c r="D101" s="225" t="s">
        <v>765</v>
      </c>
      <c r="E101" s="225" t="s">
        <v>766</v>
      </c>
    </row>
    <row r="102" spans="2:5" ht="15.75" thickBot="1">
      <c r="B102" s="225" t="s">
        <v>767</v>
      </c>
      <c r="C102" s="226">
        <v>532974</v>
      </c>
      <c r="D102" s="225" t="s">
        <v>768</v>
      </c>
      <c r="E102" s="225" t="s">
        <v>580</v>
      </c>
    </row>
    <row r="103" spans="2:5" ht="15.75" thickBot="1">
      <c r="B103" s="225" t="s">
        <v>769</v>
      </c>
      <c r="C103" s="226">
        <v>540146</v>
      </c>
      <c r="D103" s="225" t="s">
        <v>597</v>
      </c>
      <c r="E103" s="225" t="s">
        <v>631</v>
      </c>
    </row>
    <row r="104" spans="2:5" ht="15.75" thickBot="1">
      <c r="B104" s="225" t="s">
        <v>770</v>
      </c>
      <c r="C104" s="226">
        <v>513513</v>
      </c>
      <c r="D104" s="225" t="s">
        <v>597</v>
      </c>
      <c r="E104" s="225" t="s">
        <v>629</v>
      </c>
    </row>
    <row r="105" spans="2:5" ht="15.75" thickBot="1">
      <c r="B105" s="225" t="s">
        <v>771</v>
      </c>
      <c r="C105" s="226">
        <v>521141</v>
      </c>
      <c r="D105" s="225" t="s">
        <v>597</v>
      </c>
      <c r="E105" s="225" t="s">
        <v>612</v>
      </c>
    </row>
    <row r="106" spans="2:5" ht="15.75" thickBot="1">
      <c r="B106" s="225" t="s">
        <v>772</v>
      </c>
      <c r="C106" s="226">
        <v>540205</v>
      </c>
      <c r="D106" s="225" t="s">
        <v>597</v>
      </c>
      <c r="E106" s="225" t="s">
        <v>619</v>
      </c>
    </row>
    <row r="107" spans="2:5" ht="15.75" thickBot="1">
      <c r="B107" s="225" t="s">
        <v>773</v>
      </c>
      <c r="C107" s="226">
        <v>539056</v>
      </c>
      <c r="D107" s="225" t="s">
        <v>774</v>
      </c>
      <c r="E107" s="225" t="s">
        <v>775</v>
      </c>
    </row>
    <row r="108" spans="2:5" ht="15.75" thickBot="1">
      <c r="B108" s="225" t="s">
        <v>776</v>
      </c>
      <c r="C108" s="226">
        <v>511359</v>
      </c>
      <c r="D108" s="225" t="s">
        <v>597</v>
      </c>
      <c r="E108" s="225" t="s">
        <v>614</v>
      </c>
    </row>
    <row r="109" spans="2:5" ht="15.75" thickBot="1">
      <c r="B109" s="225" t="s">
        <v>777</v>
      </c>
      <c r="C109" s="226">
        <v>530431</v>
      </c>
      <c r="D109" s="225" t="s">
        <v>597</v>
      </c>
      <c r="E109" s="225" t="s">
        <v>619</v>
      </c>
    </row>
    <row r="110" spans="2:5" ht="15.75" thickBot="1">
      <c r="B110" s="225" t="s">
        <v>778</v>
      </c>
      <c r="C110" s="226">
        <v>523120</v>
      </c>
      <c r="D110" s="225" t="s">
        <v>597</v>
      </c>
      <c r="E110" s="225" t="s">
        <v>779</v>
      </c>
    </row>
    <row r="111" spans="2:5" ht="15.75" thickBot="1">
      <c r="B111" s="225" t="s">
        <v>780</v>
      </c>
      <c r="C111" s="226">
        <v>517041</v>
      </c>
      <c r="D111" s="225" t="s">
        <v>781</v>
      </c>
      <c r="E111" s="225" t="s">
        <v>782</v>
      </c>
    </row>
    <row r="112" spans="2:5" ht="15.75" thickBot="1">
      <c r="B112" s="225" t="s">
        <v>783</v>
      </c>
      <c r="C112" s="226">
        <v>532172</v>
      </c>
      <c r="D112" s="225" t="s">
        <v>784</v>
      </c>
      <c r="E112" s="225" t="s">
        <v>583</v>
      </c>
    </row>
    <row r="113" spans="2:5" ht="15.75" thickBot="1">
      <c r="B113" s="225" t="s">
        <v>785</v>
      </c>
      <c r="C113" s="226">
        <v>523031</v>
      </c>
      <c r="D113" s="225" t="s">
        <v>597</v>
      </c>
      <c r="E113" s="225" t="s">
        <v>786</v>
      </c>
    </row>
    <row r="114" spans="2:5" ht="15.75" thickBot="1">
      <c r="B114" s="225" t="s">
        <v>787</v>
      </c>
      <c r="C114" s="226">
        <v>521048</v>
      </c>
      <c r="D114" s="225" t="s">
        <v>597</v>
      </c>
      <c r="E114" s="225" t="s">
        <v>612</v>
      </c>
    </row>
    <row r="115" spans="2:5" ht="15.75" thickBot="1">
      <c r="B115" s="225" t="s">
        <v>788</v>
      </c>
      <c r="C115" s="226">
        <v>534612</v>
      </c>
      <c r="D115" s="225" t="s">
        <v>597</v>
      </c>
      <c r="E115" s="225" t="s">
        <v>736</v>
      </c>
    </row>
    <row r="116" spans="2:5" ht="15.75" thickBot="1">
      <c r="B116" s="225" t="s">
        <v>789</v>
      </c>
      <c r="C116" s="226">
        <v>506947</v>
      </c>
      <c r="D116" s="225" t="s">
        <v>597</v>
      </c>
      <c r="E116" s="225" t="s">
        <v>645</v>
      </c>
    </row>
    <row r="117" spans="2:5" ht="15.75" thickBot="1">
      <c r="B117" s="225" t="s">
        <v>790</v>
      </c>
      <c r="C117" s="226">
        <v>531047</v>
      </c>
      <c r="D117" s="225" t="s">
        <v>597</v>
      </c>
      <c r="E117" s="225" t="s">
        <v>614</v>
      </c>
    </row>
    <row r="118" spans="2:5" ht="15.75" thickBot="1">
      <c r="B118" s="225" t="s">
        <v>791</v>
      </c>
      <c r="C118" s="226">
        <v>539982</v>
      </c>
      <c r="D118" s="225" t="s">
        <v>597</v>
      </c>
      <c r="E118" s="225" t="s">
        <v>792</v>
      </c>
    </row>
    <row r="119" spans="2:5" ht="15.75" thickBot="1">
      <c r="B119" s="225" t="s">
        <v>793</v>
      </c>
      <c r="C119" s="226">
        <v>540025</v>
      </c>
      <c r="D119" s="225" t="s">
        <v>794</v>
      </c>
      <c r="E119" s="225" t="s">
        <v>795</v>
      </c>
    </row>
    <row r="120" spans="2:5" ht="15.75" thickBot="1">
      <c r="B120" s="225" t="s">
        <v>796</v>
      </c>
      <c r="C120" s="226">
        <v>523269</v>
      </c>
      <c r="D120" s="225" t="s">
        <v>797</v>
      </c>
      <c r="E120" s="225" t="s">
        <v>798</v>
      </c>
    </row>
    <row r="121" spans="2:5" ht="15.75" thickBot="1">
      <c r="B121" s="225" t="s">
        <v>799</v>
      </c>
      <c r="C121" s="226">
        <v>523269</v>
      </c>
      <c r="D121" s="225" t="s">
        <v>797</v>
      </c>
      <c r="E121" s="225" t="s">
        <v>798</v>
      </c>
    </row>
    <row r="122" spans="2:5" ht="15.75" thickBot="1">
      <c r="B122" s="225" t="s">
        <v>800</v>
      </c>
      <c r="C122" s="226">
        <v>531429</v>
      </c>
      <c r="D122" s="225" t="s">
        <v>597</v>
      </c>
      <c r="E122" s="225" t="s">
        <v>690</v>
      </c>
    </row>
    <row r="123" spans="2:5" ht="15.75" thickBot="1">
      <c r="B123" s="225" t="s">
        <v>801</v>
      </c>
      <c r="C123" s="226">
        <v>539773</v>
      </c>
      <c r="D123" s="225" t="s">
        <v>597</v>
      </c>
      <c r="E123" s="225" t="s">
        <v>614</v>
      </c>
    </row>
    <row r="124" spans="2:5" ht="15.75" thickBot="1">
      <c r="B124" s="225" t="s">
        <v>802</v>
      </c>
      <c r="C124" s="226">
        <v>531686</v>
      </c>
      <c r="D124" s="225" t="s">
        <v>597</v>
      </c>
      <c r="E124" s="225" t="s">
        <v>635</v>
      </c>
    </row>
    <row r="125" spans="2:5" ht="15.75" thickBot="1">
      <c r="B125" s="225" t="s">
        <v>803</v>
      </c>
      <c r="C125" s="226">
        <v>541152</v>
      </c>
      <c r="D125" s="225" t="s">
        <v>597</v>
      </c>
      <c r="E125" s="225" t="s">
        <v>619</v>
      </c>
    </row>
    <row r="126" spans="2:5" ht="15.75" thickBot="1">
      <c r="B126" s="225" t="s">
        <v>804</v>
      </c>
      <c r="C126" s="226">
        <v>541152</v>
      </c>
      <c r="D126" s="225" t="s">
        <v>597</v>
      </c>
      <c r="E126" s="225" t="s">
        <v>619</v>
      </c>
    </row>
    <row r="127" spans="2:5" ht="15.75" thickBot="1">
      <c r="B127" s="225" t="s">
        <v>805</v>
      </c>
      <c r="C127" s="226">
        <v>500003</v>
      </c>
      <c r="D127" s="225" t="s">
        <v>806</v>
      </c>
      <c r="E127" s="225" t="s">
        <v>807</v>
      </c>
    </row>
    <row r="128" spans="2:5" ht="15.75" thickBot="1">
      <c r="B128" s="225" t="s">
        <v>808</v>
      </c>
      <c r="C128" s="226">
        <v>541402</v>
      </c>
      <c r="D128" s="225" t="s">
        <v>597</v>
      </c>
      <c r="E128" s="225" t="s">
        <v>605</v>
      </c>
    </row>
    <row r="129" spans="2:5" ht="15.75" thickBot="1">
      <c r="B129" s="225" t="s">
        <v>809</v>
      </c>
      <c r="C129" s="226">
        <v>531921</v>
      </c>
      <c r="D129" s="225" t="s">
        <v>810</v>
      </c>
      <c r="E129" s="225" t="s">
        <v>811</v>
      </c>
    </row>
    <row r="130" spans="2:5" ht="15.75" thickBot="1">
      <c r="B130" s="225" t="s">
        <v>812</v>
      </c>
      <c r="C130" s="226">
        <v>500463</v>
      </c>
      <c r="D130" s="225" t="s">
        <v>813</v>
      </c>
      <c r="E130" s="225" t="s">
        <v>583</v>
      </c>
    </row>
    <row r="131" spans="2:5" ht="15.75" thickBot="1">
      <c r="B131" s="225" t="s">
        <v>814</v>
      </c>
      <c r="C131" s="226">
        <v>539042</v>
      </c>
      <c r="D131" s="225" t="s">
        <v>597</v>
      </c>
      <c r="E131" s="225" t="s">
        <v>683</v>
      </c>
    </row>
    <row r="132" spans="2:5" ht="15.75" thickBot="1">
      <c r="B132" s="225" t="s">
        <v>815</v>
      </c>
      <c r="C132" s="226">
        <v>516020</v>
      </c>
      <c r="D132" s="225" t="s">
        <v>597</v>
      </c>
      <c r="E132" s="225" t="s">
        <v>591</v>
      </c>
    </row>
    <row r="133" spans="2:5" ht="15.75" thickBot="1">
      <c r="B133" s="225" t="s">
        <v>816</v>
      </c>
      <c r="C133" s="226">
        <v>537492</v>
      </c>
      <c r="D133" s="225" t="s">
        <v>597</v>
      </c>
      <c r="E133" s="225" t="s">
        <v>619</v>
      </c>
    </row>
    <row r="134" spans="2:5" ht="15.75" thickBot="1">
      <c r="B134" s="225" t="s">
        <v>817</v>
      </c>
      <c r="C134" s="226">
        <v>537292</v>
      </c>
      <c r="D134" s="225" t="s">
        <v>818</v>
      </c>
      <c r="E134" s="225" t="s">
        <v>795</v>
      </c>
    </row>
    <row r="135" spans="2:5" ht="15.75" thickBot="1">
      <c r="B135" s="225" t="s">
        <v>819</v>
      </c>
      <c r="C135" s="226">
        <v>537292</v>
      </c>
      <c r="D135" s="225" t="s">
        <v>818</v>
      </c>
      <c r="E135" s="225" t="s">
        <v>795</v>
      </c>
    </row>
    <row r="136" spans="2:5" ht="15.75" thickBot="1">
      <c r="B136" s="225" t="s">
        <v>820</v>
      </c>
      <c r="C136" s="225" t="s">
        <v>597</v>
      </c>
      <c r="D136" s="225" t="s">
        <v>821</v>
      </c>
      <c r="E136" s="225" t="s">
        <v>608</v>
      </c>
    </row>
    <row r="137" spans="2:5" ht="15.75" thickBot="1">
      <c r="B137" s="225" t="s">
        <v>822</v>
      </c>
      <c r="C137" s="225" t="s">
        <v>597</v>
      </c>
      <c r="D137" s="225" t="s">
        <v>821</v>
      </c>
      <c r="E137" s="225" t="s">
        <v>608</v>
      </c>
    </row>
    <row r="138" spans="2:5" ht="15.75" thickBot="1">
      <c r="B138" s="225" t="s">
        <v>823</v>
      </c>
      <c r="C138" s="226">
        <v>500215</v>
      </c>
      <c r="D138" s="225" t="s">
        <v>824</v>
      </c>
      <c r="E138" s="225" t="s">
        <v>795</v>
      </c>
    </row>
    <row r="139" spans="2:5" ht="15.75" thickBot="1">
      <c r="B139" s="225" t="s">
        <v>825</v>
      </c>
      <c r="C139" s="225" t="s">
        <v>597</v>
      </c>
      <c r="D139" s="225" t="s">
        <v>826</v>
      </c>
      <c r="E139" s="225" t="s">
        <v>608</v>
      </c>
    </row>
    <row r="140" spans="2:5" ht="15.75" thickBot="1">
      <c r="B140" s="225" t="s">
        <v>827</v>
      </c>
      <c r="C140" s="225" t="s">
        <v>597</v>
      </c>
      <c r="D140" s="225" t="s">
        <v>828</v>
      </c>
      <c r="E140" s="225" t="s">
        <v>608</v>
      </c>
    </row>
    <row r="141" spans="2:5" ht="15.75" thickBot="1">
      <c r="B141" s="225" t="s">
        <v>829</v>
      </c>
      <c r="C141" s="226">
        <v>532811</v>
      </c>
      <c r="D141" s="225" t="s">
        <v>830</v>
      </c>
      <c r="E141" s="225" t="s">
        <v>683</v>
      </c>
    </row>
    <row r="142" spans="2:5" ht="15.75" thickBot="1">
      <c r="B142" s="225" t="s">
        <v>831</v>
      </c>
      <c r="C142" s="226">
        <v>532811</v>
      </c>
      <c r="D142" s="225" t="s">
        <v>830</v>
      </c>
      <c r="E142" s="225" t="s">
        <v>683</v>
      </c>
    </row>
    <row r="143" spans="2:5" ht="15.75" thickBot="1">
      <c r="B143" s="225" t="s">
        <v>832</v>
      </c>
      <c r="C143" s="226">
        <v>522273</v>
      </c>
      <c r="D143" s="225" t="s">
        <v>597</v>
      </c>
      <c r="E143" s="225" t="s">
        <v>629</v>
      </c>
    </row>
    <row r="144" spans="2:5" ht="15.75" thickBot="1">
      <c r="B144" s="225" t="s">
        <v>833</v>
      </c>
      <c r="C144" s="226">
        <v>532806</v>
      </c>
      <c r="D144" s="225" t="s">
        <v>597</v>
      </c>
      <c r="E144" s="225" t="s">
        <v>834</v>
      </c>
    </row>
    <row r="145" spans="2:5" ht="15.75" thickBot="1">
      <c r="B145" s="225" t="s">
        <v>835</v>
      </c>
      <c r="C145" s="226">
        <v>532683</v>
      </c>
      <c r="D145" s="225" t="s">
        <v>836</v>
      </c>
      <c r="E145" s="225" t="s">
        <v>782</v>
      </c>
    </row>
    <row r="146" spans="2:5" ht="15.75" thickBot="1">
      <c r="B146" s="225" t="s">
        <v>837</v>
      </c>
      <c r="C146" s="226">
        <v>524288</v>
      </c>
      <c r="D146" s="225" t="s">
        <v>597</v>
      </c>
      <c r="E146" s="225" t="s">
        <v>741</v>
      </c>
    </row>
    <row r="147" spans="2:5" ht="15.75" thickBot="1">
      <c r="B147" s="225" t="s">
        <v>838</v>
      </c>
      <c r="C147" s="225" t="s">
        <v>597</v>
      </c>
      <c r="D147" s="225" t="s">
        <v>839</v>
      </c>
      <c r="E147" s="225" t="s">
        <v>608</v>
      </c>
    </row>
    <row r="148" spans="2:5" ht="15.75" thickBot="1">
      <c r="B148" s="225" t="s">
        <v>840</v>
      </c>
      <c r="C148" s="225" t="s">
        <v>597</v>
      </c>
      <c r="D148" s="225" t="s">
        <v>841</v>
      </c>
      <c r="E148" s="225" t="s">
        <v>608</v>
      </c>
    </row>
    <row r="149" spans="2:5" ht="15.75" thickBot="1">
      <c r="B149" s="225" t="s">
        <v>842</v>
      </c>
      <c r="C149" s="226">
        <v>532975</v>
      </c>
      <c r="D149" s="225" t="s">
        <v>597</v>
      </c>
      <c r="E149" s="225" t="s">
        <v>743</v>
      </c>
    </row>
    <row r="150" spans="2:5" ht="15.75" thickBot="1">
      <c r="B150" s="225" t="s">
        <v>843</v>
      </c>
      <c r="C150" s="226">
        <v>532331</v>
      </c>
      <c r="D150" s="225" t="s">
        <v>844</v>
      </c>
      <c r="E150" s="225" t="s">
        <v>635</v>
      </c>
    </row>
    <row r="151" spans="2:5" ht="15.75" thickBot="1">
      <c r="B151" s="225" t="s">
        <v>845</v>
      </c>
      <c r="C151" s="226">
        <v>519216</v>
      </c>
      <c r="D151" s="225" t="s">
        <v>597</v>
      </c>
      <c r="E151" s="225" t="s">
        <v>846</v>
      </c>
    </row>
    <row r="152" spans="2:5" ht="15.75" thickBot="1">
      <c r="B152" s="225" t="s">
        <v>847</v>
      </c>
      <c r="C152" s="226">
        <v>511692</v>
      </c>
      <c r="D152" s="225" t="s">
        <v>597</v>
      </c>
      <c r="E152" s="225" t="s">
        <v>580</v>
      </c>
    </row>
    <row r="153" spans="2:5" ht="15.75" thickBot="1">
      <c r="B153" s="225" t="s">
        <v>848</v>
      </c>
      <c r="C153" s="226">
        <v>530713</v>
      </c>
      <c r="D153" s="225" t="s">
        <v>597</v>
      </c>
      <c r="E153" s="225" t="s">
        <v>583</v>
      </c>
    </row>
    <row r="154" spans="2:5" ht="15.75" thickBot="1">
      <c r="B154" s="225" t="s">
        <v>849</v>
      </c>
      <c r="C154" s="226">
        <v>513349</v>
      </c>
      <c r="D154" s="225" t="s">
        <v>850</v>
      </c>
      <c r="E154" s="225" t="s">
        <v>683</v>
      </c>
    </row>
    <row r="155" spans="2:5" ht="15.75" thickBot="1">
      <c r="B155" s="225" t="s">
        <v>851</v>
      </c>
      <c r="C155" s="226">
        <v>513349</v>
      </c>
      <c r="D155" s="225" t="s">
        <v>850</v>
      </c>
      <c r="E155" s="225" t="s">
        <v>683</v>
      </c>
    </row>
    <row r="156" spans="2:5" ht="15.75" thickBot="1">
      <c r="B156" s="225" t="s">
        <v>852</v>
      </c>
      <c r="C156" s="225" t="s">
        <v>597</v>
      </c>
      <c r="D156" s="225" t="s">
        <v>853</v>
      </c>
      <c r="E156" s="225" t="s">
        <v>608</v>
      </c>
    </row>
    <row r="157" spans="2:5" ht="15.75" thickBot="1">
      <c r="B157" s="225" t="s">
        <v>854</v>
      </c>
      <c r="C157" s="226">
        <v>526628</v>
      </c>
      <c r="D157" s="225" t="s">
        <v>597</v>
      </c>
      <c r="E157" s="225" t="s">
        <v>775</v>
      </c>
    </row>
    <row r="158" spans="2:5" ht="15.75" thickBot="1">
      <c r="B158" s="225" t="s">
        <v>855</v>
      </c>
      <c r="C158" s="226">
        <v>530621</v>
      </c>
      <c r="D158" s="225" t="s">
        <v>597</v>
      </c>
      <c r="E158" s="225" t="s">
        <v>605</v>
      </c>
    </row>
    <row r="159" spans="2:5" ht="15.75" thickBot="1">
      <c r="B159" s="225" t="s">
        <v>856</v>
      </c>
      <c r="C159" s="225" t="s">
        <v>597</v>
      </c>
      <c r="D159" s="225" t="s">
        <v>857</v>
      </c>
      <c r="E159" s="225" t="s">
        <v>608</v>
      </c>
    </row>
    <row r="160" spans="2:5" ht="15.75" thickBot="1">
      <c r="B160" s="225" t="s">
        <v>858</v>
      </c>
      <c r="C160" s="226">
        <v>538778</v>
      </c>
      <c r="D160" s="225" t="s">
        <v>597</v>
      </c>
      <c r="E160" s="225" t="s">
        <v>614</v>
      </c>
    </row>
    <row r="161" spans="2:5" ht="15.75" thickBot="1">
      <c r="B161" s="225" t="s">
        <v>859</v>
      </c>
      <c r="C161" s="225" t="s">
        <v>597</v>
      </c>
      <c r="D161" s="225" t="s">
        <v>860</v>
      </c>
      <c r="E161" s="225" t="s">
        <v>608</v>
      </c>
    </row>
    <row r="162" spans="2:5" ht="15.75" thickBot="1">
      <c r="B162" s="225" t="s">
        <v>861</v>
      </c>
      <c r="C162" s="226">
        <v>542020</v>
      </c>
      <c r="D162" s="225" t="s">
        <v>597</v>
      </c>
      <c r="E162" s="225" t="s">
        <v>711</v>
      </c>
    </row>
    <row r="163" spans="2:5" ht="15.75" thickBot="1">
      <c r="B163" s="225" t="s">
        <v>862</v>
      </c>
      <c r="C163" s="226">
        <v>542020</v>
      </c>
      <c r="D163" s="225" t="s">
        <v>597</v>
      </c>
      <c r="E163" s="225" t="s">
        <v>711</v>
      </c>
    </row>
    <row r="164" spans="2:5" ht="15.75" thickBot="1">
      <c r="B164" s="225" t="s">
        <v>863</v>
      </c>
      <c r="C164" s="226">
        <v>540718</v>
      </c>
      <c r="D164" s="225" t="s">
        <v>597</v>
      </c>
      <c r="E164" s="225" t="s">
        <v>612</v>
      </c>
    </row>
    <row r="165" spans="2:5" ht="15.75" thickBot="1">
      <c r="B165" s="225" t="s">
        <v>864</v>
      </c>
      <c r="C165" s="226">
        <v>539017</v>
      </c>
      <c r="D165" s="225" t="s">
        <v>597</v>
      </c>
      <c r="E165" s="225" t="s">
        <v>655</v>
      </c>
    </row>
    <row r="166" spans="2:5" ht="15.75" thickBot="1">
      <c r="B166" s="225" t="s">
        <v>865</v>
      </c>
      <c r="C166" s="226">
        <v>532351</v>
      </c>
      <c r="D166" s="225" t="s">
        <v>866</v>
      </c>
      <c r="E166" s="225" t="s">
        <v>867</v>
      </c>
    </row>
    <row r="167" spans="2:5" ht="15.75" thickBot="1">
      <c r="B167" s="225" t="s">
        <v>868</v>
      </c>
      <c r="C167" s="226">
        <v>541303</v>
      </c>
      <c r="D167" s="225" t="s">
        <v>597</v>
      </c>
      <c r="E167" s="225" t="s">
        <v>612</v>
      </c>
    </row>
    <row r="168" spans="2:5" ht="15.75" thickBot="1">
      <c r="B168" s="225" t="s">
        <v>869</v>
      </c>
      <c r="C168" s="226">
        <v>524598</v>
      </c>
      <c r="D168" s="225" t="s">
        <v>870</v>
      </c>
      <c r="E168" s="225" t="s">
        <v>757</v>
      </c>
    </row>
    <row r="169" spans="2:5" ht="15.75" thickBot="1">
      <c r="B169" s="225" t="s">
        <v>871</v>
      </c>
      <c r="C169" s="226">
        <v>524598</v>
      </c>
      <c r="D169" s="225" t="s">
        <v>870</v>
      </c>
      <c r="E169" s="225" t="s">
        <v>757</v>
      </c>
    </row>
    <row r="170" spans="2:5" ht="15.75" thickBot="1">
      <c r="B170" s="225" t="s">
        <v>872</v>
      </c>
      <c r="C170" s="226">
        <v>500710</v>
      </c>
      <c r="D170" s="225" t="s">
        <v>873</v>
      </c>
      <c r="E170" s="225" t="s">
        <v>874</v>
      </c>
    </row>
    <row r="171" spans="2:5" ht="15.75" thickBot="1">
      <c r="B171" s="225" t="s">
        <v>875</v>
      </c>
      <c r="C171" s="226">
        <v>500710</v>
      </c>
      <c r="D171" s="225" t="s">
        <v>876</v>
      </c>
      <c r="E171" s="225" t="s">
        <v>874</v>
      </c>
    </row>
    <row r="172" spans="2:5" ht="15.75" thickBot="1">
      <c r="B172" s="225" t="s">
        <v>877</v>
      </c>
      <c r="C172" s="226">
        <v>535916</v>
      </c>
      <c r="D172" s="225" t="s">
        <v>597</v>
      </c>
      <c r="E172" s="225" t="s">
        <v>580</v>
      </c>
    </row>
    <row r="173" spans="2:5" ht="15.75" thickBot="1">
      <c r="B173" s="225" t="s">
        <v>878</v>
      </c>
      <c r="C173" s="226">
        <v>539115</v>
      </c>
      <c r="D173" s="225" t="s">
        <v>597</v>
      </c>
      <c r="E173" s="225" t="s">
        <v>600</v>
      </c>
    </row>
    <row r="174" spans="2:5" ht="15.75" thickBot="1">
      <c r="B174" s="225" t="s">
        <v>879</v>
      </c>
      <c r="C174" s="226">
        <v>531082</v>
      </c>
      <c r="D174" s="225" t="s">
        <v>880</v>
      </c>
      <c r="E174" s="225" t="s">
        <v>580</v>
      </c>
    </row>
    <row r="175" spans="2:5" ht="15.75" thickBot="1">
      <c r="B175" s="225" t="s">
        <v>881</v>
      </c>
      <c r="C175" s="226">
        <v>524075</v>
      </c>
      <c r="D175" s="225" t="s">
        <v>882</v>
      </c>
      <c r="E175" s="225" t="s">
        <v>635</v>
      </c>
    </row>
    <row r="176" spans="2:5" ht="15.75" thickBot="1">
      <c r="B176" s="225" t="s">
        <v>883</v>
      </c>
      <c r="C176" s="226">
        <v>531409</v>
      </c>
      <c r="D176" s="225" t="s">
        <v>597</v>
      </c>
      <c r="E176" s="225" t="s">
        <v>645</v>
      </c>
    </row>
    <row r="177" spans="2:5" ht="15.75" thickBot="1">
      <c r="B177" s="225" t="s">
        <v>884</v>
      </c>
      <c r="C177" s="226">
        <v>526707</v>
      </c>
      <c r="D177" s="225" t="s">
        <v>885</v>
      </c>
      <c r="E177" s="225" t="s">
        <v>619</v>
      </c>
    </row>
    <row r="178" spans="2:5" ht="15.75" thickBot="1">
      <c r="B178" s="225" t="s">
        <v>886</v>
      </c>
      <c r="C178" s="226">
        <v>532114</v>
      </c>
      <c r="D178" s="225" t="s">
        <v>597</v>
      </c>
      <c r="E178" s="225" t="s">
        <v>683</v>
      </c>
    </row>
    <row r="179" spans="2:5" ht="15.75" thickBot="1">
      <c r="B179" s="225" t="s">
        <v>887</v>
      </c>
      <c r="C179" s="226">
        <v>506235</v>
      </c>
      <c r="D179" s="225" t="s">
        <v>888</v>
      </c>
      <c r="E179" s="225" t="s">
        <v>635</v>
      </c>
    </row>
    <row r="180" spans="2:5" ht="15.75" thickBot="1">
      <c r="B180" s="225" t="s">
        <v>889</v>
      </c>
      <c r="C180" s="226">
        <v>533573</v>
      </c>
      <c r="D180" s="225" t="s">
        <v>890</v>
      </c>
      <c r="E180" s="225" t="s">
        <v>635</v>
      </c>
    </row>
    <row r="181" spans="2:5" ht="15.75" thickBot="1">
      <c r="B181" s="225" t="s">
        <v>891</v>
      </c>
      <c r="C181" s="226">
        <v>511463</v>
      </c>
      <c r="D181" s="225" t="s">
        <v>597</v>
      </c>
      <c r="E181" s="225" t="s">
        <v>586</v>
      </c>
    </row>
    <row r="182" spans="2:5" ht="15.75" thickBot="1">
      <c r="B182" s="225" t="s">
        <v>892</v>
      </c>
      <c r="C182" s="226">
        <v>530973</v>
      </c>
      <c r="D182" s="225" t="s">
        <v>597</v>
      </c>
      <c r="E182" s="225" t="s">
        <v>717</v>
      </c>
    </row>
    <row r="183" spans="2:5" ht="15.75" thickBot="1">
      <c r="B183" s="225" t="s">
        <v>893</v>
      </c>
      <c r="C183" s="226">
        <v>530973</v>
      </c>
      <c r="D183" s="225" t="s">
        <v>597</v>
      </c>
      <c r="E183" s="225" t="s">
        <v>717</v>
      </c>
    </row>
    <row r="184" spans="2:5" ht="15.75" thickBot="1">
      <c r="B184" s="225" t="s">
        <v>894</v>
      </c>
      <c r="C184" s="226">
        <v>517546</v>
      </c>
      <c r="D184" s="225" t="s">
        <v>597</v>
      </c>
      <c r="E184" s="225" t="s">
        <v>895</v>
      </c>
    </row>
    <row r="185" spans="2:5" ht="15.75" thickBot="1">
      <c r="B185" s="225" t="s">
        <v>896</v>
      </c>
      <c r="C185" s="226">
        <v>531156</v>
      </c>
      <c r="D185" s="225" t="s">
        <v>597</v>
      </c>
      <c r="E185" s="225" t="s">
        <v>614</v>
      </c>
    </row>
    <row r="186" spans="2:5" ht="15.75" thickBot="1">
      <c r="B186" s="225" t="s">
        <v>897</v>
      </c>
      <c r="C186" s="226">
        <v>531156</v>
      </c>
      <c r="D186" s="225" t="s">
        <v>597</v>
      </c>
      <c r="E186" s="225" t="s">
        <v>614</v>
      </c>
    </row>
    <row r="187" spans="2:5" ht="15.75" thickBot="1">
      <c r="B187" s="225" t="s">
        <v>898</v>
      </c>
      <c r="C187" s="226">
        <v>505216</v>
      </c>
      <c r="D187" s="225" t="s">
        <v>597</v>
      </c>
      <c r="E187" s="225" t="s">
        <v>614</v>
      </c>
    </row>
    <row r="188" spans="2:5" ht="15.75" thickBot="1">
      <c r="B188" s="225" t="s">
        <v>899</v>
      </c>
      <c r="C188" s="226">
        <v>505216</v>
      </c>
      <c r="D188" s="225" t="s">
        <v>597</v>
      </c>
      <c r="E188" s="225" t="s">
        <v>614</v>
      </c>
    </row>
    <row r="189" spans="2:5" ht="15.75" thickBot="1">
      <c r="B189" s="225" t="s">
        <v>900</v>
      </c>
      <c r="C189" s="226">
        <v>531147</v>
      </c>
      <c r="D189" s="225" t="s">
        <v>901</v>
      </c>
      <c r="E189" s="225" t="s">
        <v>902</v>
      </c>
    </row>
    <row r="190" spans="2:5" ht="15.75" thickBot="1">
      <c r="B190" s="225" t="s">
        <v>903</v>
      </c>
      <c r="C190" s="226">
        <v>530889</v>
      </c>
      <c r="D190" s="225" t="s">
        <v>597</v>
      </c>
      <c r="E190" s="225" t="s">
        <v>612</v>
      </c>
    </row>
    <row r="191" spans="2:5" ht="15.75" thickBot="1">
      <c r="B191" s="225" t="s">
        <v>904</v>
      </c>
      <c r="C191" s="226">
        <v>531581</v>
      </c>
      <c r="D191" s="225" t="s">
        <v>597</v>
      </c>
      <c r="E191" s="225" t="s">
        <v>711</v>
      </c>
    </row>
    <row r="192" spans="2:5" ht="15.75" thickBot="1">
      <c r="B192" s="225" t="s">
        <v>905</v>
      </c>
      <c r="C192" s="226">
        <v>530889</v>
      </c>
      <c r="D192" s="225" t="s">
        <v>597</v>
      </c>
      <c r="E192" s="225" t="s">
        <v>612</v>
      </c>
    </row>
    <row r="193" spans="2:5" ht="15.75" thickBot="1">
      <c r="B193" s="225" t="s">
        <v>906</v>
      </c>
      <c r="C193" s="226">
        <v>532166</v>
      </c>
      <c r="D193" s="225" t="s">
        <v>597</v>
      </c>
      <c r="E193" s="225" t="s">
        <v>614</v>
      </c>
    </row>
    <row r="194" spans="2:5" ht="15.75" thickBot="1">
      <c r="B194" s="225" t="s">
        <v>907</v>
      </c>
      <c r="C194" s="226">
        <v>533029</v>
      </c>
      <c r="D194" s="225" t="s">
        <v>908</v>
      </c>
      <c r="E194" s="225" t="s">
        <v>757</v>
      </c>
    </row>
    <row r="195" spans="2:5" ht="15.75" thickBot="1">
      <c r="B195" s="225" t="s">
        <v>909</v>
      </c>
      <c r="C195" s="226">
        <v>539523</v>
      </c>
      <c r="D195" s="225" t="s">
        <v>910</v>
      </c>
      <c r="E195" s="225" t="s">
        <v>635</v>
      </c>
    </row>
    <row r="196" spans="2:5" ht="15.75" thickBot="1">
      <c r="B196" s="225" t="s">
        <v>911</v>
      </c>
      <c r="C196" s="226">
        <v>506767</v>
      </c>
      <c r="D196" s="225" t="s">
        <v>912</v>
      </c>
      <c r="E196" s="225" t="s">
        <v>757</v>
      </c>
    </row>
    <row r="197" spans="2:5" ht="15.75" thickBot="1">
      <c r="B197" s="225" t="s">
        <v>913</v>
      </c>
      <c r="C197" s="226">
        <v>532480</v>
      </c>
      <c r="D197" s="225" t="s">
        <v>914</v>
      </c>
      <c r="E197" s="225" t="s">
        <v>915</v>
      </c>
    </row>
    <row r="198" spans="2:5" ht="15.75" thickBot="1">
      <c r="B198" s="225" t="s">
        <v>916</v>
      </c>
      <c r="C198" s="226">
        <v>532749</v>
      </c>
      <c r="D198" s="225" t="s">
        <v>917</v>
      </c>
      <c r="E198" s="225" t="s">
        <v>918</v>
      </c>
    </row>
    <row r="199" spans="2:5" ht="15.75" thickBot="1">
      <c r="B199" s="225" t="s">
        <v>919</v>
      </c>
      <c r="C199" s="226">
        <v>534064</v>
      </c>
      <c r="D199" s="225" t="s">
        <v>597</v>
      </c>
      <c r="E199" s="225" t="s">
        <v>920</v>
      </c>
    </row>
    <row r="200" spans="2:5" ht="15.75" thickBot="1">
      <c r="B200" s="225" t="s">
        <v>921</v>
      </c>
      <c r="C200" s="226">
        <v>532919</v>
      </c>
      <c r="D200" s="225" t="s">
        <v>597</v>
      </c>
      <c r="E200" s="225" t="s">
        <v>922</v>
      </c>
    </row>
    <row r="201" spans="2:5" ht="15.75" thickBot="1">
      <c r="B201" s="225" t="s">
        <v>923</v>
      </c>
      <c r="C201" s="226">
        <v>532875</v>
      </c>
      <c r="D201" s="225" t="s">
        <v>924</v>
      </c>
      <c r="E201" s="225" t="s">
        <v>583</v>
      </c>
    </row>
    <row r="202" spans="2:5" ht="15.75" thickBot="1">
      <c r="B202" s="225" t="s">
        <v>925</v>
      </c>
      <c r="C202" s="226">
        <v>532633</v>
      </c>
      <c r="D202" s="225" t="s">
        <v>926</v>
      </c>
      <c r="E202" s="225" t="s">
        <v>927</v>
      </c>
    </row>
    <row r="203" spans="2:5" ht="15.75" thickBot="1">
      <c r="B203" s="225" t="s">
        <v>928</v>
      </c>
      <c r="C203" s="226">
        <v>531400</v>
      </c>
      <c r="D203" s="225" t="s">
        <v>929</v>
      </c>
      <c r="E203" s="225" t="s">
        <v>580</v>
      </c>
    </row>
    <row r="204" spans="2:5" ht="15.75" thickBot="1">
      <c r="B204" s="225" t="s">
        <v>930</v>
      </c>
      <c r="C204" s="226">
        <v>506120</v>
      </c>
      <c r="D204" s="225" t="s">
        <v>597</v>
      </c>
      <c r="E204" s="225" t="s">
        <v>619</v>
      </c>
    </row>
    <row r="205" spans="2:5" ht="15.75" thickBot="1">
      <c r="B205" s="225" t="s">
        <v>931</v>
      </c>
      <c r="C205" s="226">
        <v>521070</v>
      </c>
      <c r="D205" s="225" t="s">
        <v>932</v>
      </c>
      <c r="E205" s="225" t="s">
        <v>612</v>
      </c>
    </row>
    <row r="206" spans="2:5" ht="15.75" thickBot="1">
      <c r="B206" s="225" t="s">
        <v>933</v>
      </c>
      <c r="C206" s="226">
        <v>532878</v>
      </c>
      <c r="D206" s="225" t="s">
        <v>934</v>
      </c>
      <c r="E206" s="225" t="s">
        <v>935</v>
      </c>
    </row>
    <row r="207" spans="2:5" ht="15.75" thickBot="1">
      <c r="B207" s="225" t="s">
        <v>936</v>
      </c>
      <c r="C207" s="226">
        <v>526397</v>
      </c>
      <c r="D207" s="225" t="s">
        <v>937</v>
      </c>
      <c r="E207" s="225" t="s">
        <v>938</v>
      </c>
    </row>
    <row r="208" spans="2:5" ht="15.75" thickBot="1">
      <c r="B208" s="225" t="s">
        <v>939</v>
      </c>
      <c r="C208" s="226">
        <v>526397</v>
      </c>
      <c r="D208" s="225" t="s">
        <v>937</v>
      </c>
      <c r="E208" s="225" t="s">
        <v>938</v>
      </c>
    </row>
    <row r="209" spans="2:5" ht="15.75" thickBot="1">
      <c r="B209" s="225" t="s">
        <v>940</v>
      </c>
      <c r="C209" s="226">
        <v>526519</v>
      </c>
      <c r="D209" s="225" t="s">
        <v>597</v>
      </c>
      <c r="E209" s="225" t="s">
        <v>683</v>
      </c>
    </row>
    <row r="210" spans="2:5" ht="15.75" thickBot="1">
      <c r="B210" s="225" t="s">
        <v>941</v>
      </c>
      <c r="C210" s="226">
        <v>530715</v>
      </c>
      <c r="D210" s="225" t="s">
        <v>942</v>
      </c>
      <c r="E210" s="225" t="s">
        <v>612</v>
      </c>
    </row>
    <row r="211" spans="2:5" ht="15.75" thickBot="1">
      <c r="B211" s="225" t="s">
        <v>943</v>
      </c>
      <c r="C211" s="226">
        <v>538423</v>
      </c>
      <c r="D211" s="225" t="s">
        <v>944</v>
      </c>
      <c r="E211" s="225" t="s">
        <v>580</v>
      </c>
    </row>
    <row r="212" spans="2:5" ht="15.75" thickBot="1">
      <c r="B212" s="225" t="s">
        <v>945</v>
      </c>
      <c r="C212" s="226">
        <v>539277</v>
      </c>
      <c r="D212" s="225" t="s">
        <v>597</v>
      </c>
      <c r="E212" s="225" t="s">
        <v>631</v>
      </c>
    </row>
    <row r="213" spans="2:5" ht="15.75" thickBot="1">
      <c r="B213" s="225" t="s">
        <v>946</v>
      </c>
      <c r="C213" s="226">
        <v>539277</v>
      </c>
      <c r="D213" s="225" t="s">
        <v>597</v>
      </c>
      <c r="E213" s="225" t="s">
        <v>631</v>
      </c>
    </row>
    <row r="214" spans="2:5" ht="15.75" thickBot="1">
      <c r="B214" s="225" t="s">
        <v>947</v>
      </c>
      <c r="C214" s="226">
        <v>524634</v>
      </c>
      <c r="D214" s="225" t="s">
        <v>597</v>
      </c>
      <c r="E214" s="225" t="s">
        <v>645</v>
      </c>
    </row>
    <row r="215" spans="2:5" ht="15.75" thickBot="1">
      <c r="B215" s="225" t="s">
        <v>948</v>
      </c>
      <c r="C215" s="226">
        <v>506597</v>
      </c>
      <c r="D215" s="225" t="s">
        <v>597</v>
      </c>
      <c r="E215" s="225" t="s">
        <v>757</v>
      </c>
    </row>
    <row r="216" spans="2:5" ht="15.75" thickBot="1">
      <c r="B216" s="225" t="s">
        <v>949</v>
      </c>
      <c r="C216" s="226">
        <v>512008</v>
      </c>
      <c r="D216" s="225" t="s">
        <v>597</v>
      </c>
      <c r="E216" s="225" t="s">
        <v>619</v>
      </c>
    </row>
    <row r="217" spans="2:5" ht="15.75" thickBot="1">
      <c r="B217" s="225" t="s">
        <v>950</v>
      </c>
      <c r="C217" s="226">
        <v>500008</v>
      </c>
      <c r="D217" s="225" t="s">
        <v>951</v>
      </c>
      <c r="E217" s="225" t="s">
        <v>952</v>
      </c>
    </row>
    <row r="218" spans="2:5" ht="15.75" thickBot="1">
      <c r="B218" s="225" t="s">
        <v>953</v>
      </c>
      <c r="C218" s="226">
        <v>521097</v>
      </c>
      <c r="D218" s="225" t="s">
        <v>597</v>
      </c>
      <c r="E218" s="225" t="s">
        <v>612</v>
      </c>
    </row>
    <row r="219" spans="2:5" ht="15.75" thickBot="1">
      <c r="B219" s="225" t="s">
        <v>954</v>
      </c>
      <c r="C219" s="226">
        <v>538465</v>
      </c>
      <c r="D219" s="225" t="s">
        <v>597</v>
      </c>
      <c r="E219" s="225" t="s">
        <v>614</v>
      </c>
    </row>
    <row r="220" spans="2:5" ht="15.75" thickBot="1">
      <c r="B220" s="225" t="s">
        <v>955</v>
      </c>
      <c r="C220" s="226">
        <v>531112</v>
      </c>
      <c r="D220" s="225" t="s">
        <v>597</v>
      </c>
      <c r="E220" s="225" t="s">
        <v>605</v>
      </c>
    </row>
    <row r="221" spans="2:5" ht="15.75" thickBot="1">
      <c r="B221" s="225" t="s">
        <v>956</v>
      </c>
      <c r="C221" s="226">
        <v>539196</v>
      </c>
      <c r="D221" s="225" t="s">
        <v>597</v>
      </c>
      <c r="E221" s="225" t="s">
        <v>895</v>
      </c>
    </row>
    <row r="222" spans="2:5" ht="15.75" thickBot="1">
      <c r="B222" s="225" t="s">
        <v>957</v>
      </c>
      <c r="C222" s="226">
        <v>500009</v>
      </c>
      <c r="D222" s="225" t="s">
        <v>597</v>
      </c>
      <c r="E222" s="225" t="s">
        <v>635</v>
      </c>
    </row>
    <row r="223" spans="2:5" ht="15.75" thickBot="1">
      <c r="B223" s="225" t="s">
        <v>958</v>
      </c>
      <c r="C223" s="225" t="s">
        <v>597</v>
      </c>
      <c r="D223" s="225" t="s">
        <v>959</v>
      </c>
      <c r="E223" s="225" t="s">
        <v>608</v>
      </c>
    </row>
    <row r="224" spans="2:5" ht="15.75" thickBot="1">
      <c r="B224" s="225" t="s">
        <v>960</v>
      </c>
      <c r="C224" s="226">
        <v>519471</v>
      </c>
      <c r="D224" s="225" t="s">
        <v>597</v>
      </c>
      <c r="E224" s="225" t="s">
        <v>846</v>
      </c>
    </row>
    <row r="225" spans="2:5" ht="15.75" thickBot="1">
      <c r="B225" s="225" t="s">
        <v>961</v>
      </c>
      <c r="C225" s="226">
        <v>542524</v>
      </c>
      <c r="D225" s="225" t="s">
        <v>962</v>
      </c>
      <c r="E225" s="225" t="s">
        <v>963</v>
      </c>
    </row>
    <row r="226" spans="2:5" ht="15.75" thickBot="1">
      <c r="B226" s="225" t="s">
        <v>964</v>
      </c>
      <c r="C226" s="226">
        <v>540902</v>
      </c>
      <c r="D226" s="225" t="s">
        <v>965</v>
      </c>
      <c r="E226" s="225" t="s">
        <v>966</v>
      </c>
    </row>
    <row r="227" spans="2:5" ht="15.75" thickBot="1">
      <c r="B227" s="225" t="s">
        <v>967</v>
      </c>
      <c r="C227" s="226">
        <v>540902</v>
      </c>
      <c r="D227" s="225" t="s">
        <v>965</v>
      </c>
      <c r="E227" s="225" t="s">
        <v>966</v>
      </c>
    </row>
    <row r="228" spans="2:5" ht="15.75" thickBot="1">
      <c r="B228" s="225" t="s">
        <v>968</v>
      </c>
      <c r="C228" s="226">
        <v>531978</v>
      </c>
      <c r="D228" s="225" t="s">
        <v>969</v>
      </c>
      <c r="E228" s="225" t="s">
        <v>612</v>
      </c>
    </row>
    <row r="229" spans="2:5" ht="15.75" thickBot="1">
      <c r="B229" s="225" t="s">
        <v>970</v>
      </c>
      <c r="C229" s="226">
        <v>539223</v>
      </c>
      <c r="D229" s="225" t="s">
        <v>597</v>
      </c>
      <c r="E229" s="225" t="s">
        <v>591</v>
      </c>
    </row>
    <row r="230" spans="2:5" ht="15.75" thickBot="1">
      <c r="B230" s="225" t="s">
        <v>971</v>
      </c>
      <c r="C230" s="226">
        <v>500425</v>
      </c>
      <c r="D230" s="225" t="s">
        <v>972</v>
      </c>
      <c r="E230" s="225" t="s">
        <v>610</v>
      </c>
    </row>
    <row r="231" spans="2:5" ht="15.75" thickBot="1">
      <c r="B231" s="225" t="s">
        <v>973</v>
      </c>
      <c r="C231" s="226">
        <v>530133</v>
      </c>
      <c r="D231" s="225" t="s">
        <v>597</v>
      </c>
      <c r="E231" s="225" t="s">
        <v>974</v>
      </c>
    </row>
    <row r="232" spans="2:5" ht="15.75" thickBot="1">
      <c r="B232" s="225" t="s">
        <v>975</v>
      </c>
      <c r="C232" s="226">
        <v>530133</v>
      </c>
      <c r="D232" s="225" t="s">
        <v>597</v>
      </c>
      <c r="E232" s="225" t="s">
        <v>974</v>
      </c>
    </row>
    <row r="233" spans="2:5" ht="15.75" thickBot="1">
      <c r="B233" s="225" t="s">
        <v>976</v>
      </c>
      <c r="C233" s="226">
        <v>532828</v>
      </c>
      <c r="D233" s="225" t="s">
        <v>977</v>
      </c>
      <c r="E233" s="225" t="s">
        <v>782</v>
      </c>
    </row>
    <row r="234" spans="2:5" ht="15.75" thickBot="1">
      <c r="B234" s="225" t="s">
        <v>978</v>
      </c>
      <c r="C234" s="226">
        <v>513117</v>
      </c>
      <c r="D234" s="225" t="s">
        <v>597</v>
      </c>
      <c r="E234" s="225" t="s">
        <v>952</v>
      </c>
    </row>
    <row r="235" spans="2:5" ht="15.75" thickBot="1">
      <c r="B235" s="225" t="s">
        <v>979</v>
      </c>
      <c r="C235" s="226">
        <v>541771</v>
      </c>
      <c r="D235" s="225" t="s">
        <v>597</v>
      </c>
      <c r="E235" s="225" t="s">
        <v>711</v>
      </c>
    </row>
    <row r="236" spans="2:5" ht="15.75" thickBot="1">
      <c r="B236" s="225" t="s">
        <v>980</v>
      </c>
      <c r="C236" s="226">
        <v>506248</v>
      </c>
      <c r="D236" s="225" t="s">
        <v>597</v>
      </c>
      <c r="E236" s="225" t="s">
        <v>645</v>
      </c>
    </row>
    <row r="237" spans="2:5" ht="15.75" thickBot="1">
      <c r="B237" s="225" t="s">
        <v>981</v>
      </c>
      <c r="C237" s="226">
        <v>531300</v>
      </c>
      <c r="D237" s="225" t="s">
        <v>597</v>
      </c>
      <c r="E237" s="225" t="s">
        <v>612</v>
      </c>
    </row>
    <row r="238" spans="2:5" ht="15.75" thickBot="1">
      <c r="B238" s="225" t="s">
        <v>982</v>
      </c>
      <c r="C238" s="226">
        <v>531557</v>
      </c>
      <c r="D238" s="225" t="s">
        <v>597</v>
      </c>
      <c r="E238" s="225" t="s">
        <v>614</v>
      </c>
    </row>
    <row r="239" spans="2:5" ht="15.75" thickBot="1">
      <c r="B239" s="225" t="s">
        <v>983</v>
      </c>
      <c r="C239" s="226">
        <v>500343</v>
      </c>
      <c r="D239" s="225" t="s">
        <v>984</v>
      </c>
      <c r="E239" s="225" t="s">
        <v>683</v>
      </c>
    </row>
    <row r="240" spans="2:5" ht="15.75" thickBot="1">
      <c r="B240" s="225" t="s">
        <v>985</v>
      </c>
      <c r="C240" s="226">
        <v>531681</v>
      </c>
      <c r="D240" s="225" t="s">
        <v>597</v>
      </c>
      <c r="E240" s="225" t="s">
        <v>717</v>
      </c>
    </row>
    <row r="241" spans="2:5" ht="15.75" thickBot="1">
      <c r="B241" s="225" t="s">
        <v>986</v>
      </c>
      <c r="C241" s="226">
        <v>536737</v>
      </c>
      <c r="D241" s="225" t="s">
        <v>597</v>
      </c>
      <c r="E241" s="225" t="s">
        <v>614</v>
      </c>
    </row>
    <row r="242" spans="2:5" ht="15.75" thickBot="1">
      <c r="B242" s="225" t="s">
        <v>987</v>
      </c>
      <c r="C242" s="226">
        <v>539265</v>
      </c>
      <c r="D242" s="225" t="s">
        <v>597</v>
      </c>
      <c r="E242" s="225" t="s">
        <v>614</v>
      </c>
    </row>
    <row r="243" spans="2:5" ht="15.75" thickBot="1">
      <c r="B243" s="225" t="s">
        <v>988</v>
      </c>
      <c r="C243" s="226">
        <v>526241</v>
      </c>
      <c r="D243" s="225" t="s">
        <v>597</v>
      </c>
      <c r="E243" s="225" t="s">
        <v>619</v>
      </c>
    </row>
    <row r="244" spans="2:5" ht="15.75" thickBot="1">
      <c r="B244" s="225" t="s">
        <v>989</v>
      </c>
      <c r="C244" s="226">
        <v>531991</v>
      </c>
      <c r="D244" s="225" t="s">
        <v>597</v>
      </c>
      <c r="E244" s="225" t="s">
        <v>612</v>
      </c>
    </row>
    <row r="245" spans="2:5" ht="15.75" thickBot="1">
      <c r="B245" s="225" t="s">
        <v>990</v>
      </c>
      <c r="C245" s="226">
        <v>507525</v>
      </c>
      <c r="D245" s="225" t="s">
        <v>597</v>
      </c>
      <c r="E245" s="225" t="s">
        <v>657</v>
      </c>
    </row>
    <row r="246" spans="2:5" ht="15.75" thickBot="1">
      <c r="B246" s="225" t="s">
        <v>991</v>
      </c>
      <c r="C246" s="226">
        <v>590006</v>
      </c>
      <c r="D246" s="225" t="s">
        <v>992</v>
      </c>
      <c r="E246" s="225" t="s">
        <v>635</v>
      </c>
    </row>
    <row r="247" spans="2:5" ht="15.75" thickBot="1">
      <c r="B247" s="225" t="s">
        <v>993</v>
      </c>
      <c r="C247" s="226">
        <v>538861</v>
      </c>
      <c r="D247" s="225" t="s">
        <v>597</v>
      </c>
      <c r="E247" s="225" t="s">
        <v>619</v>
      </c>
    </row>
    <row r="248" spans="2:5" ht="15.75" thickBot="1">
      <c r="B248" s="225" t="s">
        <v>994</v>
      </c>
      <c r="C248" s="226">
        <v>501630</v>
      </c>
      <c r="D248" s="225" t="s">
        <v>597</v>
      </c>
      <c r="E248" s="225" t="s">
        <v>995</v>
      </c>
    </row>
    <row r="249" spans="2:5" ht="15.75" thickBot="1">
      <c r="B249" s="225" t="s">
        <v>996</v>
      </c>
      <c r="C249" s="226">
        <v>515055</v>
      </c>
      <c r="D249" s="225" t="s">
        <v>997</v>
      </c>
      <c r="E249" s="225" t="s">
        <v>683</v>
      </c>
    </row>
    <row r="250" spans="2:5" ht="15.75" thickBot="1">
      <c r="B250" s="225" t="s">
        <v>998</v>
      </c>
      <c r="C250" s="226">
        <v>532418</v>
      </c>
      <c r="D250" s="225" t="s">
        <v>999</v>
      </c>
      <c r="E250" s="225" t="s">
        <v>915</v>
      </c>
    </row>
    <row r="251" spans="2:5" ht="15.75" thickBot="1">
      <c r="B251" s="225" t="s">
        <v>1000</v>
      </c>
      <c r="C251" s="226">
        <v>532141</v>
      </c>
      <c r="D251" s="225" t="s">
        <v>1001</v>
      </c>
      <c r="E251" s="225" t="s">
        <v>610</v>
      </c>
    </row>
    <row r="252" spans="2:5" ht="15.75" thickBot="1">
      <c r="B252" s="225" t="s">
        <v>1002</v>
      </c>
      <c r="C252" s="226">
        <v>500012</v>
      </c>
      <c r="D252" s="225" t="s">
        <v>597</v>
      </c>
      <c r="E252" s="225" t="s">
        <v>645</v>
      </c>
    </row>
    <row r="253" spans="2:5" ht="15.75" thickBot="1">
      <c r="B253" s="225" t="s">
        <v>1003</v>
      </c>
      <c r="C253" s="226">
        <v>526173</v>
      </c>
      <c r="D253" s="225" t="s">
        <v>597</v>
      </c>
      <c r="E253" s="225" t="s">
        <v>1004</v>
      </c>
    </row>
    <row r="254" spans="2:5" ht="15.75" thickBot="1">
      <c r="B254" s="225" t="s">
        <v>1005</v>
      </c>
      <c r="C254" s="226">
        <v>531252</v>
      </c>
      <c r="D254" s="225" t="s">
        <v>597</v>
      </c>
      <c r="E254" s="225" t="s">
        <v>614</v>
      </c>
    </row>
    <row r="255" spans="2:5" ht="15.75" thickBot="1">
      <c r="B255" s="225" t="s">
        <v>1006</v>
      </c>
      <c r="C255" s="226">
        <v>530721</v>
      </c>
      <c r="D255" s="225" t="s">
        <v>1007</v>
      </c>
      <c r="E255" s="225" t="s">
        <v>952</v>
      </c>
    </row>
    <row r="256" spans="2:5" ht="15.75" thickBot="1">
      <c r="B256" s="225" t="s">
        <v>1008</v>
      </c>
      <c r="C256" s="226">
        <v>540694</v>
      </c>
      <c r="D256" s="225" t="s">
        <v>597</v>
      </c>
      <c r="E256" s="225" t="s">
        <v>786</v>
      </c>
    </row>
    <row r="257" spans="2:5" ht="15.75" thickBot="1">
      <c r="B257" s="225" t="s">
        <v>1009</v>
      </c>
      <c r="C257" s="226">
        <v>540694</v>
      </c>
      <c r="D257" s="225" t="s">
        <v>597</v>
      </c>
      <c r="E257" s="225" t="s">
        <v>786</v>
      </c>
    </row>
    <row r="258" spans="2:5" ht="15.75" thickBot="1">
      <c r="B258" s="225" t="s">
        <v>1010</v>
      </c>
      <c r="C258" s="226">
        <v>541006</v>
      </c>
      <c r="D258" s="225" t="s">
        <v>597</v>
      </c>
      <c r="E258" s="225" t="s">
        <v>612</v>
      </c>
    </row>
    <row r="259" spans="2:5" ht="15.75" thickBot="1">
      <c r="B259" s="225" t="s">
        <v>1011</v>
      </c>
      <c r="C259" s="225" t="s">
        <v>597</v>
      </c>
      <c r="D259" s="225" t="s">
        <v>1012</v>
      </c>
      <c r="E259" s="225" t="s">
        <v>608</v>
      </c>
    </row>
    <row r="260" spans="2:5" ht="15.75" thickBot="1">
      <c r="B260" s="225" t="s">
        <v>1013</v>
      </c>
      <c r="C260" s="226">
        <v>519383</v>
      </c>
      <c r="D260" s="225" t="s">
        <v>1014</v>
      </c>
      <c r="E260" s="225" t="s">
        <v>795</v>
      </c>
    </row>
    <row r="261" spans="2:5" ht="15.75" thickBot="1">
      <c r="B261" s="225" t="s">
        <v>1015</v>
      </c>
      <c r="C261" s="226">
        <v>537785</v>
      </c>
      <c r="D261" s="225" t="s">
        <v>597</v>
      </c>
      <c r="E261" s="225" t="s">
        <v>631</v>
      </c>
    </row>
    <row r="262" spans="2:5" ht="15.75" thickBot="1">
      <c r="B262" s="225" t="s">
        <v>1016</v>
      </c>
      <c r="C262" s="226">
        <v>531878</v>
      </c>
      <c r="D262" s="225" t="s">
        <v>597</v>
      </c>
      <c r="E262" s="225" t="s">
        <v>614</v>
      </c>
    </row>
    <row r="263" spans="2:5" ht="15.75" thickBot="1">
      <c r="B263" s="225" t="s">
        <v>1017</v>
      </c>
      <c r="C263" s="226">
        <v>511153</v>
      </c>
      <c r="D263" s="225" t="s">
        <v>597</v>
      </c>
      <c r="E263" s="225" t="s">
        <v>1018</v>
      </c>
    </row>
    <row r="264" spans="2:5" ht="15.75" thickBot="1">
      <c r="B264" s="225" t="s">
        <v>1019</v>
      </c>
      <c r="C264" s="226">
        <v>518091</v>
      </c>
      <c r="D264" s="225" t="s">
        <v>1020</v>
      </c>
      <c r="E264" s="225" t="s">
        <v>610</v>
      </c>
    </row>
    <row r="265" spans="2:5" ht="15.75" thickBot="1">
      <c r="B265" s="225" t="s">
        <v>1021</v>
      </c>
      <c r="C265" s="226">
        <v>531223</v>
      </c>
      <c r="D265" s="225" t="s">
        <v>597</v>
      </c>
      <c r="E265" s="225" t="s">
        <v>612</v>
      </c>
    </row>
    <row r="266" spans="2:5" ht="15.75" thickBot="1">
      <c r="B266" s="225" t="s">
        <v>1022</v>
      </c>
      <c r="C266" s="226">
        <v>531673</v>
      </c>
      <c r="D266" s="225" t="s">
        <v>597</v>
      </c>
      <c r="E266" s="225" t="s">
        <v>1023</v>
      </c>
    </row>
    <row r="267" spans="2:5" ht="15.75" thickBot="1">
      <c r="B267" s="225" t="s">
        <v>1024</v>
      </c>
      <c r="C267" s="226">
        <v>531673</v>
      </c>
      <c r="D267" s="225" t="s">
        <v>597</v>
      </c>
      <c r="E267" s="225" t="s">
        <v>1023</v>
      </c>
    </row>
    <row r="268" spans="2:5" ht="15.75" thickBot="1">
      <c r="B268" s="225" t="s">
        <v>1025</v>
      </c>
      <c r="C268" s="226">
        <v>532870</v>
      </c>
      <c r="D268" s="225" t="s">
        <v>1026</v>
      </c>
      <c r="E268" s="225" t="s">
        <v>629</v>
      </c>
    </row>
    <row r="269" spans="2:5" ht="15.75" thickBot="1">
      <c r="B269" s="225" t="s">
        <v>1027</v>
      </c>
      <c r="C269" s="226">
        <v>531519</v>
      </c>
      <c r="D269" s="225" t="s">
        <v>597</v>
      </c>
      <c r="E269" s="225" t="s">
        <v>580</v>
      </c>
    </row>
    <row r="270" spans="2:5" ht="15.75" thickBot="1">
      <c r="B270" s="225" t="s">
        <v>1028</v>
      </c>
      <c r="C270" s="226">
        <v>542437</v>
      </c>
      <c r="D270" s="225" t="s">
        <v>1029</v>
      </c>
      <c r="E270" s="225" t="s">
        <v>631</v>
      </c>
    </row>
    <row r="271" spans="2:5" ht="15.75" thickBot="1">
      <c r="B271" s="225" t="s">
        <v>1030</v>
      </c>
      <c r="C271" s="226">
        <v>530799</v>
      </c>
      <c r="D271" s="225" t="s">
        <v>597</v>
      </c>
      <c r="E271" s="225" t="s">
        <v>614</v>
      </c>
    </row>
    <row r="272" spans="2:5" ht="15.75" thickBot="1">
      <c r="B272" s="225" t="s">
        <v>1031</v>
      </c>
      <c r="C272" s="226">
        <v>531406</v>
      </c>
      <c r="D272" s="225" t="s">
        <v>597</v>
      </c>
      <c r="E272" s="225" t="s">
        <v>1032</v>
      </c>
    </row>
    <row r="273" spans="2:5" ht="15.75" thickBot="1">
      <c r="B273" s="225" t="s">
        <v>1033</v>
      </c>
      <c r="C273" s="226">
        <v>523007</v>
      </c>
      <c r="D273" s="225" t="s">
        <v>597</v>
      </c>
      <c r="E273" s="225" t="s">
        <v>683</v>
      </c>
    </row>
    <row r="274" spans="2:5" ht="15.75" thickBot="1">
      <c r="B274" s="225" t="s">
        <v>1034</v>
      </c>
      <c r="C274" s="226">
        <v>507828</v>
      </c>
      <c r="D274" s="225" t="s">
        <v>1035</v>
      </c>
      <c r="E274" s="225" t="s">
        <v>683</v>
      </c>
    </row>
    <row r="275" spans="2:5" ht="15.75" thickBot="1">
      <c r="B275" s="225" t="s">
        <v>1036</v>
      </c>
      <c r="C275" s="226">
        <v>500013</v>
      </c>
      <c r="D275" s="225" t="s">
        <v>1037</v>
      </c>
      <c r="E275" s="225" t="s">
        <v>683</v>
      </c>
    </row>
    <row r="276" spans="2:5" ht="15.75" thickBot="1">
      <c r="B276" s="225" t="s">
        <v>1038</v>
      </c>
      <c r="C276" s="226">
        <v>512091</v>
      </c>
      <c r="D276" s="225" t="s">
        <v>597</v>
      </c>
      <c r="E276" s="225" t="s">
        <v>711</v>
      </c>
    </row>
    <row r="277" spans="2:5" ht="15.75" thickBot="1">
      <c r="B277" s="225" t="s">
        <v>1039</v>
      </c>
      <c r="C277" s="225" t="s">
        <v>597</v>
      </c>
      <c r="D277" s="225" t="s">
        <v>1040</v>
      </c>
      <c r="E277" s="225" t="s">
        <v>688</v>
      </c>
    </row>
    <row r="278" spans="2:5" ht="15.75" thickBot="1">
      <c r="B278" s="225" t="s">
        <v>1041</v>
      </c>
      <c r="C278" s="226">
        <v>501270</v>
      </c>
      <c r="D278" s="225" t="s">
        <v>597</v>
      </c>
      <c r="E278" s="225" t="s">
        <v>683</v>
      </c>
    </row>
    <row r="279" spans="2:5" ht="15.75" thickBot="1">
      <c r="B279" s="225" t="s">
        <v>1042</v>
      </c>
      <c r="C279" s="226">
        <v>539697</v>
      </c>
      <c r="D279" s="225" t="s">
        <v>597</v>
      </c>
      <c r="E279" s="225" t="s">
        <v>1043</v>
      </c>
    </row>
    <row r="280" spans="2:5" ht="15.75" thickBot="1">
      <c r="B280" s="225" t="s">
        <v>1044</v>
      </c>
      <c r="C280" s="226">
        <v>538833</v>
      </c>
      <c r="D280" s="225" t="s">
        <v>597</v>
      </c>
      <c r="E280" s="225" t="s">
        <v>995</v>
      </c>
    </row>
    <row r="281" spans="2:5" ht="15.75" thickBot="1">
      <c r="B281" s="225" t="s">
        <v>1045</v>
      </c>
      <c r="C281" s="226">
        <v>506260</v>
      </c>
      <c r="D281" s="225" t="s">
        <v>597</v>
      </c>
      <c r="E281" s="225" t="s">
        <v>635</v>
      </c>
    </row>
    <row r="282" spans="2:5" ht="15.75" thickBot="1">
      <c r="B282" s="225" t="s">
        <v>1046</v>
      </c>
      <c r="C282" s="226">
        <v>506087</v>
      </c>
      <c r="D282" s="225" t="s">
        <v>597</v>
      </c>
      <c r="E282" s="225" t="s">
        <v>920</v>
      </c>
    </row>
    <row r="283" spans="2:5" ht="15.75" thickBot="1">
      <c r="B283" s="225" t="s">
        <v>1047</v>
      </c>
      <c r="C283" s="226">
        <v>530109</v>
      </c>
      <c r="D283" s="225" t="s">
        <v>597</v>
      </c>
      <c r="E283" s="225" t="s">
        <v>614</v>
      </c>
    </row>
    <row r="284" spans="2:5" ht="15.75" thickBot="1">
      <c r="B284" s="225" t="s">
        <v>1048</v>
      </c>
      <c r="C284" s="226">
        <v>532259</v>
      </c>
      <c r="D284" s="225" t="s">
        <v>1049</v>
      </c>
      <c r="E284" s="225" t="s">
        <v>895</v>
      </c>
    </row>
    <row r="285" spans="2:5" ht="15.75" thickBot="1">
      <c r="B285" s="225" t="s">
        <v>1050</v>
      </c>
      <c r="C285" s="226">
        <v>523694</v>
      </c>
      <c r="D285" s="225" t="s">
        <v>1051</v>
      </c>
      <c r="E285" s="225" t="s">
        <v>782</v>
      </c>
    </row>
    <row r="286" spans="2:5" ht="15.75" thickBot="1">
      <c r="B286" s="225" t="s">
        <v>1052</v>
      </c>
      <c r="C286" s="226">
        <v>540692</v>
      </c>
      <c r="D286" s="225" t="s">
        <v>1053</v>
      </c>
      <c r="E286" s="225" t="s">
        <v>657</v>
      </c>
    </row>
    <row r="287" spans="2:5" ht="15.75" thickBot="1">
      <c r="B287" s="225" t="s">
        <v>1054</v>
      </c>
      <c r="C287" s="226">
        <v>541133</v>
      </c>
      <c r="D287" s="225" t="s">
        <v>597</v>
      </c>
      <c r="E287" s="225" t="s">
        <v>614</v>
      </c>
    </row>
    <row r="288" spans="2:5" ht="15.75" thickBot="1">
      <c r="B288" s="225" t="s">
        <v>1055</v>
      </c>
      <c r="C288" s="226">
        <v>506166</v>
      </c>
      <c r="D288" s="225" t="s">
        <v>597</v>
      </c>
      <c r="E288" s="225" t="s">
        <v>677</v>
      </c>
    </row>
    <row r="289" spans="2:5" ht="15.75" thickBot="1">
      <c r="B289" s="225" t="s">
        <v>1056</v>
      </c>
      <c r="C289" s="226">
        <v>506166</v>
      </c>
      <c r="D289" s="225" t="s">
        <v>597</v>
      </c>
      <c r="E289" s="225" t="s">
        <v>677</v>
      </c>
    </row>
    <row r="290" spans="2:5" ht="15.75" thickBot="1">
      <c r="B290" s="225" t="s">
        <v>1057</v>
      </c>
      <c r="C290" s="226">
        <v>533758</v>
      </c>
      <c r="D290" s="225" t="s">
        <v>1058</v>
      </c>
      <c r="E290" s="225" t="s">
        <v>920</v>
      </c>
    </row>
    <row r="291" spans="2:5" ht="15.75" thickBot="1">
      <c r="B291" s="225" t="s">
        <v>1059</v>
      </c>
      <c r="C291" s="226">
        <v>517096</v>
      </c>
      <c r="D291" s="225" t="s">
        <v>597</v>
      </c>
      <c r="E291" s="225" t="s">
        <v>895</v>
      </c>
    </row>
    <row r="292" spans="2:5" ht="15.75" thickBot="1">
      <c r="B292" s="225" t="s">
        <v>1060</v>
      </c>
      <c r="C292" s="226">
        <v>511064</v>
      </c>
      <c r="D292" s="225" t="s">
        <v>1061</v>
      </c>
      <c r="E292" s="225" t="s">
        <v>963</v>
      </c>
    </row>
    <row r="293" spans="2:5" ht="15.75" thickBot="1">
      <c r="B293" s="225" t="s">
        <v>1062</v>
      </c>
      <c r="C293" s="226">
        <v>523537</v>
      </c>
      <c r="D293" s="225" t="s">
        <v>597</v>
      </c>
      <c r="E293" s="225" t="s">
        <v>612</v>
      </c>
    </row>
    <row r="294" spans="2:5" ht="15.75" thickBot="1">
      <c r="B294" s="225" t="s">
        <v>1063</v>
      </c>
      <c r="C294" s="226">
        <v>512437</v>
      </c>
      <c r="D294" s="225" t="s">
        <v>597</v>
      </c>
      <c r="E294" s="225" t="s">
        <v>580</v>
      </c>
    </row>
    <row r="295" spans="2:5" ht="15.75" thickBot="1">
      <c r="B295" s="225" t="s">
        <v>1064</v>
      </c>
      <c r="C295" s="226">
        <v>512437</v>
      </c>
      <c r="D295" s="225" t="s">
        <v>597</v>
      </c>
      <c r="E295" s="225" t="s">
        <v>580</v>
      </c>
    </row>
    <row r="296" spans="2:5" ht="15.75" thickBot="1">
      <c r="B296" s="225" t="s">
        <v>1065</v>
      </c>
      <c r="C296" s="226">
        <v>508869</v>
      </c>
      <c r="D296" s="225" t="s">
        <v>1066</v>
      </c>
      <c r="E296" s="225" t="s">
        <v>1067</v>
      </c>
    </row>
    <row r="297" spans="2:5" ht="15.75" thickBot="1">
      <c r="B297" s="225" t="s">
        <v>1068</v>
      </c>
      <c r="C297" s="226">
        <v>540879</v>
      </c>
      <c r="D297" s="225" t="s">
        <v>1069</v>
      </c>
      <c r="E297" s="225" t="s">
        <v>1070</v>
      </c>
    </row>
    <row r="298" spans="2:5" ht="15.75" thickBot="1">
      <c r="B298" s="225" t="s">
        <v>1071</v>
      </c>
      <c r="C298" s="226">
        <v>531761</v>
      </c>
      <c r="D298" s="225" t="s">
        <v>597</v>
      </c>
      <c r="E298" s="225" t="s">
        <v>717</v>
      </c>
    </row>
    <row r="299" spans="2:5" ht="15.75" thickBot="1">
      <c r="B299" s="225" t="s">
        <v>1072</v>
      </c>
      <c r="C299" s="225" t="s">
        <v>597</v>
      </c>
      <c r="D299" s="225" t="s">
        <v>1073</v>
      </c>
      <c r="E299" s="225" t="s">
        <v>688</v>
      </c>
    </row>
    <row r="300" spans="2:5" ht="15.75" thickBot="1">
      <c r="B300" s="225" t="s">
        <v>1074</v>
      </c>
      <c r="C300" s="226">
        <v>538566</v>
      </c>
      <c r="D300" s="225" t="s">
        <v>597</v>
      </c>
      <c r="E300" s="225" t="s">
        <v>619</v>
      </c>
    </row>
    <row r="301" spans="2:5" ht="15.75" thickBot="1">
      <c r="B301" s="225" t="s">
        <v>1075</v>
      </c>
      <c r="C301" s="226">
        <v>500877</v>
      </c>
      <c r="D301" s="225" t="s">
        <v>1076</v>
      </c>
      <c r="E301" s="225" t="s">
        <v>1077</v>
      </c>
    </row>
    <row r="302" spans="2:5" ht="15.75" thickBot="1">
      <c r="B302" s="225" t="s">
        <v>1078</v>
      </c>
      <c r="C302" s="226">
        <v>539545</v>
      </c>
      <c r="D302" s="225" t="s">
        <v>597</v>
      </c>
      <c r="E302" s="225" t="s">
        <v>617</v>
      </c>
    </row>
    <row r="303" spans="2:5" ht="15.75" thickBot="1">
      <c r="B303" s="225" t="s">
        <v>1079</v>
      </c>
      <c r="C303" s="226">
        <v>500014</v>
      </c>
      <c r="D303" s="225" t="s">
        <v>597</v>
      </c>
      <c r="E303" s="225" t="s">
        <v>614</v>
      </c>
    </row>
    <row r="304" spans="2:5" ht="15.75" thickBot="1">
      <c r="B304" s="225" t="s">
        <v>1080</v>
      </c>
      <c r="C304" s="226">
        <v>532475</v>
      </c>
      <c r="D304" s="225" t="s">
        <v>1081</v>
      </c>
      <c r="E304" s="225" t="s">
        <v>1082</v>
      </c>
    </row>
    <row r="305" spans="2:5" ht="15.75" thickBot="1">
      <c r="B305" s="225" t="s">
        <v>1083</v>
      </c>
      <c r="C305" s="226">
        <v>539469</v>
      </c>
      <c r="D305" s="225" t="s">
        <v>597</v>
      </c>
      <c r="E305" s="225" t="s">
        <v>619</v>
      </c>
    </row>
    <row r="306" spans="2:5" ht="15.75" thickBot="1">
      <c r="B306" s="225" t="s">
        <v>1084</v>
      </c>
      <c r="C306" s="226">
        <v>531364</v>
      </c>
      <c r="D306" s="225" t="s">
        <v>597</v>
      </c>
      <c r="E306" s="225" t="s">
        <v>995</v>
      </c>
    </row>
    <row r="307" spans="2:5" ht="15.75" thickBot="1">
      <c r="B307" s="225" t="s">
        <v>1085</v>
      </c>
      <c r="C307" s="226">
        <v>539403</v>
      </c>
      <c r="D307" s="225" t="s">
        <v>597</v>
      </c>
      <c r="E307" s="225" t="s">
        <v>1086</v>
      </c>
    </row>
    <row r="308" spans="2:5" ht="15.75" thickBot="1">
      <c r="B308" s="225" t="s">
        <v>1087</v>
      </c>
      <c r="C308" s="226">
        <v>540135</v>
      </c>
      <c r="D308" s="225" t="s">
        <v>597</v>
      </c>
      <c r="E308" s="225" t="s">
        <v>580</v>
      </c>
    </row>
    <row r="309" spans="2:5" ht="15.75" thickBot="1">
      <c r="B309" s="225" t="s">
        <v>1088</v>
      </c>
      <c r="C309" s="226">
        <v>520121</v>
      </c>
      <c r="D309" s="225" t="s">
        <v>597</v>
      </c>
      <c r="E309" s="225" t="s">
        <v>717</v>
      </c>
    </row>
    <row r="310" spans="2:5" ht="15.75" thickBot="1">
      <c r="B310" s="225" t="s">
        <v>1089</v>
      </c>
      <c r="C310" s="226">
        <v>530565</v>
      </c>
      <c r="D310" s="225" t="s">
        <v>597</v>
      </c>
      <c r="E310" s="225" t="s">
        <v>690</v>
      </c>
    </row>
    <row r="311" spans="2:5" ht="15.75" thickBot="1">
      <c r="B311" s="225" t="s">
        <v>1090</v>
      </c>
      <c r="C311" s="226">
        <v>532994</v>
      </c>
      <c r="D311" s="225" t="s">
        <v>1091</v>
      </c>
      <c r="E311" s="225" t="s">
        <v>1092</v>
      </c>
    </row>
    <row r="312" spans="2:5" ht="15.75" thickBot="1">
      <c r="B312" s="225" t="s">
        <v>1093</v>
      </c>
      <c r="C312" s="226">
        <v>532212</v>
      </c>
      <c r="D312" s="225" t="s">
        <v>1094</v>
      </c>
      <c r="E312" s="225" t="s">
        <v>1095</v>
      </c>
    </row>
    <row r="313" spans="2:5" ht="15.75" thickBot="1">
      <c r="B313" s="225" t="s">
        <v>1096</v>
      </c>
      <c r="C313" s="226">
        <v>524640</v>
      </c>
      <c r="D313" s="225" t="s">
        <v>597</v>
      </c>
      <c r="E313" s="225" t="s">
        <v>645</v>
      </c>
    </row>
    <row r="314" spans="2:5" ht="15.75" thickBot="1">
      <c r="B314" s="225" t="s">
        <v>1097</v>
      </c>
      <c r="C314" s="226">
        <v>532914</v>
      </c>
      <c r="D314" s="225" t="s">
        <v>1098</v>
      </c>
      <c r="E314" s="225" t="s">
        <v>671</v>
      </c>
    </row>
    <row r="315" spans="2:5" ht="15.75" thickBot="1">
      <c r="B315" s="225" t="s">
        <v>1099</v>
      </c>
      <c r="C315" s="226">
        <v>504370</v>
      </c>
      <c r="D315" s="225" t="s">
        <v>597</v>
      </c>
      <c r="E315" s="225" t="s">
        <v>1018</v>
      </c>
    </row>
    <row r="316" spans="2:5" ht="15.75" thickBot="1">
      <c r="B316" s="225" t="s">
        <v>1100</v>
      </c>
      <c r="C316" s="226">
        <v>526851</v>
      </c>
      <c r="D316" s="225" t="s">
        <v>597</v>
      </c>
      <c r="E316" s="225" t="s">
        <v>612</v>
      </c>
    </row>
    <row r="317" spans="2:5" ht="15.75" thickBot="1">
      <c r="B317" s="225" t="s">
        <v>1101</v>
      </c>
      <c r="C317" s="226">
        <v>539151</v>
      </c>
      <c r="D317" s="225" t="s">
        <v>597</v>
      </c>
      <c r="E317" s="225" t="s">
        <v>902</v>
      </c>
    </row>
    <row r="318" spans="2:5" ht="15.75" thickBot="1">
      <c r="B318" s="225" t="s">
        <v>1102</v>
      </c>
      <c r="C318" s="226">
        <v>539151</v>
      </c>
      <c r="D318" s="225" t="s">
        <v>597</v>
      </c>
      <c r="E318" s="225" t="s">
        <v>902</v>
      </c>
    </row>
    <row r="319" spans="2:5" ht="15.75" thickBot="1">
      <c r="B319" s="225" t="s">
        <v>1103</v>
      </c>
      <c r="C319" s="226">
        <v>532935</v>
      </c>
      <c r="D319" s="225" t="s">
        <v>1104</v>
      </c>
      <c r="E319" s="225" t="s">
        <v>1105</v>
      </c>
    </row>
    <row r="320" spans="2:5" ht="15.75" thickBot="1">
      <c r="B320" s="225" t="s">
        <v>1106</v>
      </c>
      <c r="C320" s="226">
        <v>511605</v>
      </c>
      <c r="D320" s="225" t="s">
        <v>597</v>
      </c>
      <c r="E320" s="225" t="s">
        <v>580</v>
      </c>
    </row>
    <row r="321" spans="2:5" ht="15.75" thickBot="1">
      <c r="B321" s="225" t="s">
        <v>1107</v>
      </c>
      <c r="C321" s="226">
        <v>531381</v>
      </c>
      <c r="D321" s="225" t="s">
        <v>1108</v>
      </c>
      <c r="E321" s="225" t="s">
        <v>683</v>
      </c>
    </row>
    <row r="322" spans="2:5" ht="15.75" thickBot="1">
      <c r="B322" s="225" t="s">
        <v>1109</v>
      </c>
      <c r="C322" s="226">
        <v>541401</v>
      </c>
      <c r="D322" s="225" t="s">
        <v>597</v>
      </c>
      <c r="E322" s="225" t="s">
        <v>702</v>
      </c>
    </row>
    <row r="323" spans="2:5" ht="15.75" thickBot="1">
      <c r="B323" s="225" t="s">
        <v>1110</v>
      </c>
      <c r="C323" s="226">
        <v>506194</v>
      </c>
      <c r="D323" s="225" t="s">
        <v>1111</v>
      </c>
      <c r="E323" s="225" t="s">
        <v>683</v>
      </c>
    </row>
    <row r="324" spans="2:5" ht="15.75" thickBot="1">
      <c r="B324" s="225" t="s">
        <v>1112</v>
      </c>
      <c r="C324" s="226">
        <v>526125</v>
      </c>
      <c r="D324" s="225" t="s">
        <v>597</v>
      </c>
      <c r="E324" s="225" t="s">
        <v>619</v>
      </c>
    </row>
    <row r="325" spans="2:5" ht="15.75" thickBot="1">
      <c r="B325" s="225" t="s">
        <v>1113</v>
      </c>
      <c r="C325" s="226">
        <v>531017</v>
      </c>
      <c r="D325" s="225" t="s">
        <v>597</v>
      </c>
      <c r="E325" s="225" t="s">
        <v>1018</v>
      </c>
    </row>
    <row r="326" spans="2:5" ht="15.75" thickBot="1">
      <c r="B326" s="225" t="s">
        <v>1114</v>
      </c>
      <c r="C326" s="226">
        <v>531677</v>
      </c>
      <c r="D326" s="225" t="s">
        <v>597</v>
      </c>
      <c r="E326" s="225" t="s">
        <v>583</v>
      </c>
    </row>
    <row r="327" spans="2:5" ht="15.75" thickBot="1">
      <c r="B327" s="225" t="s">
        <v>1115</v>
      </c>
      <c r="C327" s="226">
        <v>531179</v>
      </c>
      <c r="D327" s="225" t="s">
        <v>1116</v>
      </c>
      <c r="E327" s="225" t="s">
        <v>614</v>
      </c>
    </row>
    <row r="328" spans="2:5" ht="15.75" thickBot="1">
      <c r="B328" s="225" t="s">
        <v>1117</v>
      </c>
      <c r="C328" s="226">
        <v>538556</v>
      </c>
      <c r="D328" s="225" t="s">
        <v>1118</v>
      </c>
      <c r="E328" s="225" t="s">
        <v>617</v>
      </c>
    </row>
    <row r="329" spans="2:5" ht="15.75" thickBot="1">
      <c r="B329" s="225" t="s">
        <v>1119</v>
      </c>
      <c r="C329" s="226">
        <v>532397</v>
      </c>
      <c r="D329" s="225" t="s">
        <v>597</v>
      </c>
      <c r="E329" s="225" t="s">
        <v>591</v>
      </c>
    </row>
    <row r="330" spans="2:5" ht="15.75" thickBot="1">
      <c r="B330" s="225" t="s">
        <v>1120</v>
      </c>
      <c r="C330" s="226">
        <v>531467</v>
      </c>
      <c r="D330" s="225" t="s">
        <v>597</v>
      </c>
      <c r="E330" s="225" t="s">
        <v>1121</v>
      </c>
    </row>
    <row r="331" spans="2:5" ht="15.75" thickBot="1">
      <c r="B331" s="225" t="s">
        <v>1122</v>
      </c>
      <c r="C331" s="226">
        <v>537069</v>
      </c>
      <c r="D331" s="225" t="s">
        <v>597</v>
      </c>
      <c r="E331" s="225" t="s">
        <v>614</v>
      </c>
    </row>
    <row r="332" spans="2:5" ht="15.75" thickBot="1">
      <c r="B332" s="225" t="s">
        <v>1123</v>
      </c>
      <c r="C332" s="226">
        <v>513729</v>
      </c>
      <c r="D332" s="225" t="s">
        <v>1124</v>
      </c>
      <c r="E332" s="225" t="s">
        <v>1125</v>
      </c>
    </row>
    <row r="333" spans="2:5" ht="15.75" thickBot="1">
      <c r="B333" s="225" t="s">
        <v>1126</v>
      </c>
      <c r="C333" s="226">
        <v>531560</v>
      </c>
      <c r="D333" s="225" t="s">
        <v>597</v>
      </c>
      <c r="E333" s="225" t="s">
        <v>1018</v>
      </c>
    </row>
    <row r="334" spans="2:5" ht="15.75" thickBot="1">
      <c r="B334" s="225" t="s">
        <v>1127</v>
      </c>
      <c r="C334" s="226">
        <v>531560</v>
      </c>
      <c r="D334" s="225" t="s">
        <v>597</v>
      </c>
      <c r="E334" s="225" t="s">
        <v>1018</v>
      </c>
    </row>
    <row r="335" spans="2:5" ht="15.75" thickBot="1">
      <c r="B335" s="225" t="s">
        <v>1128</v>
      </c>
      <c r="C335" s="226">
        <v>516064</v>
      </c>
      <c r="D335" s="225" t="s">
        <v>1129</v>
      </c>
      <c r="E335" s="225" t="s">
        <v>717</v>
      </c>
    </row>
    <row r="336" spans="2:5" ht="15.75" thickBot="1">
      <c r="B336" s="225" t="s">
        <v>1130</v>
      </c>
      <c r="C336" s="226">
        <v>533068</v>
      </c>
      <c r="D336" s="225" t="s">
        <v>1131</v>
      </c>
      <c r="E336" s="225" t="s">
        <v>711</v>
      </c>
    </row>
    <row r="337" spans="2:5" ht="15.75" thickBot="1">
      <c r="B337" s="225" t="s">
        <v>1132</v>
      </c>
      <c r="C337" s="226">
        <v>506074</v>
      </c>
      <c r="D337" s="225" t="s">
        <v>1133</v>
      </c>
      <c r="E337" s="225" t="s">
        <v>918</v>
      </c>
    </row>
    <row r="338" spans="2:5" ht="15.75" thickBot="1">
      <c r="B338" s="225" t="s">
        <v>1134</v>
      </c>
      <c r="C338" s="226">
        <v>533163</v>
      </c>
      <c r="D338" s="225" t="s">
        <v>1135</v>
      </c>
      <c r="E338" s="225" t="s">
        <v>995</v>
      </c>
    </row>
    <row r="339" spans="2:5" ht="15.75" thickBot="1">
      <c r="B339" s="225" t="s">
        <v>1136</v>
      </c>
      <c r="C339" s="225" t="s">
        <v>597</v>
      </c>
      <c r="D339" s="225" t="s">
        <v>1137</v>
      </c>
      <c r="E339" s="225" t="s">
        <v>608</v>
      </c>
    </row>
    <row r="340" spans="2:5" ht="15.75" thickBot="1">
      <c r="B340" s="225" t="s">
        <v>1138</v>
      </c>
      <c r="C340" s="226">
        <v>517481</v>
      </c>
      <c r="D340" s="225" t="s">
        <v>597</v>
      </c>
      <c r="E340" s="225" t="s">
        <v>1139</v>
      </c>
    </row>
    <row r="341" spans="2:5" ht="15.75" thickBot="1">
      <c r="B341" s="225" t="s">
        <v>1140</v>
      </c>
      <c r="C341" s="226">
        <v>531297</v>
      </c>
      <c r="D341" s="225" t="s">
        <v>597</v>
      </c>
      <c r="E341" s="225" t="s">
        <v>681</v>
      </c>
    </row>
    <row r="342" spans="2:5" ht="15.75" thickBot="1">
      <c r="B342" s="225" t="s">
        <v>1141</v>
      </c>
      <c r="C342" s="226">
        <v>542670</v>
      </c>
      <c r="D342" s="225" t="s">
        <v>1142</v>
      </c>
      <c r="E342" s="225" t="s">
        <v>1143</v>
      </c>
    </row>
    <row r="343" spans="2:5" ht="15.75" thickBot="1">
      <c r="B343" s="225" t="s">
        <v>1144</v>
      </c>
      <c r="C343" s="226">
        <v>540616</v>
      </c>
      <c r="D343" s="225" t="s">
        <v>1145</v>
      </c>
      <c r="E343" s="225" t="s">
        <v>1067</v>
      </c>
    </row>
    <row r="344" spans="2:5" ht="15.75" thickBot="1">
      <c r="B344" s="225" t="s">
        <v>1146</v>
      </c>
      <c r="C344" s="226">
        <v>522134</v>
      </c>
      <c r="D344" s="225" t="s">
        <v>597</v>
      </c>
      <c r="E344" s="225" t="s">
        <v>605</v>
      </c>
    </row>
    <row r="345" spans="2:5" ht="15.75" thickBot="1">
      <c r="B345" s="225" t="s">
        <v>1147</v>
      </c>
      <c r="C345" s="226">
        <v>500016</v>
      </c>
      <c r="D345" s="225" t="s">
        <v>597</v>
      </c>
      <c r="E345" s="225" t="s">
        <v>798</v>
      </c>
    </row>
    <row r="346" spans="2:5" ht="15.75" thickBot="1">
      <c r="B346" s="225" t="s">
        <v>1148</v>
      </c>
      <c r="C346" s="225" t="s">
        <v>597</v>
      </c>
      <c r="D346" s="225" t="s">
        <v>1149</v>
      </c>
      <c r="E346" s="225" t="s">
        <v>608</v>
      </c>
    </row>
    <row r="347" spans="2:5" ht="15.75" thickBot="1">
      <c r="B347" s="225" t="s">
        <v>1150</v>
      </c>
      <c r="C347" s="225" t="s">
        <v>597</v>
      </c>
      <c r="D347" s="225" t="s">
        <v>1149</v>
      </c>
      <c r="E347" s="225" t="s">
        <v>608</v>
      </c>
    </row>
    <row r="348" spans="2:5" ht="15.75" thickBot="1">
      <c r="B348" s="225" t="s">
        <v>1151</v>
      </c>
      <c r="C348" s="226">
        <v>542484</v>
      </c>
      <c r="D348" s="225" t="s">
        <v>1152</v>
      </c>
      <c r="E348" s="225" t="s">
        <v>1153</v>
      </c>
    </row>
    <row r="349" spans="2:5" ht="15.75" thickBot="1">
      <c r="B349" s="225" t="s">
        <v>1154</v>
      </c>
      <c r="C349" s="226">
        <v>500101</v>
      </c>
      <c r="D349" s="225" t="s">
        <v>1155</v>
      </c>
      <c r="E349" s="225" t="s">
        <v>612</v>
      </c>
    </row>
    <row r="350" spans="2:5" ht="15.75" thickBot="1">
      <c r="B350" s="225" t="s">
        <v>1156</v>
      </c>
      <c r="C350" s="226">
        <v>539301</v>
      </c>
      <c r="D350" s="225" t="s">
        <v>1157</v>
      </c>
      <c r="E350" s="225" t="s">
        <v>683</v>
      </c>
    </row>
    <row r="351" spans="2:5" ht="15.75" thickBot="1">
      <c r="B351" s="225" t="s">
        <v>1158</v>
      </c>
      <c r="C351" s="226">
        <v>538716</v>
      </c>
      <c r="D351" s="225" t="s">
        <v>597</v>
      </c>
      <c r="E351" s="225" t="s">
        <v>580</v>
      </c>
    </row>
    <row r="352" spans="2:5" ht="15.75" thickBot="1">
      <c r="B352" s="225" t="s">
        <v>1159</v>
      </c>
      <c r="C352" s="226">
        <v>530245</v>
      </c>
      <c r="D352" s="225" t="s">
        <v>597</v>
      </c>
      <c r="E352" s="225" t="s">
        <v>614</v>
      </c>
    </row>
    <row r="353" spans="2:5" ht="15.75" thickBot="1">
      <c r="B353" s="225" t="s">
        <v>1160</v>
      </c>
      <c r="C353" s="226">
        <v>542176</v>
      </c>
      <c r="D353" s="225" t="s">
        <v>1161</v>
      </c>
      <c r="E353" s="225" t="s">
        <v>580</v>
      </c>
    </row>
    <row r="354" spans="2:5" ht="15.75" thickBot="1">
      <c r="B354" s="225" t="s">
        <v>1162</v>
      </c>
      <c r="C354" s="226">
        <v>515030</v>
      </c>
      <c r="D354" s="225" t="s">
        <v>1163</v>
      </c>
      <c r="E354" s="225" t="s">
        <v>952</v>
      </c>
    </row>
    <row r="355" spans="2:5" ht="15.75" thickBot="1">
      <c r="B355" s="225" t="s">
        <v>1164</v>
      </c>
      <c r="C355" s="226">
        <v>514482</v>
      </c>
      <c r="D355" s="225" t="s">
        <v>597</v>
      </c>
      <c r="E355" s="225" t="s">
        <v>612</v>
      </c>
    </row>
    <row r="356" spans="2:5" ht="15.75" thickBot="1">
      <c r="B356" s="225" t="s">
        <v>1165</v>
      </c>
      <c r="C356" s="226">
        <v>532853</v>
      </c>
      <c r="D356" s="225" t="s">
        <v>1166</v>
      </c>
      <c r="E356" s="225" t="s">
        <v>757</v>
      </c>
    </row>
    <row r="357" spans="2:5" ht="15.75" thickBot="1">
      <c r="B357" s="225" t="s">
        <v>1167</v>
      </c>
      <c r="C357" s="226">
        <v>535467</v>
      </c>
      <c r="D357" s="225" t="s">
        <v>1168</v>
      </c>
      <c r="E357" s="225" t="s">
        <v>711</v>
      </c>
    </row>
    <row r="358" spans="2:5" ht="15.75" thickBot="1">
      <c r="B358" s="225" t="s">
        <v>1169</v>
      </c>
      <c r="C358" s="226">
        <v>527001</v>
      </c>
      <c r="D358" s="225" t="s">
        <v>1170</v>
      </c>
      <c r="E358" s="225" t="s">
        <v>577</v>
      </c>
    </row>
    <row r="359" spans="2:5" ht="15.75" thickBot="1">
      <c r="B359" s="225" t="s">
        <v>1171</v>
      </c>
      <c r="C359" s="226">
        <v>542579</v>
      </c>
      <c r="D359" s="225" t="s">
        <v>1172</v>
      </c>
      <c r="E359" s="225" t="s">
        <v>1153</v>
      </c>
    </row>
    <row r="360" spans="2:5" ht="15.75" thickBot="1">
      <c r="B360" s="225" t="s">
        <v>1173</v>
      </c>
      <c r="C360" s="226">
        <v>540024</v>
      </c>
      <c r="D360" s="225" t="s">
        <v>597</v>
      </c>
      <c r="E360" s="225" t="s">
        <v>580</v>
      </c>
    </row>
    <row r="361" spans="2:5" ht="15.75" thickBot="1">
      <c r="B361" s="225" t="s">
        <v>1174</v>
      </c>
      <c r="C361" s="226">
        <v>519174</v>
      </c>
      <c r="D361" s="225" t="s">
        <v>597</v>
      </c>
      <c r="E361" s="225" t="s">
        <v>846</v>
      </c>
    </row>
    <row r="362" spans="2:5" ht="15.75" thickBot="1">
      <c r="B362" s="225" t="s">
        <v>1175</v>
      </c>
      <c r="C362" s="226">
        <v>523716</v>
      </c>
      <c r="D362" s="225" t="s">
        <v>1176</v>
      </c>
      <c r="E362" s="225" t="s">
        <v>683</v>
      </c>
    </row>
    <row r="363" spans="2:5" ht="15.75" thickBot="1">
      <c r="B363" s="225" t="s">
        <v>1177</v>
      </c>
      <c r="C363" s="226">
        <v>513401</v>
      </c>
      <c r="D363" s="225" t="s">
        <v>597</v>
      </c>
      <c r="E363" s="225" t="s">
        <v>629</v>
      </c>
    </row>
    <row r="364" spans="2:5" ht="15.75" thickBot="1">
      <c r="B364" s="225" t="s">
        <v>1178</v>
      </c>
      <c r="C364" s="226">
        <v>590122</v>
      </c>
      <c r="D364" s="225" t="s">
        <v>1179</v>
      </c>
      <c r="E364" s="225" t="s">
        <v>614</v>
      </c>
    </row>
    <row r="365" spans="2:5" ht="15.75" thickBot="1">
      <c r="B365" s="225" t="s">
        <v>1180</v>
      </c>
      <c r="C365" s="226">
        <v>514286</v>
      </c>
      <c r="D365" s="225" t="s">
        <v>1181</v>
      </c>
      <c r="E365" s="225" t="s">
        <v>612</v>
      </c>
    </row>
    <row r="366" spans="2:5" ht="15.75" thickBot="1">
      <c r="B366" s="225" t="s">
        <v>1182</v>
      </c>
      <c r="C366" s="226">
        <v>512247</v>
      </c>
      <c r="D366" s="225" t="s">
        <v>597</v>
      </c>
      <c r="E366" s="225" t="s">
        <v>580</v>
      </c>
    </row>
    <row r="367" spans="2:5" ht="15.75" thickBot="1">
      <c r="B367" s="225" t="s">
        <v>1183</v>
      </c>
      <c r="C367" s="226">
        <v>526847</v>
      </c>
      <c r="D367" s="225" t="s">
        <v>597</v>
      </c>
      <c r="E367" s="225" t="s">
        <v>629</v>
      </c>
    </row>
    <row r="368" spans="2:5" ht="15.75" thickBot="1">
      <c r="B368" s="225" t="s">
        <v>1184</v>
      </c>
      <c r="C368" s="226">
        <v>530429</v>
      </c>
      <c r="D368" s="225" t="s">
        <v>597</v>
      </c>
      <c r="E368" s="225" t="s">
        <v>717</v>
      </c>
    </row>
    <row r="369" spans="2:5" ht="15.75" thickBot="1">
      <c r="B369" s="225" t="s">
        <v>1185</v>
      </c>
      <c r="C369" s="226">
        <v>541702</v>
      </c>
      <c r="D369" s="225" t="s">
        <v>597</v>
      </c>
      <c r="E369" s="225" t="s">
        <v>619</v>
      </c>
    </row>
    <row r="370" spans="2:5" ht="15.75" thickBot="1">
      <c r="B370" s="225" t="s">
        <v>1186</v>
      </c>
      <c r="C370" s="226">
        <v>507872</v>
      </c>
      <c r="D370" s="225" t="s">
        <v>597</v>
      </c>
      <c r="E370" s="225" t="s">
        <v>612</v>
      </c>
    </row>
    <row r="371" spans="2:5" ht="15.75" thickBot="1">
      <c r="B371" s="225" t="s">
        <v>1187</v>
      </c>
      <c r="C371" s="226">
        <v>524594</v>
      </c>
      <c r="D371" s="225" t="s">
        <v>597</v>
      </c>
      <c r="E371" s="225" t="s">
        <v>645</v>
      </c>
    </row>
    <row r="372" spans="2:5" ht="15.75" thickBot="1">
      <c r="B372" s="225" t="s">
        <v>1188</v>
      </c>
      <c r="C372" s="226">
        <v>500477</v>
      </c>
      <c r="D372" s="225" t="s">
        <v>1189</v>
      </c>
      <c r="E372" s="225" t="s">
        <v>675</v>
      </c>
    </row>
    <row r="373" spans="2:5" ht="15.75" thickBot="1">
      <c r="B373" s="225" t="s">
        <v>1190</v>
      </c>
      <c r="C373" s="226">
        <v>533271</v>
      </c>
      <c r="D373" s="225" t="s">
        <v>1191</v>
      </c>
      <c r="E373" s="225" t="s">
        <v>1192</v>
      </c>
    </row>
    <row r="374" spans="2:5" ht="15.75" thickBot="1">
      <c r="B374" s="225" t="s">
        <v>1193</v>
      </c>
      <c r="C374" s="226">
        <v>540923</v>
      </c>
      <c r="D374" s="225" t="s">
        <v>597</v>
      </c>
      <c r="E374" s="225" t="s">
        <v>995</v>
      </c>
    </row>
    <row r="375" spans="2:5" ht="15.75" thickBot="1">
      <c r="B375" s="225" t="s">
        <v>1194</v>
      </c>
      <c r="C375" s="226">
        <v>526983</v>
      </c>
      <c r="D375" s="225" t="s">
        <v>597</v>
      </c>
      <c r="E375" s="225" t="s">
        <v>795</v>
      </c>
    </row>
    <row r="376" spans="2:5" ht="15.75" thickBot="1">
      <c r="B376" s="225" t="s">
        <v>1195</v>
      </c>
      <c r="C376" s="226">
        <v>526187</v>
      </c>
      <c r="D376" s="225" t="s">
        <v>597</v>
      </c>
      <c r="E376" s="225" t="s">
        <v>786</v>
      </c>
    </row>
    <row r="377" spans="2:5" ht="15.75" thickBot="1">
      <c r="B377" s="225" t="s">
        <v>1196</v>
      </c>
      <c r="C377" s="226">
        <v>531568</v>
      </c>
      <c r="D377" s="225" t="s">
        <v>597</v>
      </c>
      <c r="E377" s="225" t="s">
        <v>591</v>
      </c>
    </row>
    <row r="378" spans="2:5" ht="15.75" thickBot="1">
      <c r="B378" s="225" t="s">
        <v>1197</v>
      </c>
      <c r="C378" s="226">
        <v>502015</v>
      </c>
      <c r="D378" s="225" t="s">
        <v>597</v>
      </c>
      <c r="E378" s="225" t="s">
        <v>577</v>
      </c>
    </row>
    <row r="379" spans="2:5" ht="15.75" thickBot="1">
      <c r="B379" s="225" t="s">
        <v>1198</v>
      </c>
      <c r="C379" s="226">
        <v>538777</v>
      </c>
      <c r="D379" s="225" t="s">
        <v>597</v>
      </c>
      <c r="E379" s="225" t="s">
        <v>614</v>
      </c>
    </row>
    <row r="380" spans="2:5" ht="15.75" thickBot="1">
      <c r="B380" s="225" t="s">
        <v>1199</v>
      </c>
      <c r="C380" s="226">
        <v>530899</v>
      </c>
      <c r="D380" s="225" t="s">
        <v>597</v>
      </c>
      <c r="E380" s="225" t="s">
        <v>612</v>
      </c>
    </row>
    <row r="381" spans="2:5" ht="15.75" thickBot="1">
      <c r="B381" s="225" t="s">
        <v>1200</v>
      </c>
      <c r="C381" s="226">
        <v>531392</v>
      </c>
      <c r="D381" s="225" t="s">
        <v>597</v>
      </c>
      <c r="E381" s="225" t="s">
        <v>795</v>
      </c>
    </row>
    <row r="382" spans="2:5" ht="15.75" thickBot="1">
      <c r="B382" s="225" t="s">
        <v>1201</v>
      </c>
      <c r="C382" s="226">
        <v>532888</v>
      </c>
      <c r="D382" s="225" t="s">
        <v>1202</v>
      </c>
      <c r="E382" s="225" t="s">
        <v>874</v>
      </c>
    </row>
    <row r="383" spans="2:5" ht="15.75" thickBot="1">
      <c r="B383" s="225" t="s">
        <v>1203</v>
      </c>
      <c r="C383" s="226">
        <v>532888</v>
      </c>
      <c r="D383" s="225" t="s">
        <v>1202</v>
      </c>
      <c r="E383" s="225" t="s">
        <v>874</v>
      </c>
    </row>
    <row r="384" spans="2:5" ht="15.75" thickBot="1">
      <c r="B384" s="225" t="s">
        <v>1204</v>
      </c>
      <c r="C384" s="226">
        <v>533227</v>
      </c>
      <c r="D384" s="225" t="s">
        <v>1205</v>
      </c>
      <c r="E384" s="225" t="s">
        <v>798</v>
      </c>
    </row>
    <row r="385" spans="2:5" ht="15.75" thickBot="1">
      <c r="B385" s="225" t="s">
        <v>1206</v>
      </c>
      <c r="C385" s="226">
        <v>500023</v>
      </c>
      <c r="D385" s="225" t="s">
        <v>1207</v>
      </c>
      <c r="E385" s="225" t="s">
        <v>798</v>
      </c>
    </row>
    <row r="386" spans="2:5" ht="15.75" thickBot="1">
      <c r="B386" s="225" t="s">
        <v>1208</v>
      </c>
      <c r="C386" s="226">
        <v>533221</v>
      </c>
      <c r="D386" s="225" t="s">
        <v>1209</v>
      </c>
      <c r="E386" s="225" t="s">
        <v>798</v>
      </c>
    </row>
    <row r="387" spans="2:5" ht="15.75" thickBot="1">
      <c r="B387" s="225" t="s">
        <v>1210</v>
      </c>
      <c r="C387" s="226">
        <v>530355</v>
      </c>
      <c r="D387" s="225" t="s">
        <v>597</v>
      </c>
      <c r="E387" s="225" t="s">
        <v>938</v>
      </c>
    </row>
    <row r="388" spans="2:5" ht="15.75" thickBot="1">
      <c r="B388" s="225" t="s">
        <v>1211</v>
      </c>
      <c r="C388" s="226">
        <v>500820</v>
      </c>
      <c r="D388" s="225" t="s">
        <v>1212</v>
      </c>
      <c r="E388" s="225" t="s">
        <v>874</v>
      </c>
    </row>
    <row r="389" spans="2:5" ht="15.75" thickBot="1">
      <c r="B389" s="225" t="s">
        <v>1213</v>
      </c>
      <c r="C389" s="226">
        <v>524434</v>
      </c>
      <c r="D389" s="225" t="s">
        <v>597</v>
      </c>
      <c r="E389" s="225" t="s">
        <v>645</v>
      </c>
    </row>
    <row r="390" spans="2:5" ht="15.75" thickBot="1">
      <c r="B390" s="225" t="s">
        <v>1214</v>
      </c>
      <c r="C390" s="226">
        <v>531847</v>
      </c>
      <c r="D390" s="225" t="s">
        <v>597</v>
      </c>
      <c r="E390" s="225" t="s">
        <v>711</v>
      </c>
    </row>
    <row r="391" spans="2:5" ht="15.75" thickBot="1">
      <c r="B391" s="225" t="s">
        <v>1215</v>
      </c>
      <c r="C391" s="226">
        <v>519532</v>
      </c>
      <c r="D391" s="225" t="s">
        <v>597</v>
      </c>
      <c r="E391" s="225" t="s">
        <v>619</v>
      </c>
    </row>
    <row r="392" spans="2:5" ht="15.75" thickBot="1">
      <c r="B392" s="225" t="s">
        <v>1216</v>
      </c>
      <c r="C392" s="226">
        <v>506159</v>
      </c>
      <c r="D392" s="225" t="s">
        <v>1217</v>
      </c>
      <c r="E392" s="225" t="s">
        <v>918</v>
      </c>
    </row>
    <row r="393" spans="2:5" ht="15.75" thickBot="1">
      <c r="B393" s="225" t="s">
        <v>1218</v>
      </c>
      <c r="C393" s="226">
        <v>530723</v>
      </c>
      <c r="D393" s="225" t="s">
        <v>597</v>
      </c>
      <c r="E393" s="225" t="s">
        <v>580</v>
      </c>
    </row>
    <row r="394" spans="2:5" ht="15.75" thickBot="1">
      <c r="B394" s="225" t="s">
        <v>1219</v>
      </c>
      <c r="C394" s="225" t="s">
        <v>597</v>
      </c>
      <c r="D394" s="225" t="s">
        <v>1220</v>
      </c>
      <c r="E394" s="225" t="s">
        <v>608</v>
      </c>
    </row>
    <row r="395" spans="2:5" ht="15.75" thickBot="1">
      <c r="B395" s="225" t="s">
        <v>1221</v>
      </c>
      <c r="C395" s="226">
        <v>526433</v>
      </c>
      <c r="D395" s="225" t="s">
        <v>597</v>
      </c>
      <c r="E395" s="225" t="s">
        <v>583</v>
      </c>
    </row>
    <row r="396" spans="2:5" ht="15.75" thickBot="1">
      <c r="B396" s="225" t="s">
        <v>1222</v>
      </c>
      <c r="C396" s="225" t="s">
        <v>597</v>
      </c>
      <c r="D396" s="225" t="s">
        <v>1223</v>
      </c>
      <c r="E396" s="225" t="s">
        <v>688</v>
      </c>
    </row>
    <row r="397" spans="2:5" ht="15.75" thickBot="1">
      <c r="B397" s="225" t="s">
        <v>1224</v>
      </c>
      <c r="C397" s="226">
        <v>540788</v>
      </c>
      <c r="D397" s="225" t="s">
        <v>597</v>
      </c>
      <c r="E397" s="225" t="s">
        <v>786</v>
      </c>
    </row>
    <row r="398" spans="2:5" ht="15.75" thickBot="1">
      <c r="B398" s="225" t="s">
        <v>1225</v>
      </c>
      <c r="C398" s="226">
        <v>500024</v>
      </c>
      <c r="D398" s="225" t="s">
        <v>1226</v>
      </c>
      <c r="E398" s="225" t="s">
        <v>1004</v>
      </c>
    </row>
    <row r="399" spans="2:5" ht="15.75" thickBot="1">
      <c r="B399" s="225" t="s">
        <v>1227</v>
      </c>
      <c r="C399" s="226">
        <v>500024</v>
      </c>
      <c r="D399" s="225" t="s">
        <v>1226</v>
      </c>
      <c r="E399" s="225" t="s">
        <v>1004</v>
      </c>
    </row>
    <row r="400" spans="2:5" ht="15.75" thickBot="1">
      <c r="B400" s="225" t="s">
        <v>1228</v>
      </c>
      <c r="C400" s="226">
        <v>507526</v>
      </c>
      <c r="D400" s="225" t="s">
        <v>597</v>
      </c>
      <c r="E400" s="225" t="s">
        <v>1229</v>
      </c>
    </row>
    <row r="401" spans="2:5" ht="15.75" thickBot="1">
      <c r="B401" s="225" t="s">
        <v>1230</v>
      </c>
      <c r="C401" s="226">
        <v>533138</v>
      </c>
      <c r="D401" s="225" t="s">
        <v>1231</v>
      </c>
      <c r="E401" s="225" t="s">
        <v>741</v>
      </c>
    </row>
    <row r="402" spans="2:5" ht="15.75" thickBot="1">
      <c r="B402" s="225" t="s">
        <v>1232</v>
      </c>
      <c r="C402" s="226">
        <v>540975</v>
      </c>
      <c r="D402" s="225" t="s">
        <v>1233</v>
      </c>
      <c r="E402" s="225" t="s">
        <v>786</v>
      </c>
    </row>
    <row r="403" spans="2:5" ht="15.75" thickBot="1">
      <c r="B403" s="225" t="s">
        <v>1234</v>
      </c>
      <c r="C403" s="226">
        <v>532493</v>
      </c>
      <c r="D403" s="225" t="s">
        <v>1235</v>
      </c>
      <c r="E403" s="225" t="s">
        <v>1070</v>
      </c>
    </row>
    <row r="404" spans="2:5" ht="15.75" thickBot="1">
      <c r="B404" s="225" t="s">
        <v>1236</v>
      </c>
      <c r="C404" s="226">
        <v>532830</v>
      </c>
      <c r="D404" s="225" t="s">
        <v>1237</v>
      </c>
      <c r="E404" s="225" t="s">
        <v>717</v>
      </c>
    </row>
    <row r="405" spans="2:5" ht="15.75" thickBot="1">
      <c r="B405" s="225" t="s">
        <v>1238</v>
      </c>
      <c r="C405" s="226">
        <v>506820</v>
      </c>
      <c r="D405" s="225" t="s">
        <v>1239</v>
      </c>
      <c r="E405" s="225" t="s">
        <v>635</v>
      </c>
    </row>
    <row r="406" spans="2:5" ht="15.75" thickBot="1">
      <c r="B406" s="225" t="s">
        <v>1240</v>
      </c>
      <c r="C406" s="226">
        <v>506820</v>
      </c>
      <c r="D406" s="225" t="s">
        <v>1239</v>
      </c>
      <c r="E406" s="225" t="s">
        <v>635</v>
      </c>
    </row>
    <row r="407" spans="2:5" ht="15.75" thickBot="1">
      <c r="B407" s="225" t="s">
        <v>1241</v>
      </c>
      <c r="C407" s="226">
        <v>540824</v>
      </c>
      <c r="D407" s="225" t="s">
        <v>1242</v>
      </c>
      <c r="E407" s="225" t="s">
        <v>591</v>
      </c>
    </row>
    <row r="408" spans="2:5" ht="15.75" thickBot="1">
      <c r="B408" s="225" t="s">
        <v>1243</v>
      </c>
      <c r="C408" s="226">
        <v>512433</v>
      </c>
      <c r="D408" s="225" t="s">
        <v>597</v>
      </c>
      <c r="E408" s="225" t="s">
        <v>619</v>
      </c>
    </row>
    <row r="409" spans="2:5" ht="15.75" thickBot="1">
      <c r="B409" s="225" t="s">
        <v>1244</v>
      </c>
      <c r="C409" s="226">
        <v>511144</v>
      </c>
      <c r="D409" s="225" t="s">
        <v>597</v>
      </c>
      <c r="E409" s="225" t="s">
        <v>583</v>
      </c>
    </row>
    <row r="410" spans="2:5" ht="15.75" thickBot="1">
      <c r="B410" s="225" t="s">
        <v>1245</v>
      </c>
      <c r="C410" s="226">
        <v>530187</v>
      </c>
      <c r="D410" s="225" t="s">
        <v>597</v>
      </c>
      <c r="E410" s="225" t="s">
        <v>614</v>
      </c>
    </row>
    <row r="411" spans="2:5" ht="15.75" thickBot="1">
      <c r="B411" s="225" t="s">
        <v>1246</v>
      </c>
      <c r="C411" s="226">
        <v>539099</v>
      </c>
      <c r="D411" s="225" t="s">
        <v>597</v>
      </c>
      <c r="E411" s="225" t="s">
        <v>683</v>
      </c>
    </row>
    <row r="412" spans="2:5" ht="15.75" thickBot="1">
      <c r="B412" s="225" t="s">
        <v>1247</v>
      </c>
      <c r="C412" s="226">
        <v>517429</v>
      </c>
      <c r="D412" s="225" t="s">
        <v>1248</v>
      </c>
      <c r="E412" s="225" t="s">
        <v>690</v>
      </c>
    </row>
    <row r="413" spans="2:5" ht="15.75" thickBot="1">
      <c r="B413" s="225" t="s">
        <v>1249</v>
      </c>
      <c r="C413" s="226">
        <v>538713</v>
      </c>
      <c r="D413" s="225" t="s">
        <v>597</v>
      </c>
      <c r="E413" s="225" t="s">
        <v>690</v>
      </c>
    </row>
    <row r="414" spans="2:5" ht="15.75" thickBot="1">
      <c r="B414" s="225" t="s">
        <v>1250</v>
      </c>
      <c r="C414" s="226">
        <v>526843</v>
      </c>
      <c r="D414" s="225" t="s">
        <v>597</v>
      </c>
      <c r="E414" s="225" t="s">
        <v>619</v>
      </c>
    </row>
    <row r="415" spans="2:5" ht="15.75" thickBot="1">
      <c r="B415" s="225" t="s">
        <v>1251</v>
      </c>
      <c r="C415" s="226">
        <v>532759</v>
      </c>
      <c r="D415" s="225" t="s">
        <v>1252</v>
      </c>
      <c r="E415" s="225" t="s">
        <v>995</v>
      </c>
    </row>
    <row r="416" spans="2:5" ht="15.75" thickBot="1">
      <c r="B416" s="225" t="s">
        <v>1253</v>
      </c>
      <c r="C416" s="226">
        <v>505029</v>
      </c>
      <c r="D416" s="225" t="s">
        <v>1254</v>
      </c>
      <c r="E416" s="225" t="s">
        <v>1255</v>
      </c>
    </row>
    <row r="417" spans="2:5" ht="15.75" thickBot="1">
      <c r="B417" s="225" t="s">
        <v>1256</v>
      </c>
      <c r="C417" s="226">
        <v>514394</v>
      </c>
      <c r="D417" s="225" t="s">
        <v>597</v>
      </c>
      <c r="E417" s="225" t="s">
        <v>711</v>
      </c>
    </row>
    <row r="418" spans="2:5" ht="15.75" thickBot="1">
      <c r="B418" s="225" t="s">
        <v>1257</v>
      </c>
      <c r="C418" s="226">
        <v>514394</v>
      </c>
      <c r="D418" s="225" t="s">
        <v>597</v>
      </c>
      <c r="E418" s="225" t="s">
        <v>711</v>
      </c>
    </row>
    <row r="419" spans="2:5" ht="15.75" thickBot="1">
      <c r="B419" s="225" t="s">
        <v>1258</v>
      </c>
      <c r="C419" s="226">
        <v>531795</v>
      </c>
      <c r="D419" s="225" t="s">
        <v>1259</v>
      </c>
      <c r="E419" s="225" t="s">
        <v>1255</v>
      </c>
    </row>
    <row r="420" spans="2:5" ht="15.75" thickBot="1">
      <c r="B420" s="225" t="s">
        <v>1260</v>
      </c>
      <c r="C420" s="226">
        <v>500027</v>
      </c>
      <c r="D420" s="225" t="s">
        <v>1261</v>
      </c>
      <c r="E420" s="225" t="s">
        <v>741</v>
      </c>
    </row>
    <row r="421" spans="2:5" ht="15.75" thickBot="1">
      <c r="B421" s="225" t="s">
        <v>1262</v>
      </c>
      <c r="C421" s="226">
        <v>500028</v>
      </c>
      <c r="D421" s="225" t="s">
        <v>597</v>
      </c>
      <c r="E421" s="225" t="s">
        <v>995</v>
      </c>
    </row>
    <row r="422" spans="2:5" ht="15.75" thickBot="1">
      <c r="B422" s="225" t="s">
        <v>1263</v>
      </c>
      <c r="C422" s="226">
        <v>500028</v>
      </c>
      <c r="D422" s="225" t="s">
        <v>597</v>
      </c>
      <c r="E422" s="225" t="s">
        <v>995</v>
      </c>
    </row>
    <row r="423" spans="2:5" ht="15.75" thickBot="1">
      <c r="B423" s="225" t="s">
        <v>1264</v>
      </c>
      <c r="C423" s="226">
        <v>540611</v>
      </c>
      <c r="D423" s="225" t="s">
        <v>1265</v>
      </c>
      <c r="E423" s="225" t="s">
        <v>915</v>
      </c>
    </row>
    <row r="424" spans="2:5" ht="15.75" thickBot="1">
      <c r="B424" s="225" t="s">
        <v>1266</v>
      </c>
      <c r="C424" s="226">
        <v>532459</v>
      </c>
      <c r="D424" s="225" t="s">
        <v>597</v>
      </c>
      <c r="E424" s="225" t="s">
        <v>612</v>
      </c>
    </row>
    <row r="425" spans="2:5" ht="15.75" thickBot="1">
      <c r="B425" s="225" t="s">
        <v>1267</v>
      </c>
      <c r="C425" s="225" t="s">
        <v>597</v>
      </c>
      <c r="D425" s="225" t="s">
        <v>1268</v>
      </c>
      <c r="E425" s="225" t="s">
        <v>608</v>
      </c>
    </row>
    <row r="426" spans="2:5" ht="15.75" thickBot="1">
      <c r="B426" s="225" t="s">
        <v>1269</v>
      </c>
      <c r="C426" s="226">
        <v>532668</v>
      </c>
      <c r="D426" s="225" t="s">
        <v>1270</v>
      </c>
      <c r="E426" s="225" t="s">
        <v>690</v>
      </c>
    </row>
    <row r="427" spans="2:5" ht="15.75" thickBot="1">
      <c r="B427" s="225" t="s">
        <v>1271</v>
      </c>
      <c r="C427" s="226">
        <v>530233</v>
      </c>
      <c r="D427" s="225" t="s">
        <v>597</v>
      </c>
      <c r="E427" s="225" t="s">
        <v>635</v>
      </c>
    </row>
    <row r="428" spans="2:5" ht="15.75" thickBot="1">
      <c r="B428" s="225" t="s">
        <v>1272</v>
      </c>
      <c r="C428" s="226">
        <v>524804</v>
      </c>
      <c r="D428" s="225" t="s">
        <v>1273</v>
      </c>
      <c r="E428" s="225" t="s">
        <v>635</v>
      </c>
    </row>
    <row r="429" spans="2:5" ht="15.75" thickBot="1">
      <c r="B429" s="225" t="s">
        <v>1274</v>
      </c>
      <c r="C429" s="226">
        <v>531336</v>
      </c>
      <c r="D429" s="225" t="s">
        <v>597</v>
      </c>
      <c r="E429" s="225" t="s">
        <v>1275</v>
      </c>
    </row>
    <row r="430" spans="2:5" ht="15.75" thickBot="1">
      <c r="B430" s="225" t="s">
        <v>1276</v>
      </c>
      <c r="C430" s="226">
        <v>509009</v>
      </c>
      <c r="D430" s="225" t="s">
        <v>1277</v>
      </c>
      <c r="E430" s="225" t="s">
        <v>619</v>
      </c>
    </row>
    <row r="431" spans="2:5" ht="15.75" thickBot="1">
      <c r="B431" s="225" t="s">
        <v>1278</v>
      </c>
      <c r="C431" s="226">
        <v>522005</v>
      </c>
      <c r="D431" s="225" t="s">
        <v>597</v>
      </c>
      <c r="E431" s="225" t="s">
        <v>605</v>
      </c>
    </row>
    <row r="432" spans="2:5" ht="15.75" thickBot="1">
      <c r="B432" s="225" t="s">
        <v>1279</v>
      </c>
      <c r="C432" s="226">
        <v>539177</v>
      </c>
      <c r="D432" s="225" t="s">
        <v>597</v>
      </c>
      <c r="E432" s="225" t="s">
        <v>614</v>
      </c>
    </row>
    <row r="433" spans="2:5" ht="15.75" thickBot="1">
      <c r="B433" s="225" t="s">
        <v>1280</v>
      </c>
      <c r="C433" s="226">
        <v>531994</v>
      </c>
      <c r="D433" s="225" t="s">
        <v>597</v>
      </c>
      <c r="E433" s="225" t="s">
        <v>952</v>
      </c>
    </row>
    <row r="434" spans="2:5" ht="15.75" thickBot="1">
      <c r="B434" s="225" t="s">
        <v>1281</v>
      </c>
      <c r="C434" s="226">
        <v>531994</v>
      </c>
      <c r="D434" s="225" t="s">
        <v>597</v>
      </c>
      <c r="E434" s="225" t="s">
        <v>952</v>
      </c>
    </row>
    <row r="435" spans="2:5" ht="15.75" thickBot="1">
      <c r="B435" s="225" t="s">
        <v>1282</v>
      </c>
      <c r="C435" s="226">
        <v>532797</v>
      </c>
      <c r="D435" s="225" t="s">
        <v>1283</v>
      </c>
      <c r="E435" s="225" t="s">
        <v>952</v>
      </c>
    </row>
    <row r="436" spans="2:5" ht="15.75" thickBot="1">
      <c r="B436" s="225" t="s">
        <v>1284</v>
      </c>
      <c r="C436" s="226">
        <v>500029</v>
      </c>
      <c r="D436" s="225" t="s">
        <v>1285</v>
      </c>
      <c r="E436" s="225" t="s">
        <v>952</v>
      </c>
    </row>
    <row r="437" spans="2:5" ht="15.75" thickBot="1">
      <c r="B437" s="225" t="s">
        <v>1286</v>
      </c>
      <c r="C437" s="226">
        <v>500029</v>
      </c>
      <c r="D437" s="225" t="s">
        <v>1285</v>
      </c>
      <c r="E437" s="225" t="s">
        <v>952</v>
      </c>
    </row>
    <row r="438" spans="2:5" ht="15.75" thickBot="1">
      <c r="B438" s="225" t="s">
        <v>1287</v>
      </c>
      <c r="C438" s="226">
        <v>505036</v>
      </c>
      <c r="D438" s="225" t="s">
        <v>597</v>
      </c>
      <c r="E438" s="225" t="s">
        <v>952</v>
      </c>
    </row>
    <row r="439" spans="2:5" ht="15.75" thickBot="1">
      <c r="B439" s="225" t="s">
        <v>1288</v>
      </c>
      <c r="C439" s="226">
        <v>505010</v>
      </c>
      <c r="D439" s="225" t="s">
        <v>1289</v>
      </c>
      <c r="E439" s="225" t="s">
        <v>952</v>
      </c>
    </row>
    <row r="440" spans="2:5" ht="15.75" thickBot="1">
      <c r="B440" s="225" t="s">
        <v>1290</v>
      </c>
      <c r="C440" s="226">
        <v>520119</v>
      </c>
      <c r="D440" s="225" t="s">
        <v>1291</v>
      </c>
      <c r="E440" s="225" t="s">
        <v>952</v>
      </c>
    </row>
    <row r="441" spans="2:5" ht="15.75" thickBot="1">
      <c r="B441" s="225" t="s">
        <v>1292</v>
      </c>
      <c r="C441" s="226">
        <v>512277</v>
      </c>
      <c r="D441" s="225" t="s">
        <v>597</v>
      </c>
      <c r="E441" s="225" t="s">
        <v>918</v>
      </c>
    </row>
    <row r="442" spans="2:5" ht="15.75" thickBot="1">
      <c r="B442" s="225" t="s">
        <v>1293</v>
      </c>
      <c r="C442" s="226">
        <v>780004</v>
      </c>
      <c r="D442" s="225" t="s">
        <v>597</v>
      </c>
      <c r="E442" s="225" t="s">
        <v>688</v>
      </c>
    </row>
    <row r="443" spans="2:5" ht="15.75" thickBot="1">
      <c r="B443" s="225" t="s">
        <v>1294</v>
      </c>
      <c r="C443" s="226">
        <v>540649</v>
      </c>
      <c r="D443" s="225" t="s">
        <v>1295</v>
      </c>
      <c r="E443" s="225" t="s">
        <v>1296</v>
      </c>
    </row>
    <row r="444" spans="2:5" ht="15.75" thickBot="1">
      <c r="B444" s="225" t="s">
        <v>1297</v>
      </c>
      <c r="C444" s="226">
        <v>531310</v>
      </c>
      <c r="D444" s="225" t="s">
        <v>597</v>
      </c>
      <c r="E444" s="225" t="s">
        <v>580</v>
      </c>
    </row>
    <row r="445" spans="2:5" ht="15.75" thickBot="1">
      <c r="B445" s="225" t="s">
        <v>1298</v>
      </c>
      <c r="C445" s="226">
        <v>512149</v>
      </c>
      <c r="D445" s="225" t="s">
        <v>597</v>
      </c>
      <c r="E445" s="225" t="s">
        <v>690</v>
      </c>
    </row>
    <row r="446" spans="2:5" ht="15.75" thickBot="1">
      <c r="B446" s="225" t="s">
        <v>1299</v>
      </c>
      <c r="C446" s="226">
        <v>532406</v>
      </c>
      <c r="D446" s="225" t="s">
        <v>597</v>
      </c>
      <c r="E446" s="225" t="s">
        <v>743</v>
      </c>
    </row>
    <row r="447" spans="2:5" ht="15.75" thickBot="1">
      <c r="B447" s="225" t="s">
        <v>1300</v>
      </c>
      <c r="C447" s="226">
        <v>512573</v>
      </c>
      <c r="D447" s="225" t="s">
        <v>1301</v>
      </c>
      <c r="E447" s="225" t="s">
        <v>677</v>
      </c>
    </row>
    <row r="448" spans="2:5" ht="15.75" thickBot="1">
      <c r="B448" s="225" t="s">
        <v>1302</v>
      </c>
      <c r="C448" s="226">
        <v>540376</v>
      </c>
      <c r="D448" s="225" t="s">
        <v>1303</v>
      </c>
      <c r="E448" s="225" t="s">
        <v>766</v>
      </c>
    </row>
    <row r="449" spans="2:5" ht="15.75" thickBot="1">
      <c r="B449" s="225" t="s">
        <v>1304</v>
      </c>
      <c r="C449" s="225" t="s">
        <v>597</v>
      </c>
      <c r="D449" s="225" t="s">
        <v>1305</v>
      </c>
      <c r="E449" s="225" t="s">
        <v>608</v>
      </c>
    </row>
    <row r="450" spans="2:5" ht="15.75" thickBot="1">
      <c r="B450" s="225" t="s">
        <v>1306</v>
      </c>
      <c r="C450" s="226">
        <v>539288</v>
      </c>
      <c r="D450" s="225" t="s">
        <v>597</v>
      </c>
      <c r="E450" s="225" t="s">
        <v>757</v>
      </c>
    </row>
    <row r="451" spans="2:5" ht="15.75" thickBot="1">
      <c r="B451" s="225" t="s">
        <v>1307</v>
      </c>
      <c r="C451" s="226">
        <v>523896</v>
      </c>
      <c r="D451" s="225" t="s">
        <v>597</v>
      </c>
      <c r="E451" s="225" t="s">
        <v>619</v>
      </c>
    </row>
    <row r="452" spans="2:5" ht="15.75" thickBot="1">
      <c r="B452" s="225" t="s">
        <v>1308</v>
      </c>
      <c r="C452" s="226">
        <v>523896</v>
      </c>
      <c r="D452" s="225" t="s">
        <v>597</v>
      </c>
      <c r="E452" s="225" t="s">
        <v>619</v>
      </c>
    </row>
    <row r="453" spans="2:5" ht="15.75" thickBot="1">
      <c r="B453" s="225" t="s">
        <v>1309</v>
      </c>
      <c r="C453" s="226">
        <v>512109</v>
      </c>
      <c r="D453" s="225" t="s">
        <v>597</v>
      </c>
      <c r="E453" s="225" t="s">
        <v>619</v>
      </c>
    </row>
    <row r="454" spans="2:5" ht="15.75" thickBot="1">
      <c r="B454" s="225" t="s">
        <v>1310</v>
      </c>
      <c r="C454" s="226">
        <v>531541</v>
      </c>
      <c r="D454" s="225" t="s">
        <v>597</v>
      </c>
      <c r="E454" s="225" t="s">
        <v>645</v>
      </c>
    </row>
    <row r="455" spans="2:5" ht="15.75" thickBot="1">
      <c r="B455" s="225" t="s">
        <v>1311</v>
      </c>
      <c r="C455" s="225" t="s">
        <v>597</v>
      </c>
      <c r="D455" s="225" t="s">
        <v>1312</v>
      </c>
      <c r="E455" s="225" t="s">
        <v>608</v>
      </c>
    </row>
    <row r="456" spans="2:5" ht="15.75" thickBot="1">
      <c r="B456" s="225" t="s">
        <v>1313</v>
      </c>
      <c r="C456" s="226">
        <v>511589</v>
      </c>
      <c r="D456" s="225" t="s">
        <v>597</v>
      </c>
      <c r="E456" s="225" t="s">
        <v>614</v>
      </c>
    </row>
    <row r="457" spans="2:5" ht="15.75" thickBot="1">
      <c r="B457" s="225" t="s">
        <v>1314</v>
      </c>
      <c r="C457" s="225" t="s">
        <v>597</v>
      </c>
      <c r="D457" s="225" t="s">
        <v>1315</v>
      </c>
      <c r="E457" s="225" t="s">
        <v>608</v>
      </c>
    </row>
    <row r="458" spans="2:5" ht="15.75" thickBot="1">
      <c r="B458" s="225" t="s">
        <v>1316</v>
      </c>
      <c r="C458" s="226">
        <v>519105</v>
      </c>
      <c r="D458" s="225" t="s">
        <v>1317</v>
      </c>
      <c r="E458" s="225" t="s">
        <v>795</v>
      </c>
    </row>
    <row r="459" spans="2:5" ht="15.75" thickBot="1">
      <c r="B459" s="225" t="s">
        <v>1318</v>
      </c>
      <c r="C459" s="226">
        <v>504390</v>
      </c>
      <c r="D459" s="225" t="s">
        <v>597</v>
      </c>
      <c r="E459" s="225" t="s">
        <v>580</v>
      </c>
    </row>
    <row r="460" spans="2:5" ht="15.75" thickBot="1">
      <c r="B460" s="225" t="s">
        <v>1319</v>
      </c>
      <c r="C460" s="226">
        <v>513642</v>
      </c>
      <c r="D460" s="225" t="s">
        <v>597</v>
      </c>
      <c r="E460" s="225" t="s">
        <v>717</v>
      </c>
    </row>
    <row r="461" spans="2:5" ht="15.75" thickBot="1">
      <c r="B461" s="225" t="s">
        <v>1320</v>
      </c>
      <c r="C461" s="226">
        <v>532215</v>
      </c>
      <c r="D461" s="225" t="s">
        <v>1321</v>
      </c>
      <c r="E461" s="225" t="s">
        <v>915</v>
      </c>
    </row>
    <row r="462" spans="2:5" ht="15.75" thickBot="1">
      <c r="B462" s="225" t="s">
        <v>1322</v>
      </c>
      <c r="C462" s="226">
        <v>532395</v>
      </c>
      <c r="D462" s="225" t="s">
        <v>1323</v>
      </c>
      <c r="E462" s="225" t="s">
        <v>927</v>
      </c>
    </row>
    <row r="463" spans="2:5" ht="15.75" thickBot="1">
      <c r="B463" s="225" t="s">
        <v>1324</v>
      </c>
      <c r="C463" s="226">
        <v>542285</v>
      </c>
      <c r="D463" s="225" t="s">
        <v>1325</v>
      </c>
      <c r="E463" s="225" t="s">
        <v>612</v>
      </c>
    </row>
    <row r="464" spans="2:5" ht="15.75" thickBot="1">
      <c r="B464" s="225" t="s">
        <v>1326</v>
      </c>
      <c r="C464" s="226">
        <v>505506</v>
      </c>
      <c r="D464" s="225" t="s">
        <v>597</v>
      </c>
      <c r="E464" s="225" t="s">
        <v>690</v>
      </c>
    </row>
    <row r="465" spans="2:5" ht="15.75" thickBot="1">
      <c r="B465" s="225" t="s">
        <v>1327</v>
      </c>
      <c r="C465" s="226">
        <v>523850</v>
      </c>
      <c r="D465" s="225" t="s">
        <v>597</v>
      </c>
      <c r="E465" s="225" t="s">
        <v>605</v>
      </c>
    </row>
    <row r="466" spans="2:5" ht="15.75" thickBot="1">
      <c r="B466" s="225" t="s">
        <v>1328</v>
      </c>
      <c r="C466" s="226">
        <v>523168</v>
      </c>
      <c r="D466" s="225" t="s">
        <v>597</v>
      </c>
      <c r="E466" s="225" t="s">
        <v>811</v>
      </c>
    </row>
    <row r="467" spans="2:5" ht="15.75" thickBot="1">
      <c r="B467" s="225" t="s">
        <v>1329</v>
      </c>
      <c r="C467" s="226">
        <v>508933</v>
      </c>
      <c r="D467" s="225" t="s">
        <v>1330</v>
      </c>
      <c r="E467" s="225" t="s">
        <v>612</v>
      </c>
    </row>
    <row r="468" spans="2:5" ht="15.75" thickBot="1">
      <c r="B468" s="225" t="s">
        <v>1331</v>
      </c>
      <c r="C468" s="226">
        <v>512063</v>
      </c>
      <c r="D468" s="225" t="s">
        <v>597</v>
      </c>
      <c r="E468" s="225" t="s">
        <v>619</v>
      </c>
    </row>
    <row r="469" spans="2:5" ht="15.75" thickBot="1">
      <c r="B469" s="225" t="s">
        <v>1332</v>
      </c>
      <c r="C469" s="226">
        <v>536965</v>
      </c>
      <c r="D469" s="225" t="s">
        <v>597</v>
      </c>
      <c r="E469" s="225" t="s">
        <v>614</v>
      </c>
    </row>
    <row r="470" spans="2:5" ht="15.75" thickBot="1">
      <c r="B470" s="225" t="s">
        <v>1333</v>
      </c>
      <c r="C470" s="226">
        <v>508136</v>
      </c>
      <c r="D470" s="225" t="s">
        <v>597</v>
      </c>
      <c r="E470" s="225" t="s">
        <v>1004</v>
      </c>
    </row>
    <row r="471" spans="2:5" ht="15.75" thickBot="1">
      <c r="B471" s="225" t="s">
        <v>1334</v>
      </c>
      <c r="C471" s="226">
        <v>532507</v>
      </c>
      <c r="D471" s="225" t="s">
        <v>1335</v>
      </c>
      <c r="E471" s="225" t="s">
        <v>1336</v>
      </c>
    </row>
    <row r="472" spans="2:5" ht="15.75" thickBot="1">
      <c r="B472" s="225" t="s">
        <v>1337</v>
      </c>
      <c r="C472" s="226">
        <v>537766</v>
      </c>
      <c r="D472" s="225" t="s">
        <v>597</v>
      </c>
      <c r="E472" s="225" t="s">
        <v>895</v>
      </c>
    </row>
    <row r="473" spans="2:5" ht="15.75" thickBot="1">
      <c r="B473" s="225" t="s">
        <v>1338</v>
      </c>
      <c r="C473" s="226">
        <v>532719</v>
      </c>
      <c r="D473" s="225" t="s">
        <v>1339</v>
      </c>
      <c r="E473" s="225" t="s">
        <v>683</v>
      </c>
    </row>
    <row r="474" spans="2:5" ht="15.75" thickBot="1">
      <c r="B474" s="225" t="s">
        <v>1340</v>
      </c>
      <c r="C474" s="226">
        <v>523019</v>
      </c>
      <c r="D474" s="225" t="s">
        <v>597</v>
      </c>
      <c r="E474" s="225" t="s">
        <v>580</v>
      </c>
    </row>
    <row r="475" spans="2:5" ht="15.75" thickBot="1">
      <c r="B475" s="225" t="s">
        <v>1341</v>
      </c>
      <c r="C475" s="226">
        <v>523186</v>
      </c>
      <c r="D475" s="225" t="s">
        <v>597</v>
      </c>
      <c r="E475" s="225" t="s">
        <v>591</v>
      </c>
    </row>
    <row r="476" spans="2:5" ht="15.75" thickBot="1">
      <c r="B476" s="225" t="s">
        <v>1342</v>
      </c>
      <c r="C476" s="226">
        <v>523186</v>
      </c>
      <c r="D476" s="225" t="s">
        <v>597</v>
      </c>
      <c r="E476" s="225" t="s">
        <v>591</v>
      </c>
    </row>
    <row r="477" spans="2:5" ht="15.75" thickBot="1">
      <c r="B477" s="225" t="s">
        <v>1343</v>
      </c>
      <c r="C477" s="225" t="s">
        <v>597</v>
      </c>
      <c r="D477" s="225" t="s">
        <v>1344</v>
      </c>
      <c r="E477" s="225" t="s">
        <v>608</v>
      </c>
    </row>
    <row r="478" spans="2:5" ht="15.75" thickBot="1">
      <c r="B478" s="225" t="s">
        <v>1345</v>
      </c>
      <c r="C478" s="226">
        <v>542206</v>
      </c>
      <c r="D478" s="225" t="s">
        <v>1346</v>
      </c>
      <c r="E478" s="225" t="s">
        <v>963</v>
      </c>
    </row>
    <row r="479" spans="2:5" ht="15.75" thickBot="1">
      <c r="B479" s="225" t="s">
        <v>1347</v>
      </c>
      <c r="C479" s="226">
        <v>531268</v>
      </c>
      <c r="D479" s="225" t="s">
        <v>597</v>
      </c>
      <c r="E479" s="225" t="s">
        <v>690</v>
      </c>
    </row>
    <row r="480" spans="2:5" ht="15.75" thickBot="1">
      <c r="B480" s="225" t="s">
        <v>1348</v>
      </c>
      <c r="C480" s="226">
        <v>532380</v>
      </c>
      <c r="D480" s="225" t="s">
        <v>597</v>
      </c>
      <c r="E480" s="225" t="s">
        <v>600</v>
      </c>
    </row>
    <row r="481" spans="2:5" ht="15.75" thickBot="1">
      <c r="B481" s="225" t="s">
        <v>1349</v>
      </c>
      <c r="C481" s="226">
        <v>524516</v>
      </c>
      <c r="D481" s="225" t="s">
        <v>597</v>
      </c>
      <c r="E481" s="225" t="s">
        <v>635</v>
      </c>
    </row>
    <row r="482" spans="2:5" ht="15.75" thickBot="1">
      <c r="B482" s="225" t="s">
        <v>1350</v>
      </c>
      <c r="C482" s="226">
        <v>532989</v>
      </c>
      <c r="D482" s="225" t="s">
        <v>1351</v>
      </c>
      <c r="E482" s="225" t="s">
        <v>635</v>
      </c>
    </row>
    <row r="483" spans="2:5" ht="15.75" thickBot="1">
      <c r="B483" s="225" t="s">
        <v>1352</v>
      </c>
      <c r="C483" s="226">
        <v>530197</v>
      </c>
      <c r="D483" s="225" t="s">
        <v>597</v>
      </c>
      <c r="E483" s="225" t="s">
        <v>757</v>
      </c>
    </row>
    <row r="484" spans="2:5" ht="15.75" thickBot="1">
      <c r="B484" s="225" t="s">
        <v>1353</v>
      </c>
      <c r="C484" s="226">
        <v>511724</v>
      </c>
      <c r="D484" s="225" t="s">
        <v>597</v>
      </c>
      <c r="E484" s="225" t="s">
        <v>614</v>
      </c>
    </row>
    <row r="485" spans="2:5" ht="15.75" thickBot="1">
      <c r="B485" s="225" t="s">
        <v>1354</v>
      </c>
      <c r="C485" s="226">
        <v>532977</v>
      </c>
      <c r="D485" s="225" t="s">
        <v>1355</v>
      </c>
      <c r="E485" s="225" t="s">
        <v>1255</v>
      </c>
    </row>
    <row r="486" spans="2:5" ht="15.75" thickBot="1">
      <c r="B486" s="225" t="s">
        <v>1356</v>
      </c>
      <c r="C486" s="225" t="s">
        <v>597</v>
      </c>
      <c r="D486" s="225" t="s">
        <v>1357</v>
      </c>
      <c r="E486" s="225" t="s">
        <v>779</v>
      </c>
    </row>
    <row r="487" spans="2:5" ht="15.75" thickBot="1">
      <c r="B487" s="225" t="s">
        <v>1358</v>
      </c>
      <c r="C487" s="226">
        <v>533229</v>
      </c>
      <c r="D487" s="225" t="s">
        <v>1359</v>
      </c>
      <c r="E487" s="225" t="s">
        <v>779</v>
      </c>
    </row>
    <row r="488" spans="2:5" ht="15.75" thickBot="1">
      <c r="B488" s="225" t="s">
        <v>1360</v>
      </c>
      <c r="C488" s="226">
        <v>500031</v>
      </c>
      <c r="D488" s="225" t="s">
        <v>1361</v>
      </c>
      <c r="E488" s="225" t="s">
        <v>1362</v>
      </c>
    </row>
    <row r="489" spans="2:5" ht="15.75" thickBot="1">
      <c r="B489" s="225" t="s">
        <v>1363</v>
      </c>
      <c r="C489" s="226">
        <v>500034</v>
      </c>
      <c r="D489" s="225" t="s">
        <v>1364</v>
      </c>
      <c r="E489" s="225" t="s">
        <v>614</v>
      </c>
    </row>
    <row r="490" spans="2:5" ht="15.75" thickBot="1">
      <c r="B490" s="225" t="s">
        <v>1365</v>
      </c>
      <c r="C490" s="226">
        <v>532978</v>
      </c>
      <c r="D490" s="225" t="s">
        <v>1366</v>
      </c>
      <c r="E490" s="225" t="s">
        <v>763</v>
      </c>
    </row>
    <row r="491" spans="2:5" ht="15.75" thickBot="1">
      <c r="B491" s="225" t="s">
        <v>1367</v>
      </c>
      <c r="C491" s="226">
        <v>512261</v>
      </c>
      <c r="D491" s="225" t="s">
        <v>597</v>
      </c>
      <c r="E491" s="225" t="s">
        <v>619</v>
      </c>
    </row>
    <row r="492" spans="2:5" ht="15.75" thickBot="1">
      <c r="B492" s="225" t="s">
        <v>1368</v>
      </c>
      <c r="C492" s="226">
        <v>539872</v>
      </c>
      <c r="D492" s="225" t="s">
        <v>597</v>
      </c>
      <c r="E492" s="225" t="s">
        <v>635</v>
      </c>
    </row>
    <row r="493" spans="2:5" ht="15.75" thickBot="1">
      <c r="B493" s="225" t="s">
        <v>1369</v>
      </c>
      <c r="C493" s="226">
        <v>500032</v>
      </c>
      <c r="D493" s="225" t="s">
        <v>1370</v>
      </c>
      <c r="E493" s="225" t="s">
        <v>1296</v>
      </c>
    </row>
    <row r="494" spans="2:5" ht="15.75" thickBot="1">
      <c r="B494" s="225" t="s">
        <v>1371</v>
      </c>
      <c r="C494" s="226">
        <v>500490</v>
      </c>
      <c r="D494" s="225" t="s">
        <v>1372</v>
      </c>
      <c r="E494" s="225" t="s">
        <v>763</v>
      </c>
    </row>
    <row r="495" spans="2:5" ht="15.75" thickBot="1">
      <c r="B495" s="225" t="s">
        <v>1373</v>
      </c>
      <c r="C495" s="226">
        <v>507944</v>
      </c>
      <c r="D495" s="225" t="s">
        <v>597</v>
      </c>
      <c r="E495" s="225" t="s">
        <v>605</v>
      </c>
    </row>
    <row r="496" spans="2:5" ht="15.75" thickBot="1">
      <c r="B496" s="225" t="s">
        <v>1374</v>
      </c>
      <c r="C496" s="226">
        <v>511139</v>
      </c>
      <c r="D496" s="225" t="s">
        <v>597</v>
      </c>
      <c r="E496" s="225" t="s">
        <v>1018</v>
      </c>
    </row>
    <row r="497" spans="2:5" ht="15.75" thickBot="1">
      <c r="B497" s="225" t="s">
        <v>1375</v>
      </c>
      <c r="C497" s="226">
        <v>524824</v>
      </c>
      <c r="D497" s="225" t="s">
        <v>1376</v>
      </c>
      <c r="E497" s="225" t="s">
        <v>635</v>
      </c>
    </row>
    <row r="498" spans="2:5" ht="15.75" thickBot="1">
      <c r="B498" s="225" t="s">
        <v>1377</v>
      </c>
      <c r="C498" s="226">
        <v>530999</v>
      </c>
      <c r="D498" s="225" t="s">
        <v>1378</v>
      </c>
      <c r="E498" s="225" t="s">
        <v>645</v>
      </c>
    </row>
    <row r="499" spans="2:5" ht="15.75" thickBot="1">
      <c r="B499" s="225" t="s">
        <v>1379</v>
      </c>
      <c r="C499" s="226">
        <v>532382</v>
      </c>
      <c r="D499" s="225" t="s">
        <v>1380</v>
      </c>
      <c r="E499" s="225" t="s">
        <v>1336</v>
      </c>
    </row>
    <row r="500" spans="2:5" ht="15.75" thickBot="1">
      <c r="B500" s="225" t="s">
        <v>1381</v>
      </c>
      <c r="C500" s="226">
        <v>513142</v>
      </c>
      <c r="D500" s="225" t="s">
        <v>597</v>
      </c>
      <c r="E500" s="225" t="s">
        <v>629</v>
      </c>
    </row>
    <row r="501" spans="2:5" ht="15.75" thickBot="1">
      <c r="B501" s="225" t="s">
        <v>1382</v>
      </c>
      <c r="C501" s="225" t="s">
        <v>597</v>
      </c>
      <c r="D501" s="225" t="s">
        <v>1383</v>
      </c>
      <c r="E501" s="225" t="s">
        <v>1384</v>
      </c>
    </row>
    <row r="502" spans="2:5" ht="15.75" thickBot="1">
      <c r="B502" s="225" t="s">
        <v>1385</v>
      </c>
      <c r="C502" s="226">
        <v>539834</v>
      </c>
      <c r="D502" s="225" t="s">
        <v>597</v>
      </c>
      <c r="E502" s="225" t="s">
        <v>619</v>
      </c>
    </row>
    <row r="503" spans="2:5" ht="15.75" thickBot="1">
      <c r="B503" s="225" t="s">
        <v>1386</v>
      </c>
      <c r="C503" s="226">
        <v>502355</v>
      </c>
      <c r="D503" s="225" t="s">
        <v>1387</v>
      </c>
      <c r="E503" s="225" t="s">
        <v>1077</v>
      </c>
    </row>
    <row r="504" spans="2:5" ht="15.75" thickBot="1">
      <c r="B504" s="225" t="s">
        <v>1388</v>
      </c>
      <c r="C504" s="226">
        <v>539251</v>
      </c>
      <c r="D504" s="225" t="s">
        <v>1389</v>
      </c>
      <c r="E504" s="225" t="s">
        <v>792</v>
      </c>
    </row>
    <row r="505" spans="2:5" ht="15.75" thickBot="1">
      <c r="B505" s="225" t="s">
        <v>1390</v>
      </c>
      <c r="C505" s="226">
        <v>500102</v>
      </c>
      <c r="D505" s="225" t="s">
        <v>1391</v>
      </c>
      <c r="E505" s="225" t="s">
        <v>591</v>
      </c>
    </row>
    <row r="506" spans="2:5" ht="15.75" thickBot="1">
      <c r="B506" s="225" t="s">
        <v>1392</v>
      </c>
      <c r="C506" s="226">
        <v>523319</v>
      </c>
      <c r="D506" s="225" t="s">
        <v>1393</v>
      </c>
      <c r="E506" s="225" t="s">
        <v>586</v>
      </c>
    </row>
    <row r="507" spans="2:5" ht="15.75" thickBot="1">
      <c r="B507" s="225" t="s">
        <v>1394</v>
      </c>
      <c r="C507" s="226">
        <v>532485</v>
      </c>
      <c r="D507" s="225" t="s">
        <v>597</v>
      </c>
      <c r="E507" s="225" t="s">
        <v>614</v>
      </c>
    </row>
    <row r="508" spans="2:5" ht="15.75" thickBot="1">
      <c r="B508" s="225" t="s">
        <v>1395</v>
      </c>
      <c r="C508" s="226">
        <v>500038</v>
      </c>
      <c r="D508" s="225" t="s">
        <v>1396</v>
      </c>
      <c r="E508" s="225" t="s">
        <v>1296</v>
      </c>
    </row>
    <row r="509" spans="2:5" ht="15.75" thickBot="1">
      <c r="B509" s="225" t="s">
        <v>1397</v>
      </c>
      <c r="C509" s="226">
        <v>520127</v>
      </c>
      <c r="D509" s="225" t="s">
        <v>597</v>
      </c>
      <c r="E509" s="225" t="s">
        <v>669</v>
      </c>
    </row>
    <row r="510" spans="2:5" ht="15.75" thickBot="1">
      <c r="B510" s="225" t="s">
        <v>1398</v>
      </c>
      <c r="C510" s="226">
        <v>519295</v>
      </c>
      <c r="D510" s="225" t="s">
        <v>597</v>
      </c>
      <c r="E510" s="225" t="s">
        <v>657</v>
      </c>
    </row>
    <row r="511" spans="2:5" ht="15.75" thickBot="1">
      <c r="B511" s="225" t="s">
        <v>1399</v>
      </c>
      <c r="C511" s="226">
        <v>531591</v>
      </c>
      <c r="D511" s="225" t="s">
        <v>597</v>
      </c>
      <c r="E511" s="225" t="s">
        <v>614</v>
      </c>
    </row>
    <row r="512" spans="2:5" ht="15.75" thickBot="1">
      <c r="B512" s="225" t="s">
        <v>1400</v>
      </c>
      <c r="C512" s="226">
        <v>526849</v>
      </c>
      <c r="D512" s="225" t="s">
        <v>1401</v>
      </c>
      <c r="E512" s="225" t="s">
        <v>711</v>
      </c>
    </row>
    <row r="513" spans="2:5" ht="15.75" thickBot="1">
      <c r="B513" s="225" t="s">
        <v>1402</v>
      </c>
      <c r="C513" s="226">
        <v>509053</v>
      </c>
      <c r="D513" s="225" t="s">
        <v>597</v>
      </c>
      <c r="E513" s="225" t="s">
        <v>1018</v>
      </c>
    </row>
    <row r="514" spans="2:5" ht="15.75" thickBot="1">
      <c r="B514" s="225" t="s">
        <v>1403</v>
      </c>
      <c r="C514" s="226">
        <v>500039</v>
      </c>
      <c r="D514" s="225" t="s">
        <v>1404</v>
      </c>
      <c r="E514" s="225" t="s">
        <v>952</v>
      </c>
    </row>
    <row r="515" spans="2:5" ht="15.75" thickBot="1">
      <c r="B515" s="225" t="s">
        <v>1405</v>
      </c>
      <c r="C515" s="226">
        <v>541153</v>
      </c>
      <c r="D515" s="225" t="s">
        <v>1406</v>
      </c>
      <c r="E515" s="225" t="s">
        <v>915</v>
      </c>
    </row>
    <row r="516" spans="2:5" ht="15.75" thickBot="1">
      <c r="B516" s="225" t="s">
        <v>1407</v>
      </c>
      <c r="C516" s="226">
        <v>532946</v>
      </c>
      <c r="D516" s="225" t="s">
        <v>1408</v>
      </c>
      <c r="E516" s="225" t="s">
        <v>711</v>
      </c>
    </row>
    <row r="517" spans="2:5" ht="15.75" thickBot="1">
      <c r="B517" s="225" t="s">
        <v>1409</v>
      </c>
      <c r="C517" s="226">
        <v>539120</v>
      </c>
      <c r="D517" s="225" t="s">
        <v>597</v>
      </c>
      <c r="E517" s="225" t="s">
        <v>834</v>
      </c>
    </row>
    <row r="518" spans="2:5" ht="15.75" thickBot="1">
      <c r="B518" s="225" t="s">
        <v>1410</v>
      </c>
      <c r="C518" s="226">
        <v>532134</v>
      </c>
      <c r="D518" s="225" t="s">
        <v>1411</v>
      </c>
      <c r="E518" s="225" t="s">
        <v>915</v>
      </c>
    </row>
    <row r="519" spans="2:5" ht="15.75" thickBot="1">
      <c r="B519" s="225" t="s">
        <v>1412</v>
      </c>
      <c r="C519" s="226">
        <v>532149</v>
      </c>
      <c r="D519" s="225" t="s">
        <v>1413</v>
      </c>
      <c r="E519" s="225" t="s">
        <v>915</v>
      </c>
    </row>
    <row r="520" spans="2:5" ht="15.75" thickBot="1">
      <c r="B520" s="225" t="s">
        <v>1414</v>
      </c>
      <c r="C520" s="226">
        <v>532525</v>
      </c>
      <c r="D520" s="225" t="s">
        <v>1415</v>
      </c>
      <c r="E520" s="225" t="s">
        <v>915</v>
      </c>
    </row>
    <row r="521" spans="2:5" ht="15.75" thickBot="1">
      <c r="B521" s="225" t="s">
        <v>1416</v>
      </c>
      <c r="C521" s="225" t="s">
        <v>597</v>
      </c>
      <c r="D521" s="225" t="s">
        <v>1417</v>
      </c>
      <c r="E521" s="225" t="s">
        <v>608</v>
      </c>
    </row>
    <row r="522" spans="2:5" ht="15.75" thickBot="1">
      <c r="B522" s="225" t="s">
        <v>1418</v>
      </c>
      <c r="C522" s="226">
        <v>532674</v>
      </c>
      <c r="D522" s="225" t="s">
        <v>1419</v>
      </c>
      <c r="E522" s="225" t="s">
        <v>612</v>
      </c>
    </row>
    <row r="523" spans="2:5" ht="15.75" thickBot="1">
      <c r="B523" s="225" t="s">
        <v>1420</v>
      </c>
      <c r="C523" s="226">
        <v>500041</v>
      </c>
      <c r="D523" s="225" t="s">
        <v>1421</v>
      </c>
      <c r="E523" s="225" t="s">
        <v>1296</v>
      </c>
    </row>
    <row r="524" spans="2:5" ht="15.75" thickBot="1">
      <c r="B524" s="225" t="s">
        <v>1422</v>
      </c>
      <c r="C524" s="225" t="s">
        <v>597</v>
      </c>
      <c r="D524" s="225" t="s">
        <v>1423</v>
      </c>
      <c r="E524" s="225" t="s">
        <v>608</v>
      </c>
    </row>
    <row r="525" spans="2:5" ht="15.75" thickBot="1">
      <c r="B525" s="225" t="s">
        <v>1424</v>
      </c>
      <c r="C525" s="226">
        <v>538546</v>
      </c>
      <c r="D525" s="225" t="s">
        <v>597</v>
      </c>
      <c r="E525" s="225" t="s">
        <v>920</v>
      </c>
    </row>
    <row r="526" spans="2:5" ht="15.75" thickBot="1">
      <c r="B526" s="225" t="s">
        <v>1425</v>
      </c>
      <c r="C526" s="226">
        <v>519353</v>
      </c>
      <c r="D526" s="225" t="s">
        <v>597</v>
      </c>
      <c r="E526" s="225" t="s">
        <v>1004</v>
      </c>
    </row>
    <row r="527" spans="2:5" ht="15.75" thickBot="1">
      <c r="B527" s="225" t="s">
        <v>1426</v>
      </c>
      <c r="C527" s="226">
        <v>503722</v>
      </c>
      <c r="D527" s="225" t="s">
        <v>1427</v>
      </c>
      <c r="E527" s="225" t="s">
        <v>612</v>
      </c>
    </row>
    <row r="528" spans="2:5" ht="15.75" thickBot="1">
      <c r="B528" s="225" t="s">
        <v>1428</v>
      </c>
      <c r="C528" s="226">
        <v>532916</v>
      </c>
      <c r="D528" s="225" t="s">
        <v>1429</v>
      </c>
      <c r="E528" s="225" t="s">
        <v>610</v>
      </c>
    </row>
    <row r="529" spans="2:5" ht="15.75" thickBot="1">
      <c r="B529" s="225" t="s">
        <v>1430</v>
      </c>
      <c r="C529" s="226">
        <v>513502</v>
      </c>
      <c r="D529" s="225" t="s">
        <v>597</v>
      </c>
      <c r="E529" s="225" t="s">
        <v>671</v>
      </c>
    </row>
    <row r="530" spans="2:5" ht="15.75" thickBot="1">
      <c r="B530" s="225" t="s">
        <v>1431</v>
      </c>
      <c r="C530" s="226">
        <v>532336</v>
      </c>
      <c r="D530" s="225" t="s">
        <v>597</v>
      </c>
      <c r="E530" s="225" t="s">
        <v>690</v>
      </c>
    </row>
    <row r="531" spans="2:5" ht="15.75" thickBot="1">
      <c r="B531" s="225" t="s">
        <v>1432</v>
      </c>
      <c r="C531" s="226">
        <v>532694</v>
      </c>
      <c r="D531" s="225" t="s">
        <v>1433</v>
      </c>
      <c r="E531" s="225" t="s">
        <v>1018</v>
      </c>
    </row>
    <row r="532" spans="2:5" ht="15.75" thickBot="1">
      <c r="B532" s="225" t="s">
        <v>1434</v>
      </c>
      <c r="C532" s="226">
        <v>532694</v>
      </c>
      <c r="D532" s="225" t="s">
        <v>1433</v>
      </c>
      <c r="E532" s="225" t="s">
        <v>1018</v>
      </c>
    </row>
    <row r="533" spans="2:5" ht="15.75" thickBot="1">
      <c r="B533" s="225" t="s">
        <v>1435</v>
      </c>
      <c r="C533" s="226">
        <v>524687</v>
      </c>
      <c r="D533" s="225" t="s">
        <v>597</v>
      </c>
      <c r="E533" s="225" t="s">
        <v>1105</v>
      </c>
    </row>
    <row r="534" spans="2:5" ht="15.75" thickBot="1">
      <c r="B534" s="225" t="s">
        <v>1436</v>
      </c>
      <c r="C534" s="226">
        <v>524687</v>
      </c>
      <c r="D534" s="225" t="s">
        <v>597</v>
      </c>
      <c r="E534" s="225" t="s">
        <v>1105</v>
      </c>
    </row>
    <row r="535" spans="2:5" ht="15.75" thickBot="1">
      <c r="B535" s="225" t="s">
        <v>1437</v>
      </c>
      <c r="C535" s="226">
        <v>500042</v>
      </c>
      <c r="D535" s="225" t="s">
        <v>1438</v>
      </c>
      <c r="E535" s="225" t="s">
        <v>757</v>
      </c>
    </row>
    <row r="536" spans="2:5" ht="15.75" thickBot="1">
      <c r="B536" s="225" t="s">
        <v>1439</v>
      </c>
      <c r="C536" s="226">
        <v>500042</v>
      </c>
      <c r="D536" s="225" t="s">
        <v>1438</v>
      </c>
      <c r="E536" s="225" t="s">
        <v>757</v>
      </c>
    </row>
    <row r="537" spans="2:5" ht="15.75" thickBot="1">
      <c r="B537" s="225" t="s">
        <v>1440</v>
      </c>
      <c r="C537" s="226">
        <v>500043</v>
      </c>
      <c r="D537" s="225" t="s">
        <v>1441</v>
      </c>
      <c r="E537" s="225" t="s">
        <v>1023</v>
      </c>
    </row>
    <row r="538" spans="2:5" ht="15.75" thickBot="1">
      <c r="B538" s="225" t="s">
        <v>1442</v>
      </c>
      <c r="C538" s="226">
        <v>500043</v>
      </c>
      <c r="D538" s="225" t="s">
        <v>1443</v>
      </c>
      <c r="E538" s="225" t="s">
        <v>1023</v>
      </c>
    </row>
    <row r="539" spans="2:5" ht="15.75" thickBot="1">
      <c r="B539" s="225" t="s">
        <v>1444</v>
      </c>
      <c r="C539" s="226">
        <v>522004</v>
      </c>
      <c r="D539" s="225" t="s">
        <v>597</v>
      </c>
      <c r="E539" s="225" t="s">
        <v>605</v>
      </c>
    </row>
    <row r="540" spans="2:5" ht="15.75" thickBot="1">
      <c r="B540" s="225" t="s">
        <v>1445</v>
      </c>
      <c r="C540" s="226">
        <v>506285</v>
      </c>
      <c r="D540" s="225" t="s">
        <v>1446</v>
      </c>
      <c r="E540" s="225" t="s">
        <v>741</v>
      </c>
    </row>
    <row r="541" spans="2:5" ht="15.75" thickBot="1">
      <c r="B541" s="225" t="s">
        <v>1447</v>
      </c>
      <c r="C541" s="226">
        <v>539946</v>
      </c>
      <c r="D541" s="225" t="s">
        <v>597</v>
      </c>
      <c r="E541" s="225" t="s">
        <v>614</v>
      </c>
    </row>
    <row r="542" spans="2:5" ht="15.75" thickBot="1">
      <c r="B542" s="225" t="s">
        <v>1448</v>
      </c>
      <c r="C542" s="226">
        <v>517246</v>
      </c>
      <c r="D542" s="225" t="s">
        <v>597</v>
      </c>
      <c r="E542" s="225" t="s">
        <v>1139</v>
      </c>
    </row>
    <row r="543" spans="2:5" ht="15.75" thickBot="1">
      <c r="B543" s="225" t="s">
        <v>1449</v>
      </c>
      <c r="C543" s="226">
        <v>517246</v>
      </c>
      <c r="D543" s="225" t="s">
        <v>597</v>
      </c>
      <c r="E543" s="225" t="s">
        <v>1139</v>
      </c>
    </row>
    <row r="544" spans="2:5" ht="15.75" thickBot="1">
      <c r="B544" s="225" t="s">
        <v>1450</v>
      </c>
      <c r="C544" s="226">
        <v>539621</v>
      </c>
      <c r="D544" s="225" t="s">
        <v>597</v>
      </c>
      <c r="E544" s="225" t="s">
        <v>614</v>
      </c>
    </row>
    <row r="545" spans="2:5" ht="15.75" thickBot="1">
      <c r="B545" s="225" t="s">
        <v>1451</v>
      </c>
      <c r="C545" s="226">
        <v>524332</v>
      </c>
      <c r="D545" s="225" t="s">
        <v>597</v>
      </c>
      <c r="E545" s="225" t="s">
        <v>846</v>
      </c>
    </row>
    <row r="546" spans="2:5" ht="15.75" thickBot="1">
      <c r="B546" s="225" t="s">
        <v>1452</v>
      </c>
      <c r="C546" s="226">
        <v>542057</v>
      </c>
      <c r="D546" s="225" t="s">
        <v>597</v>
      </c>
      <c r="E546" s="225" t="s">
        <v>995</v>
      </c>
    </row>
    <row r="547" spans="2:5" ht="15.75" thickBot="1">
      <c r="B547" s="225" t="s">
        <v>1453</v>
      </c>
      <c r="C547" s="226">
        <v>524828</v>
      </c>
      <c r="D547" s="225" t="s">
        <v>597</v>
      </c>
      <c r="E547" s="225" t="s">
        <v>635</v>
      </c>
    </row>
    <row r="548" spans="2:5" ht="15.75" thickBot="1">
      <c r="B548" s="225" t="s">
        <v>1454</v>
      </c>
      <c r="C548" s="226">
        <v>539447</v>
      </c>
      <c r="D548" s="225" t="s">
        <v>1455</v>
      </c>
      <c r="E548" s="225" t="s">
        <v>792</v>
      </c>
    </row>
    <row r="549" spans="2:5" ht="15.75" thickBot="1">
      <c r="B549" s="225" t="s">
        <v>1456</v>
      </c>
      <c r="C549" s="226">
        <v>533270</v>
      </c>
      <c r="D549" s="225" t="s">
        <v>1457</v>
      </c>
      <c r="E549" s="225" t="s">
        <v>920</v>
      </c>
    </row>
    <row r="550" spans="2:5" ht="15.75" thickBot="1">
      <c r="B550" s="225" t="s">
        <v>1458</v>
      </c>
      <c r="C550" s="226">
        <v>539546</v>
      </c>
      <c r="D550" s="225" t="s">
        <v>597</v>
      </c>
      <c r="E550" s="225" t="s">
        <v>619</v>
      </c>
    </row>
    <row r="551" spans="2:5" ht="15.75" thickBot="1">
      <c r="B551" s="225" t="s">
        <v>1459</v>
      </c>
      <c r="C551" s="226">
        <v>539018</v>
      </c>
      <c r="D551" s="225" t="s">
        <v>597</v>
      </c>
      <c r="E551" s="225" t="s">
        <v>629</v>
      </c>
    </row>
    <row r="552" spans="2:5" ht="15.75" thickBot="1">
      <c r="B552" s="225" t="s">
        <v>1460</v>
      </c>
      <c r="C552" s="226">
        <v>532645</v>
      </c>
      <c r="D552" s="225" t="s">
        <v>597</v>
      </c>
      <c r="E552" s="225" t="s">
        <v>619</v>
      </c>
    </row>
    <row r="553" spans="2:5" ht="15.75" thickBot="1">
      <c r="B553" s="225" t="s">
        <v>1461</v>
      </c>
      <c r="C553" s="226">
        <v>539399</v>
      </c>
      <c r="D553" s="225" t="s">
        <v>597</v>
      </c>
      <c r="E553" s="225" t="s">
        <v>612</v>
      </c>
    </row>
    <row r="554" spans="2:5" ht="15.75" thickBot="1">
      <c r="B554" s="225" t="s">
        <v>1462</v>
      </c>
      <c r="C554" s="226">
        <v>522650</v>
      </c>
      <c r="D554" s="225" t="s">
        <v>597</v>
      </c>
      <c r="E554" s="225" t="s">
        <v>782</v>
      </c>
    </row>
    <row r="555" spans="2:5" ht="15.75" thickBot="1">
      <c r="B555" s="225" t="s">
        <v>1463</v>
      </c>
      <c r="C555" s="226">
        <v>500048</v>
      </c>
      <c r="D555" s="225" t="s">
        <v>1464</v>
      </c>
      <c r="E555" s="225" t="s">
        <v>675</v>
      </c>
    </row>
    <row r="556" spans="2:5" ht="15.75" thickBot="1">
      <c r="B556" s="225" t="s">
        <v>1465</v>
      </c>
      <c r="C556" s="226">
        <v>541178</v>
      </c>
      <c r="D556" s="225" t="s">
        <v>597</v>
      </c>
      <c r="E556" s="225" t="s">
        <v>782</v>
      </c>
    </row>
    <row r="557" spans="2:5" ht="15.75" thickBot="1">
      <c r="B557" s="225" t="s">
        <v>1466</v>
      </c>
      <c r="C557" s="226">
        <v>509438</v>
      </c>
      <c r="D557" s="225" t="s">
        <v>597</v>
      </c>
      <c r="E557" s="225" t="s">
        <v>798</v>
      </c>
    </row>
    <row r="558" spans="2:5" ht="15.75" thickBot="1">
      <c r="B558" s="225" t="s">
        <v>1467</v>
      </c>
      <c r="C558" s="226">
        <v>533095</v>
      </c>
      <c r="D558" s="225" t="s">
        <v>597</v>
      </c>
      <c r="E558" s="225" t="s">
        <v>614</v>
      </c>
    </row>
    <row r="559" spans="2:5" ht="15.75" thickBot="1">
      <c r="B559" s="225" t="s">
        <v>1468</v>
      </c>
      <c r="C559" s="226">
        <v>512404</v>
      </c>
      <c r="D559" s="225" t="s">
        <v>597</v>
      </c>
      <c r="E559" s="225" t="s">
        <v>629</v>
      </c>
    </row>
    <row r="560" spans="2:5" ht="15.75" thickBot="1">
      <c r="B560" s="225" t="s">
        <v>1469</v>
      </c>
      <c r="C560" s="226">
        <v>532230</v>
      </c>
      <c r="D560" s="225" t="s">
        <v>597</v>
      </c>
      <c r="E560" s="225" t="s">
        <v>612</v>
      </c>
    </row>
    <row r="561" spans="2:5" ht="15.75" thickBot="1">
      <c r="B561" s="225" t="s">
        <v>1470</v>
      </c>
      <c r="C561" s="226">
        <v>512195</v>
      </c>
      <c r="D561" s="225" t="s">
        <v>597</v>
      </c>
      <c r="E561" s="225" t="s">
        <v>1018</v>
      </c>
    </row>
    <row r="562" spans="2:5" ht="15.75" thickBot="1">
      <c r="B562" s="225" t="s">
        <v>1471</v>
      </c>
      <c r="C562" s="226">
        <v>509480</v>
      </c>
      <c r="D562" s="225" t="s">
        <v>1472</v>
      </c>
      <c r="E562" s="225" t="s">
        <v>874</v>
      </c>
    </row>
    <row r="563" spans="2:5" ht="15.75" thickBot="1">
      <c r="B563" s="225" t="s">
        <v>1473</v>
      </c>
      <c r="C563" s="226">
        <v>531340</v>
      </c>
      <c r="D563" s="225" t="s">
        <v>597</v>
      </c>
      <c r="E563" s="225" t="s">
        <v>580</v>
      </c>
    </row>
    <row r="564" spans="2:5" ht="15.75" thickBot="1">
      <c r="B564" s="225" t="s">
        <v>1474</v>
      </c>
      <c r="C564" s="226">
        <v>524606</v>
      </c>
      <c r="D564" s="225" t="s">
        <v>597</v>
      </c>
      <c r="E564" s="225" t="s">
        <v>635</v>
      </c>
    </row>
    <row r="565" spans="2:5" ht="15.75" thickBot="1">
      <c r="B565" s="225" t="s">
        <v>1475</v>
      </c>
      <c r="C565" s="226">
        <v>531582</v>
      </c>
      <c r="D565" s="225" t="s">
        <v>597</v>
      </c>
      <c r="E565" s="225" t="s">
        <v>614</v>
      </c>
    </row>
    <row r="566" spans="2:5" ht="15.75" thickBot="1">
      <c r="B566" s="225" t="s">
        <v>1476</v>
      </c>
      <c r="C566" s="226">
        <v>508664</v>
      </c>
      <c r="D566" s="225" t="s">
        <v>597</v>
      </c>
      <c r="E566" s="225" t="s">
        <v>798</v>
      </c>
    </row>
    <row r="567" spans="2:5" ht="15.75" thickBot="1">
      <c r="B567" s="225" t="s">
        <v>1477</v>
      </c>
      <c r="C567" s="225" t="s">
        <v>597</v>
      </c>
      <c r="D567" s="225" t="s">
        <v>1478</v>
      </c>
      <c r="E567" s="225" t="s">
        <v>608</v>
      </c>
    </row>
    <row r="568" spans="2:5" ht="15.75" thickBot="1">
      <c r="B568" s="225" t="s">
        <v>1479</v>
      </c>
      <c r="C568" s="226">
        <v>512477</v>
      </c>
      <c r="D568" s="225" t="s">
        <v>597</v>
      </c>
      <c r="E568" s="225" t="s">
        <v>612</v>
      </c>
    </row>
    <row r="569" spans="2:5" ht="15.75" thickBot="1">
      <c r="B569" s="225" t="s">
        <v>1480</v>
      </c>
      <c r="C569" s="226">
        <v>512477</v>
      </c>
      <c r="D569" s="225" t="s">
        <v>597</v>
      </c>
      <c r="E569" s="225" t="s">
        <v>612</v>
      </c>
    </row>
    <row r="570" spans="2:5" ht="15.75" thickBot="1">
      <c r="B570" s="225" t="s">
        <v>1481</v>
      </c>
      <c r="C570" s="226">
        <v>533303</v>
      </c>
      <c r="D570" s="225" t="s">
        <v>1482</v>
      </c>
      <c r="E570" s="225" t="s">
        <v>763</v>
      </c>
    </row>
    <row r="571" spans="2:5" ht="15.75" thickBot="1">
      <c r="B571" s="225" t="s">
        <v>1483</v>
      </c>
      <c r="C571" s="226">
        <v>532430</v>
      </c>
      <c r="D571" s="225" t="s">
        <v>1484</v>
      </c>
      <c r="E571" s="225" t="s">
        <v>736</v>
      </c>
    </row>
    <row r="572" spans="2:5" ht="15.75" thickBot="1">
      <c r="B572" s="225" t="s">
        <v>1485</v>
      </c>
      <c r="C572" s="226">
        <v>539662</v>
      </c>
      <c r="D572" s="225" t="s">
        <v>597</v>
      </c>
      <c r="E572" s="225" t="s">
        <v>614</v>
      </c>
    </row>
    <row r="573" spans="2:5" ht="15.75" thickBot="1">
      <c r="B573" s="225" t="s">
        <v>1486</v>
      </c>
      <c r="C573" s="226">
        <v>511664</v>
      </c>
      <c r="D573" s="225" t="s">
        <v>597</v>
      </c>
      <c r="E573" s="225" t="s">
        <v>600</v>
      </c>
    </row>
    <row r="574" spans="2:5" ht="15.75" thickBot="1">
      <c r="B574" s="225" t="s">
        <v>1487</v>
      </c>
      <c r="C574" s="226">
        <v>532930</v>
      </c>
      <c r="D574" s="225" t="s">
        <v>1488</v>
      </c>
      <c r="E574" s="225" t="s">
        <v>640</v>
      </c>
    </row>
    <row r="575" spans="2:5" ht="15.75" thickBot="1">
      <c r="B575" s="225" t="s">
        <v>1489</v>
      </c>
      <c r="C575" s="226">
        <v>530803</v>
      </c>
      <c r="D575" s="225" t="s">
        <v>1490</v>
      </c>
      <c r="E575" s="225" t="s">
        <v>645</v>
      </c>
    </row>
    <row r="576" spans="2:5" ht="15.75" thickBot="1">
      <c r="B576" s="225" t="s">
        <v>1491</v>
      </c>
      <c r="C576" s="226">
        <v>531719</v>
      </c>
      <c r="D576" s="225" t="s">
        <v>597</v>
      </c>
      <c r="E576" s="225" t="s">
        <v>741</v>
      </c>
    </row>
    <row r="577" spans="2:5" ht="15.75" thickBot="1">
      <c r="B577" s="225" t="s">
        <v>1492</v>
      </c>
      <c r="C577" s="226">
        <v>504646</v>
      </c>
      <c r="D577" s="225" t="s">
        <v>597</v>
      </c>
      <c r="E577" s="225" t="s">
        <v>952</v>
      </c>
    </row>
    <row r="578" spans="2:5" ht="15.75" thickBot="1">
      <c r="B578" s="225" t="s">
        <v>1493</v>
      </c>
      <c r="C578" s="226">
        <v>509449</v>
      </c>
      <c r="D578" s="225" t="s">
        <v>597</v>
      </c>
      <c r="E578" s="225" t="s">
        <v>645</v>
      </c>
    </row>
    <row r="579" spans="2:5" ht="15.75" thickBot="1">
      <c r="B579" s="225" t="s">
        <v>1494</v>
      </c>
      <c r="C579" s="226">
        <v>512296</v>
      </c>
      <c r="D579" s="225" t="s">
        <v>1495</v>
      </c>
      <c r="E579" s="225" t="s">
        <v>671</v>
      </c>
    </row>
    <row r="580" spans="2:5" ht="15.75" thickBot="1">
      <c r="B580" s="225" t="s">
        <v>1496</v>
      </c>
      <c r="C580" s="226">
        <v>512296</v>
      </c>
      <c r="D580" s="225" t="s">
        <v>1495</v>
      </c>
      <c r="E580" s="225" t="s">
        <v>671</v>
      </c>
    </row>
    <row r="581" spans="2:5" ht="15.75" thickBot="1">
      <c r="B581" s="225" t="s">
        <v>1497</v>
      </c>
      <c r="C581" s="226">
        <v>540621</v>
      </c>
      <c r="D581" s="225" t="s">
        <v>1498</v>
      </c>
      <c r="E581" s="225" t="s">
        <v>683</v>
      </c>
    </row>
    <row r="582" spans="2:5" ht="15.75" thickBot="1">
      <c r="B582" s="225" t="s">
        <v>1499</v>
      </c>
      <c r="C582" s="226">
        <v>540545</v>
      </c>
      <c r="D582" s="225" t="s">
        <v>597</v>
      </c>
      <c r="E582" s="225" t="s">
        <v>711</v>
      </c>
    </row>
    <row r="583" spans="2:5" ht="15.75" thickBot="1">
      <c r="B583" s="225" t="s">
        <v>1500</v>
      </c>
      <c r="C583" s="226">
        <v>512608</v>
      </c>
      <c r="D583" s="225" t="s">
        <v>1501</v>
      </c>
      <c r="E583" s="225" t="s">
        <v>711</v>
      </c>
    </row>
    <row r="584" spans="2:5" ht="15.75" thickBot="1">
      <c r="B584" s="225" t="s">
        <v>1502</v>
      </c>
      <c r="C584" s="226">
        <v>538576</v>
      </c>
      <c r="D584" s="225" t="s">
        <v>597</v>
      </c>
      <c r="E584" s="225" t="s">
        <v>683</v>
      </c>
    </row>
    <row r="585" spans="2:5" ht="15.75" thickBot="1">
      <c r="B585" s="225" t="s">
        <v>1503</v>
      </c>
      <c r="C585" s="226">
        <v>500052</v>
      </c>
      <c r="D585" s="225" t="s">
        <v>1504</v>
      </c>
      <c r="E585" s="225" t="s">
        <v>757</v>
      </c>
    </row>
    <row r="586" spans="2:5" ht="15.75" thickBot="1">
      <c r="B586" s="225" t="s">
        <v>1505</v>
      </c>
      <c r="C586" s="226">
        <v>531862</v>
      </c>
      <c r="D586" s="225" t="s">
        <v>597</v>
      </c>
      <c r="E586" s="225" t="s">
        <v>1105</v>
      </c>
    </row>
    <row r="587" spans="2:5" ht="15.75" thickBot="1">
      <c r="B587" s="225" t="s">
        <v>1506</v>
      </c>
      <c r="C587" s="226">
        <v>511501</v>
      </c>
      <c r="D587" s="225" t="s">
        <v>597</v>
      </c>
      <c r="E587" s="225" t="s">
        <v>580</v>
      </c>
    </row>
    <row r="588" spans="2:5" ht="15.75" thickBot="1">
      <c r="B588" s="225" t="s">
        <v>1507</v>
      </c>
      <c r="C588" s="226">
        <v>503960</v>
      </c>
      <c r="D588" s="225" t="s">
        <v>1508</v>
      </c>
      <c r="E588" s="225" t="s">
        <v>895</v>
      </c>
    </row>
    <row r="589" spans="2:5" ht="15.75" thickBot="1">
      <c r="B589" s="225" t="s">
        <v>1509</v>
      </c>
      <c r="C589" s="226">
        <v>541143</v>
      </c>
      <c r="D589" s="225" t="s">
        <v>1510</v>
      </c>
      <c r="E589" s="225" t="s">
        <v>1070</v>
      </c>
    </row>
    <row r="590" spans="2:5" ht="15.75" thickBot="1">
      <c r="B590" s="225" t="s">
        <v>1511</v>
      </c>
      <c r="C590" s="226">
        <v>500049</v>
      </c>
      <c r="D590" s="225" t="s">
        <v>1512</v>
      </c>
      <c r="E590" s="225" t="s">
        <v>1070</v>
      </c>
    </row>
    <row r="591" spans="2:5" ht="15.75" thickBot="1">
      <c r="B591" s="225" t="s">
        <v>1513</v>
      </c>
      <c r="C591" s="226">
        <v>533228</v>
      </c>
      <c r="D591" s="225" t="s">
        <v>1514</v>
      </c>
      <c r="E591" s="225" t="s">
        <v>614</v>
      </c>
    </row>
    <row r="592" spans="2:5" ht="15.75" thickBot="1">
      <c r="B592" s="225" t="s">
        <v>1515</v>
      </c>
      <c r="C592" s="226">
        <v>500493</v>
      </c>
      <c r="D592" s="225" t="s">
        <v>1516</v>
      </c>
      <c r="E592" s="225" t="s">
        <v>1517</v>
      </c>
    </row>
    <row r="593" spans="2:5" ht="15.75" thickBot="1">
      <c r="B593" s="225" t="s">
        <v>1518</v>
      </c>
      <c r="C593" s="226">
        <v>505688</v>
      </c>
      <c r="D593" s="225" t="s">
        <v>1519</v>
      </c>
      <c r="E593" s="225" t="s">
        <v>952</v>
      </c>
    </row>
    <row r="594" spans="2:5" ht="15.75" thickBot="1">
      <c r="B594" s="225" t="s">
        <v>1520</v>
      </c>
      <c r="C594" s="226">
        <v>500103</v>
      </c>
      <c r="D594" s="225" t="s">
        <v>1521</v>
      </c>
      <c r="E594" s="225" t="s">
        <v>640</v>
      </c>
    </row>
    <row r="595" spans="2:5" ht="15.75" thickBot="1">
      <c r="B595" s="225" t="s">
        <v>1522</v>
      </c>
      <c r="C595" s="226">
        <v>524663</v>
      </c>
      <c r="D595" s="225" t="s">
        <v>597</v>
      </c>
      <c r="E595" s="225" t="s">
        <v>635</v>
      </c>
    </row>
    <row r="596" spans="2:5" ht="15.75" thickBot="1">
      <c r="B596" s="225" t="s">
        <v>1523</v>
      </c>
      <c r="C596" s="226">
        <v>541096</v>
      </c>
      <c r="D596" s="225" t="s">
        <v>597</v>
      </c>
      <c r="E596" s="225" t="s">
        <v>635</v>
      </c>
    </row>
    <row r="597" spans="2:5" ht="15.75" thickBot="1">
      <c r="B597" s="225" t="s">
        <v>1524</v>
      </c>
      <c r="C597" s="226">
        <v>500547</v>
      </c>
      <c r="D597" s="225" t="s">
        <v>1525</v>
      </c>
      <c r="E597" s="225" t="s">
        <v>1526</v>
      </c>
    </row>
    <row r="598" spans="2:5" ht="15.75" thickBot="1">
      <c r="B598" s="225" t="s">
        <v>1527</v>
      </c>
      <c r="C598" s="226">
        <v>590021</v>
      </c>
      <c r="D598" s="225" t="s">
        <v>1528</v>
      </c>
      <c r="E598" s="225" t="s">
        <v>741</v>
      </c>
    </row>
    <row r="599" spans="2:5" ht="15.75" thickBot="1">
      <c r="B599" s="225" t="s">
        <v>1529</v>
      </c>
      <c r="C599" s="226">
        <v>540700</v>
      </c>
      <c r="D599" s="225" t="s">
        <v>1530</v>
      </c>
      <c r="E599" s="225" t="s">
        <v>1192</v>
      </c>
    </row>
    <row r="600" spans="2:5" ht="15.75" thickBot="1">
      <c r="B600" s="225" t="s">
        <v>1531</v>
      </c>
      <c r="C600" s="226">
        <v>523229</v>
      </c>
      <c r="D600" s="225" t="s">
        <v>597</v>
      </c>
      <c r="E600" s="225" t="s">
        <v>952</v>
      </c>
    </row>
    <row r="601" spans="2:5" ht="15.75" thickBot="1">
      <c r="B601" s="225" t="s">
        <v>1532</v>
      </c>
      <c r="C601" s="226">
        <v>531029</v>
      </c>
      <c r="D601" s="225" t="s">
        <v>597</v>
      </c>
      <c r="E601" s="225" t="s">
        <v>619</v>
      </c>
    </row>
    <row r="602" spans="2:5" ht="15.75" thickBot="1">
      <c r="B602" s="225" t="s">
        <v>1533</v>
      </c>
      <c r="C602" s="226">
        <v>539799</v>
      </c>
      <c r="D602" s="225" t="s">
        <v>1534</v>
      </c>
      <c r="E602" s="225" t="s">
        <v>920</v>
      </c>
    </row>
    <row r="603" spans="2:5" ht="15.75" thickBot="1">
      <c r="B603" s="225" t="s">
        <v>1535</v>
      </c>
      <c r="C603" s="226">
        <v>532609</v>
      </c>
      <c r="D603" s="225" t="s">
        <v>1536</v>
      </c>
      <c r="E603" s="225" t="s">
        <v>675</v>
      </c>
    </row>
    <row r="604" spans="2:5" ht="15.75" thickBot="1">
      <c r="B604" s="225" t="s">
        <v>1537</v>
      </c>
      <c r="C604" s="226">
        <v>533499</v>
      </c>
      <c r="D604" s="225" t="s">
        <v>1538</v>
      </c>
      <c r="E604" s="225" t="s">
        <v>583</v>
      </c>
    </row>
    <row r="605" spans="2:5" ht="15.75" thickBot="1">
      <c r="B605" s="225" t="s">
        <v>1539</v>
      </c>
      <c r="C605" s="226">
        <v>532454</v>
      </c>
      <c r="D605" s="225" t="s">
        <v>1540</v>
      </c>
      <c r="E605" s="225" t="s">
        <v>1541</v>
      </c>
    </row>
    <row r="606" spans="2:5" ht="15.75" thickBot="1">
      <c r="B606" s="225" t="s">
        <v>1542</v>
      </c>
      <c r="C606" s="226">
        <v>534816</v>
      </c>
      <c r="D606" s="225" t="s">
        <v>1543</v>
      </c>
      <c r="E606" s="225" t="s">
        <v>1544</v>
      </c>
    </row>
    <row r="607" spans="2:5" ht="15.75" thickBot="1">
      <c r="B607" s="225" t="s">
        <v>1545</v>
      </c>
      <c r="C607" s="226">
        <v>526666</v>
      </c>
      <c r="D607" s="225" t="s">
        <v>1546</v>
      </c>
      <c r="E607" s="225" t="s">
        <v>711</v>
      </c>
    </row>
    <row r="608" spans="2:5" ht="15.75" thickBot="1">
      <c r="B608" s="225" t="s">
        <v>1547</v>
      </c>
      <c r="C608" s="226">
        <v>524534</v>
      </c>
      <c r="D608" s="225" t="s">
        <v>597</v>
      </c>
      <c r="E608" s="225" t="s">
        <v>741</v>
      </c>
    </row>
    <row r="609" spans="2:5" ht="15.75" thickBot="1">
      <c r="B609" s="225" t="s">
        <v>1548</v>
      </c>
      <c r="C609" s="226">
        <v>540956</v>
      </c>
      <c r="D609" s="225" t="s">
        <v>597</v>
      </c>
      <c r="E609" s="225" t="s">
        <v>598</v>
      </c>
    </row>
    <row r="610" spans="2:5" ht="15.75" thickBot="1">
      <c r="B610" s="225" t="s">
        <v>1549</v>
      </c>
      <c r="C610" s="226">
        <v>540956</v>
      </c>
      <c r="D610" s="225" t="s">
        <v>597</v>
      </c>
      <c r="E610" s="225" t="s">
        <v>598</v>
      </c>
    </row>
    <row r="611" spans="2:5" ht="15.75" thickBot="1">
      <c r="B611" s="225" t="s">
        <v>1550</v>
      </c>
      <c r="C611" s="226">
        <v>514272</v>
      </c>
      <c r="D611" s="225" t="s">
        <v>597</v>
      </c>
      <c r="E611" s="225" t="s">
        <v>612</v>
      </c>
    </row>
    <row r="612" spans="2:5" ht="15.75" thickBot="1">
      <c r="B612" s="225" t="s">
        <v>1551</v>
      </c>
      <c r="C612" s="226">
        <v>533108</v>
      </c>
      <c r="D612" s="225" t="s">
        <v>597</v>
      </c>
      <c r="E612" s="225" t="s">
        <v>612</v>
      </c>
    </row>
    <row r="613" spans="2:5" ht="15.75" thickBot="1">
      <c r="B613" s="225" t="s">
        <v>1552</v>
      </c>
      <c r="C613" s="226">
        <v>506027</v>
      </c>
      <c r="D613" s="225" t="s">
        <v>597</v>
      </c>
      <c r="E613" s="225" t="s">
        <v>902</v>
      </c>
    </row>
    <row r="614" spans="2:5" ht="15.75" thickBot="1">
      <c r="B614" s="225" t="s">
        <v>1553</v>
      </c>
      <c r="C614" s="226">
        <v>500055</v>
      </c>
      <c r="D614" s="225" t="s">
        <v>1554</v>
      </c>
      <c r="E614" s="225" t="s">
        <v>629</v>
      </c>
    </row>
    <row r="615" spans="2:5" ht="15.75" thickBot="1">
      <c r="B615" s="225" t="s">
        <v>1555</v>
      </c>
      <c r="C615" s="226">
        <v>540061</v>
      </c>
      <c r="D615" s="225" t="s">
        <v>1556</v>
      </c>
      <c r="E615" s="225" t="s">
        <v>610</v>
      </c>
    </row>
    <row r="616" spans="2:5" ht="15.75" thickBot="1">
      <c r="B616" s="225" t="s">
        <v>1557</v>
      </c>
      <c r="C616" s="226">
        <v>500058</v>
      </c>
      <c r="D616" s="225" t="s">
        <v>597</v>
      </c>
      <c r="E616" s="225" t="s">
        <v>629</v>
      </c>
    </row>
    <row r="617" spans="2:5" ht="15.75" thickBot="1">
      <c r="B617" s="225" t="s">
        <v>1558</v>
      </c>
      <c r="C617" s="226">
        <v>524723</v>
      </c>
      <c r="D617" s="225" t="s">
        <v>597</v>
      </c>
      <c r="E617" s="225" t="s">
        <v>619</v>
      </c>
    </row>
    <row r="618" spans="2:5" ht="15.75" thickBot="1">
      <c r="B618" s="225" t="s">
        <v>1559</v>
      </c>
      <c r="C618" s="226">
        <v>533321</v>
      </c>
      <c r="D618" s="225" t="s">
        <v>1560</v>
      </c>
      <c r="E618" s="225" t="s">
        <v>895</v>
      </c>
    </row>
    <row r="619" spans="2:5" ht="15.75" thickBot="1">
      <c r="B619" s="225" t="s">
        <v>1561</v>
      </c>
      <c r="C619" s="226">
        <v>526853</v>
      </c>
      <c r="D619" s="225" t="s">
        <v>597</v>
      </c>
      <c r="E619" s="225" t="s">
        <v>1562</v>
      </c>
    </row>
    <row r="620" spans="2:5" ht="15.75" thickBot="1">
      <c r="B620" s="225" t="s">
        <v>1563</v>
      </c>
      <c r="C620" s="226">
        <v>505681</v>
      </c>
      <c r="D620" s="225" t="s">
        <v>597</v>
      </c>
      <c r="E620" s="225" t="s">
        <v>952</v>
      </c>
    </row>
    <row r="621" spans="2:5" ht="15.75" thickBot="1">
      <c r="B621" s="225" t="s">
        <v>1564</v>
      </c>
      <c r="C621" s="226">
        <v>500059</v>
      </c>
      <c r="D621" s="225" t="s">
        <v>1565</v>
      </c>
      <c r="E621" s="225" t="s">
        <v>763</v>
      </c>
    </row>
    <row r="622" spans="2:5" ht="15.75" thickBot="1">
      <c r="B622" s="225" t="s">
        <v>1566</v>
      </c>
      <c r="C622" s="226">
        <v>523054</v>
      </c>
      <c r="D622" s="225" t="s">
        <v>597</v>
      </c>
      <c r="E622" s="225" t="s">
        <v>612</v>
      </c>
    </row>
    <row r="623" spans="2:5" ht="15.75" thickBot="1">
      <c r="B623" s="225" t="s">
        <v>1567</v>
      </c>
      <c r="C623" s="226">
        <v>540148</v>
      </c>
      <c r="D623" s="225" t="s">
        <v>597</v>
      </c>
      <c r="E623" s="225" t="s">
        <v>711</v>
      </c>
    </row>
    <row r="624" spans="2:5" ht="15.75" thickBot="1">
      <c r="B624" s="225" t="s">
        <v>1568</v>
      </c>
      <c r="C624" s="226">
        <v>514215</v>
      </c>
      <c r="D624" s="225" t="s">
        <v>597</v>
      </c>
      <c r="E624" s="225" t="s">
        <v>612</v>
      </c>
    </row>
    <row r="625" spans="2:5" ht="15.75" thickBot="1">
      <c r="B625" s="225" t="s">
        <v>1569</v>
      </c>
      <c r="C625" s="226">
        <v>535620</v>
      </c>
      <c r="D625" s="225" t="s">
        <v>597</v>
      </c>
      <c r="E625" s="225" t="s">
        <v>619</v>
      </c>
    </row>
    <row r="626" spans="2:5" ht="15.75" thickBot="1">
      <c r="B626" s="225" t="s">
        <v>1570</v>
      </c>
      <c r="C626" s="226">
        <v>534535</v>
      </c>
      <c r="D626" s="225" t="s">
        <v>597</v>
      </c>
      <c r="E626" s="225" t="s">
        <v>591</v>
      </c>
    </row>
    <row r="627" spans="2:5" ht="15.75" thickBot="1">
      <c r="B627" s="225" t="s">
        <v>1571</v>
      </c>
      <c r="C627" s="226">
        <v>532523</v>
      </c>
      <c r="D627" s="225" t="s">
        <v>1572</v>
      </c>
      <c r="E627" s="225" t="s">
        <v>935</v>
      </c>
    </row>
    <row r="628" spans="2:5" ht="15.75" thickBot="1">
      <c r="B628" s="225" t="s">
        <v>1573</v>
      </c>
      <c r="C628" s="226">
        <v>524396</v>
      </c>
      <c r="D628" s="225" t="s">
        <v>1574</v>
      </c>
      <c r="E628" s="225" t="s">
        <v>635</v>
      </c>
    </row>
    <row r="629" spans="2:5" ht="15.75" thickBot="1">
      <c r="B629" s="225" t="s">
        <v>1575</v>
      </c>
      <c r="C629" s="226">
        <v>532330</v>
      </c>
      <c r="D629" s="225" t="s">
        <v>597</v>
      </c>
      <c r="E629" s="225" t="s">
        <v>717</v>
      </c>
    </row>
    <row r="630" spans="2:5" ht="15.75" thickBot="1">
      <c r="B630" s="225" t="s">
        <v>1576</v>
      </c>
      <c r="C630" s="226">
        <v>538364</v>
      </c>
      <c r="D630" s="225" t="s">
        <v>597</v>
      </c>
      <c r="E630" s="225" t="s">
        <v>612</v>
      </c>
    </row>
    <row r="631" spans="2:5" ht="15.75" thickBot="1">
      <c r="B631" s="225" t="s">
        <v>1577</v>
      </c>
      <c r="C631" s="226">
        <v>500060</v>
      </c>
      <c r="D631" s="225" t="s">
        <v>1578</v>
      </c>
      <c r="E631" s="225" t="s">
        <v>895</v>
      </c>
    </row>
    <row r="632" spans="2:5" ht="15.75" thickBot="1">
      <c r="B632" s="225" t="s">
        <v>1579</v>
      </c>
      <c r="C632" s="226">
        <v>500335</v>
      </c>
      <c r="D632" s="225" t="s">
        <v>1580</v>
      </c>
      <c r="E632" s="225" t="s">
        <v>610</v>
      </c>
    </row>
    <row r="633" spans="2:5" ht="15.75" thickBot="1">
      <c r="B633" s="225" t="s">
        <v>1581</v>
      </c>
      <c r="C633" s="226">
        <v>533006</v>
      </c>
      <c r="D633" s="225" t="s">
        <v>597</v>
      </c>
      <c r="E633" s="225" t="s">
        <v>612</v>
      </c>
    </row>
    <row r="634" spans="2:5" ht="15.75" thickBot="1">
      <c r="B634" s="225" t="s">
        <v>1582</v>
      </c>
      <c r="C634" s="226">
        <v>533006</v>
      </c>
      <c r="D634" s="225" t="s">
        <v>597</v>
      </c>
      <c r="E634" s="225" t="s">
        <v>612</v>
      </c>
    </row>
    <row r="635" spans="2:5" ht="15.75" thickBot="1">
      <c r="B635" s="225" t="s">
        <v>1583</v>
      </c>
      <c r="C635" s="226">
        <v>522105</v>
      </c>
      <c r="D635" s="225" t="s">
        <v>597</v>
      </c>
      <c r="E635" s="225" t="s">
        <v>605</v>
      </c>
    </row>
    <row r="636" spans="2:5" ht="15.75" thickBot="1">
      <c r="B636" s="225" t="s">
        <v>1584</v>
      </c>
      <c r="C636" s="226">
        <v>533408</v>
      </c>
      <c r="D636" s="225" t="s">
        <v>1585</v>
      </c>
      <c r="E636" s="225" t="s">
        <v>580</v>
      </c>
    </row>
    <row r="637" spans="2:5" ht="15.75" thickBot="1">
      <c r="B637" s="225" t="s">
        <v>1586</v>
      </c>
      <c r="C637" s="225" t="s">
        <v>597</v>
      </c>
      <c r="D637" s="225" t="s">
        <v>1587</v>
      </c>
      <c r="E637" s="225" t="s">
        <v>583</v>
      </c>
    </row>
    <row r="638" spans="2:5" ht="15.75" thickBot="1">
      <c r="B638" s="225" t="s">
        <v>1588</v>
      </c>
      <c r="C638" s="226">
        <v>539043</v>
      </c>
      <c r="D638" s="225" t="s">
        <v>1589</v>
      </c>
      <c r="E638" s="225" t="s">
        <v>792</v>
      </c>
    </row>
    <row r="639" spans="2:5" ht="15.75" thickBot="1">
      <c r="B639" s="225" t="s">
        <v>1590</v>
      </c>
      <c r="C639" s="226">
        <v>514183</v>
      </c>
      <c r="D639" s="225" t="s">
        <v>597</v>
      </c>
      <c r="E639" s="225" t="s">
        <v>757</v>
      </c>
    </row>
    <row r="640" spans="2:5" ht="15.75" thickBot="1">
      <c r="B640" s="225" t="s">
        <v>1591</v>
      </c>
      <c r="C640" s="226">
        <v>532290</v>
      </c>
      <c r="D640" s="225" t="s">
        <v>1592</v>
      </c>
      <c r="E640" s="225" t="s">
        <v>580</v>
      </c>
    </row>
    <row r="641" spans="2:5" ht="15.75" thickBot="1">
      <c r="B641" s="225" t="s">
        <v>1593</v>
      </c>
      <c r="C641" s="226">
        <v>506197</v>
      </c>
      <c r="D641" s="225" t="s">
        <v>1594</v>
      </c>
      <c r="E641" s="225" t="s">
        <v>635</v>
      </c>
    </row>
    <row r="642" spans="2:5" ht="15.75" thickBot="1">
      <c r="B642" s="225" t="s">
        <v>1595</v>
      </c>
      <c r="C642" s="226">
        <v>526225</v>
      </c>
      <c r="D642" s="225" t="s">
        <v>597</v>
      </c>
      <c r="E642" s="225" t="s">
        <v>717</v>
      </c>
    </row>
    <row r="643" spans="2:5" ht="15.75" thickBot="1">
      <c r="B643" s="225" t="s">
        <v>1596</v>
      </c>
      <c r="C643" s="226">
        <v>513422</v>
      </c>
      <c r="D643" s="225" t="s">
        <v>597</v>
      </c>
      <c r="E643" s="225" t="s">
        <v>629</v>
      </c>
    </row>
    <row r="644" spans="2:5" ht="15.75" thickBot="1">
      <c r="B644" s="225" t="s">
        <v>1597</v>
      </c>
      <c r="C644" s="226">
        <v>531175</v>
      </c>
      <c r="D644" s="225" t="s">
        <v>597</v>
      </c>
      <c r="E644" s="225" t="s">
        <v>690</v>
      </c>
    </row>
    <row r="645" spans="2:5" ht="15.75" thickBot="1">
      <c r="B645" s="225" t="s">
        <v>1598</v>
      </c>
      <c r="C645" s="226">
        <v>540073</v>
      </c>
      <c r="D645" s="225" t="s">
        <v>1599</v>
      </c>
      <c r="E645" s="225" t="s">
        <v>1600</v>
      </c>
    </row>
    <row r="646" spans="2:5" ht="15.75" thickBot="1">
      <c r="B646" s="225" t="s">
        <v>1601</v>
      </c>
      <c r="C646" s="226">
        <v>502761</v>
      </c>
      <c r="D646" s="225" t="s">
        <v>597</v>
      </c>
      <c r="E646" s="225" t="s">
        <v>612</v>
      </c>
    </row>
    <row r="647" spans="2:5" ht="15.75" thickBot="1">
      <c r="B647" s="225" t="s">
        <v>1602</v>
      </c>
      <c r="C647" s="225" t="s">
        <v>597</v>
      </c>
      <c r="D647" s="225" t="s">
        <v>1603</v>
      </c>
      <c r="E647" s="225" t="s">
        <v>688</v>
      </c>
    </row>
    <row r="648" spans="2:5" ht="15.75" thickBot="1">
      <c r="B648" s="225" t="s">
        <v>1604</v>
      </c>
      <c r="C648" s="226">
        <v>502761</v>
      </c>
      <c r="D648" s="225" t="s">
        <v>597</v>
      </c>
      <c r="E648" s="225" t="s">
        <v>612</v>
      </c>
    </row>
    <row r="649" spans="2:5" ht="15.75" thickBot="1">
      <c r="B649" s="225" t="s">
        <v>1605</v>
      </c>
      <c r="C649" s="226">
        <v>506981</v>
      </c>
      <c r="D649" s="225" t="s">
        <v>597</v>
      </c>
      <c r="E649" s="225" t="s">
        <v>612</v>
      </c>
    </row>
    <row r="650" spans="2:5" ht="15.75" thickBot="1">
      <c r="B650" s="225" t="s">
        <v>1606</v>
      </c>
      <c r="C650" s="226">
        <v>508939</v>
      </c>
      <c r="D650" s="225" t="s">
        <v>597</v>
      </c>
      <c r="E650" s="225" t="s">
        <v>614</v>
      </c>
    </row>
    <row r="651" spans="2:5" ht="15.75" thickBot="1">
      <c r="B651" s="225" t="s">
        <v>1607</v>
      </c>
      <c r="C651" s="226">
        <v>539607</v>
      </c>
      <c r="D651" s="225" t="s">
        <v>597</v>
      </c>
      <c r="E651" s="225" t="s">
        <v>690</v>
      </c>
    </row>
    <row r="652" spans="2:5" ht="15.75" thickBot="1">
      <c r="B652" s="225" t="s">
        <v>1608</v>
      </c>
      <c r="C652" s="226">
        <v>531495</v>
      </c>
      <c r="D652" s="225" t="s">
        <v>1609</v>
      </c>
      <c r="E652" s="225" t="s">
        <v>798</v>
      </c>
    </row>
    <row r="653" spans="2:5" ht="15.75" thickBot="1">
      <c r="B653" s="225" t="s">
        <v>1610</v>
      </c>
      <c r="C653" s="226">
        <v>526612</v>
      </c>
      <c r="D653" s="225" t="s">
        <v>1611</v>
      </c>
      <c r="E653" s="225" t="s">
        <v>918</v>
      </c>
    </row>
    <row r="654" spans="2:5" ht="15.75" thickBot="1">
      <c r="B654" s="225" t="s">
        <v>1612</v>
      </c>
      <c r="C654" s="226">
        <v>514440</v>
      </c>
      <c r="D654" s="225" t="s">
        <v>597</v>
      </c>
      <c r="E654" s="225" t="s">
        <v>645</v>
      </c>
    </row>
    <row r="655" spans="2:5" ht="15.75" thickBot="1">
      <c r="B655" s="225" t="s">
        <v>1613</v>
      </c>
      <c r="C655" s="226">
        <v>500067</v>
      </c>
      <c r="D655" s="225" t="s">
        <v>1614</v>
      </c>
      <c r="E655" s="225" t="s">
        <v>966</v>
      </c>
    </row>
    <row r="656" spans="2:5" ht="15.75" thickBot="1">
      <c r="B656" s="225" t="s">
        <v>1615</v>
      </c>
      <c r="C656" s="226">
        <v>539637</v>
      </c>
      <c r="D656" s="225" t="s">
        <v>597</v>
      </c>
      <c r="E656" s="225" t="s">
        <v>580</v>
      </c>
    </row>
    <row r="657" spans="2:5" ht="15.75" thickBot="1">
      <c r="B657" s="225" t="s">
        <v>1616</v>
      </c>
      <c r="C657" s="226">
        <v>531713</v>
      </c>
      <c r="D657" s="225" t="s">
        <v>597</v>
      </c>
      <c r="E657" s="225" t="s">
        <v>1018</v>
      </c>
    </row>
    <row r="658" spans="2:5" ht="15.75" thickBot="1">
      <c r="B658" s="225" t="s">
        <v>1617</v>
      </c>
      <c r="C658" s="226">
        <v>531420</v>
      </c>
      <c r="D658" s="225" t="s">
        <v>597</v>
      </c>
      <c r="E658" s="225" t="s">
        <v>600</v>
      </c>
    </row>
    <row r="659" spans="2:5" ht="15.75" thickBot="1">
      <c r="B659" s="225" t="s">
        <v>1618</v>
      </c>
      <c r="C659" s="226">
        <v>542669</v>
      </c>
      <c r="D659" s="225" t="s">
        <v>1619</v>
      </c>
      <c r="E659" s="225" t="s">
        <v>715</v>
      </c>
    </row>
    <row r="660" spans="2:5" ht="15.75" thickBot="1">
      <c r="B660" s="225" t="s">
        <v>1620</v>
      </c>
      <c r="C660" s="226">
        <v>500069</v>
      </c>
      <c r="D660" s="225" t="s">
        <v>597</v>
      </c>
      <c r="E660" s="225" t="s">
        <v>580</v>
      </c>
    </row>
    <row r="661" spans="2:5" ht="15.75" thickBot="1">
      <c r="B661" s="225" t="s">
        <v>1621</v>
      </c>
      <c r="C661" s="226">
        <v>530809</v>
      </c>
      <c r="D661" s="225" t="s">
        <v>597</v>
      </c>
      <c r="E661" s="225" t="s">
        <v>927</v>
      </c>
    </row>
    <row r="662" spans="2:5" ht="15.75" thickBot="1">
      <c r="B662" s="225" t="s">
        <v>1622</v>
      </c>
      <c r="C662" s="226">
        <v>524370</v>
      </c>
      <c r="D662" s="225" t="s">
        <v>1623</v>
      </c>
      <c r="E662" s="225" t="s">
        <v>757</v>
      </c>
    </row>
    <row r="663" spans="2:5" ht="15.75" thickBot="1">
      <c r="B663" s="225" t="s">
        <v>1624</v>
      </c>
      <c r="C663" s="226">
        <v>539122</v>
      </c>
      <c r="D663" s="225" t="s">
        <v>597</v>
      </c>
      <c r="E663" s="225" t="s">
        <v>583</v>
      </c>
    </row>
    <row r="664" spans="2:5" ht="15.75" thickBot="1">
      <c r="B664" s="225" t="s">
        <v>1625</v>
      </c>
      <c r="C664" s="225" t="s">
        <v>597</v>
      </c>
      <c r="D664" s="225" t="s">
        <v>1626</v>
      </c>
      <c r="E664" s="225" t="s">
        <v>608</v>
      </c>
    </row>
    <row r="665" spans="2:5" ht="15.75" thickBot="1">
      <c r="B665" s="225" t="s">
        <v>1627</v>
      </c>
      <c r="C665" s="226">
        <v>501425</v>
      </c>
      <c r="D665" s="225" t="s">
        <v>1628</v>
      </c>
      <c r="E665" s="225" t="s">
        <v>1004</v>
      </c>
    </row>
    <row r="666" spans="2:5" ht="15.75" thickBot="1">
      <c r="B666" s="225" t="s">
        <v>1629</v>
      </c>
      <c r="C666" s="226">
        <v>501430</v>
      </c>
      <c r="D666" s="225" t="s">
        <v>597</v>
      </c>
      <c r="E666" s="225" t="s">
        <v>619</v>
      </c>
    </row>
    <row r="667" spans="2:5" ht="15.75" thickBot="1">
      <c r="B667" s="225" t="s">
        <v>1630</v>
      </c>
      <c r="C667" s="226">
        <v>500020</v>
      </c>
      <c r="D667" s="225" t="s">
        <v>1631</v>
      </c>
      <c r="E667" s="225" t="s">
        <v>612</v>
      </c>
    </row>
    <row r="668" spans="2:5" ht="15.75" thickBot="1">
      <c r="B668" s="225" t="s">
        <v>1632</v>
      </c>
      <c r="C668" s="226">
        <v>509470</v>
      </c>
      <c r="D668" s="225" t="s">
        <v>597</v>
      </c>
      <c r="E668" s="225" t="s">
        <v>1633</v>
      </c>
    </row>
    <row r="669" spans="2:5" ht="15.75" thickBot="1">
      <c r="B669" s="225" t="s">
        <v>1634</v>
      </c>
      <c r="C669" s="226">
        <v>502216</v>
      </c>
      <c r="D669" s="225" t="s">
        <v>597</v>
      </c>
      <c r="E669" s="225" t="s">
        <v>683</v>
      </c>
    </row>
    <row r="670" spans="2:5" ht="15.75" thickBot="1">
      <c r="B670" s="225" t="s">
        <v>1635</v>
      </c>
      <c r="C670" s="226">
        <v>532678</v>
      </c>
      <c r="D670" s="225" t="s">
        <v>1636</v>
      </c>
      <c r="E670" s="225" t="s">
        <v>612</v>
      </c>
    </row>
    <row r="671" spans="2:5" ht="15.75" thickBot="1">
      <c r="B671" s="225" t="s">
        <v>1637</v>
      </c>
      <c r="C671" s="225" t="s">
        <v>597</v>
      </c>
      <c r="D671" s="225" t="s">
        <v>1638</v>
      </c>
      <c r="E671" s="225" t="s">
        <v>608</v>
      </c>
    </row>
    <row r="672" spans="2:5" ht="15.75" thickBot="1">
      <c r="B672" s="225" t="s">
        <v>1639</v>
      </c>
      <c r="C672" s="226">
        <v>504648</v>
      </c>
      <c r="D672" s="225" t="s">
        <v>597</v>
      </c>
      <c r="E672" s="225" t="s">
        <v>920</v>
      </c>
    </row>
    <row r="673" spans="2:5" ht="15.75" thickBot="1">
      <c r="B673" s="225" t="s">
        <v>1640</v>
      </c>
      <c r="C673" s="226">
        <v>523133</v>
      </c>
      <c r="D673" s="225" t="s">
        <v>597</v>
      </c>
      <c r="E673" s="225" t="s">
        <v>612</v>
      </c>
    </row>
    <row r="674" spans="2:5" ht="15.75" thickBot="1">
      <c r="B674" s="225" t="s">
        <v>1641</v>
      </c>
      <c r="C674" s="226">
        <v>502219</v>
      </c>
      <c r="D674" s="225" t="s">
        <v>1642</v>
      </c>
      <c r="E674" s="225" t="s">
        <v>1643</v>
      </c>
    </row>
    <row r="675" spans="2:5" ht="15.75" thickBot="1">
      <c r="B675" s="225" t="s">
        <v>1644</v>
      </c>
      <c r="C675" s="226">
        <v>500530</v>
      </c>
      <c r="D675" s="225" t="s">
        <v>1645</v>
      </c>
      <c r="E675" s="225" t="s">
        <v>952</v>
      </c>
    </row>
    <row r="676" spans="2:5" ht="15.75" thickBot="1">
      <c r="B676" s="225" t="s">
        <v>1646</v>
      </c>
      <c r="C676" s="226">
        <v>536820</v>
      </c>
      <c r="D676" s="225" t="s">
        <v>597</v>
      </c>
      <c r="E676" s="225" t="s">
        <v>690</v>
      </c>
    </row>
    <row r="677" spans="2:5" ht="15.75" thickBot="1">
      <c r="B677" s="225" t="s">
        <v>1647</v>
      </c>
      <c r="C677" s="226">
        <v>536820</v>
      </c>
      <c r="D677" s="225" t="s">
        <v>597</v>
      </c>
      <c r="E677" s="225" t="s">
        <v>690</v>
      </c>
    </row>
    <row r="678" spans="2:5" ht="15.75" thickBot="1">
      <c r="B678" s="225" t="s">
        <v>1648</v>
      </c>
      <c r="C678" s="226">
        <v>535279</v>
      </c>
      <c r="D678" s="225" t="s">
        <v>597</v>
      </c>
      <c r="E678" s="225" t="s">
        <v>902</v>
      </c>
    </row>
    <row r="679" spans="2:5" ht="15.75" thickBot="1">
      <c r="B679" s="225" t="s">
        <v>1649</v>
      </c>
      <c r="C679" s="226">
        <v>500074</v>
      </c>
      <c r="D679" s="225" t="s">
        <v>1650</v>
      </c>
      <c r="E679" s="225" t="s">
        <v>966</v>
      </c>
    </row>
    <row r="680" spans="2:5" ht="15.75" thickBot="1">
      <c r="B680" s="225" t="s">
        <v>1651</v>
      </c>
      <c r="C680" s="226">
        <v>505690</v>
      </c>
      <c r="D680" s="225" t="s">
        <v>597</v>
      </c>
      <c r="E680" s="225" t="s">
        <v>675</v>
      </c>
    </row>
    <row r="681" spans="2:5" ht="15.75" thickBot="1">
      <c r="B681" s="225" t="s">
        <v>1652</v>
      </c>
      <c r="C681" s="226">
        <v>535693</v>
      </c>
      <c r="D681" s="225" t="s">
        <v>597</v>
      </c>
      <c r="E681" s="225" t="s">
        <v>995</v>
      </c>
    </row>
    <row r="682" spans="2:5" ht="15.75" thickBot="1">
      <c r="B682" s="225" t="s">
        <v>1653</v>
      </c>
      <c r="C682" s="225" t="s">
        <v>597</v>
      </c>
      <c r="D682" s="225" t="s">
        <v>1654</v>
      </c>
      <c r="E682" s="225" t="s">
        <v>608</v>
      </c>
    </row>
    <row r="683" spans="2:5" ht="15.75" thickBot="1">
      <c r="B683" s="225" t="s">
        <v>1655</v>
      </c>
      <c r="C683" s="226">
        <v>531203</v>
      </c>
      <c r="D683" s="225" t="s">
        <v>597</v>
      </c>
      <c r="E683" s="225" t="s">
        <v>681</v>
      </c>
    </row>
    <row r="684" spans="2:5" ht="15.75" thickBot="1">
      <c r="B684" s="225" t="s">
        <v>1656</v>
      </c>
      <c r="C684" s="226">
        <v>530207</v>
      </c>
      <c r="D684" s="225" t="s">
        <v>597</v>
      </c>
      <c r="E684" s="225" t="s">
        <v>635</v>
      </c>
    </row>
    <row r="685" spans="2:5" ht="15.75" thickBot="1">
      <c r="B685" s="225" t="s">
        <v>1657</v>
      </c>
      <c r="C685" s="226">
        <v>530249</v>
      </c>
      <c r="D685" s="225" t="s">
        <v>597</v>
      </c>
      <c r="E685" s="225" t="s">
        <v>580</v>
      </c>
    </row>
    <row r="686" spans="2:5" ht="15.75" thickBot="1">
      <c r="B686" s="225" t="s">
        <v>1658</v>
      </c>
      <c r="C686" s="226">
        <v>532929</v>
      </c>
      <c r="D686" s="225" t="s">
        <v>1659</v>
      </c>
      <c r="E686" s="225" t="s">
        <v>683</v>
      </c>
    </row>
    <row r="687" spans="2:5" ht="15.75" thickBot="1">
      <c r="B687" s="225" t="s">
        <v>1660</v>
      </c>
      <c r="C687" s="226">
        <v>526731</v>
      </c>
      <c r="D687" s="225" t="s">
        <v>597</v>
      </c>
      <c r="E687" s="225" t="s">
        <v>792</v>
      </c>
    </row>
    <row r="688" spans="2:5" ht="15.75" thickBot="1">
      <c r="B688" s="225" t="s">
        <v>1661</v>
      </c>
      <c r="C688" s="225" t="s">
        <v>597</v>
      </c>
      <c r="D688" s="225" t="s">
        <v>1662</v>
      </c>
      <c r="E688" s="225" t="s">
        <v>608</v>
      </c>
    </row>
    <row r="689" spans="2:5" ht="15.75" thickBot="1">
      <c r="B689" s="225" t="s">
        <v>1663</v>
      </c>
      <c r="C689" s="226">
        <v>532368</v>
      </c>
      <c r="D689" s="225" t="s">
        <v>1664</v>
      </c>
      <c r="E689" s="225" t="s">
        <v>690</v>
      </c>
    </row>
    <row r="690" spans="2:5" ht="15.75" thickBot="1">
      <c r="B690" s="225" t="s">
        <v>1665</v>
      </c>
      <c r="C690" s="226">
        <v>532113</v>
      </c>
      <c r="D690" s="225" t="s">
        <v>1666</v>
      </c>
      <c r="E690" s="225" t="s">
        <v>614</v>
      </c>
    </row>
    <row r="691" spans="2:5" ht="15.75" thickBot="1">
      <c r="B691" s="225" t="s">
        <v>1667</v>
      </c>
      <c r="C691" s="226">
        <v>539434</v>
      </c>
      <c r="D691" s="225" t="s">
        <v>597</v>
      </c>
      <c r="E691" s="225" t="s">
        <v>614</v>
      </c>
    </row>
    <row r="692" spans="2:5" ht="15.75" thickBot="1">
      <c r="B692" s="225" t="s">
        <v>1668</v>
      </c>
      <c r="C692" s="226">
        <v>500825</v>
      </c>
      <c r="D692" s="225" t="s">
        <v>1669</v>
      </c>
      <c r="E692" s="225" t="s">
        <v>657</v>
      </c>
    </row>
    <row r="693" spans="2:5" ht="15.75" thickBot="1">
      <c r="B693" s="225" t="s">
        <v>1670</v>
      </c>
      <c r="C693" s="226">
        <v>534731</v>
      </c>
      <c r="D693" s="225" t="s">
        <v>597</v>
      </c>
      <c r="E693" s="225" t="s">
        <v>995</v>
      </c>
    </row>
    <row r="694" spans="2:5" ht="15.75" thickBot="1">
      <c r="B694" s="225" t="s">
        <v>1671</v>
      </c>
      <c r="C694" s="226">
        <v>533543</v>
      </c>
      <c r="D694" s="225" t="s">
        <v>1672</v>
      </c>
      <c r="E694" s="225" t="s">
        <v>635</v>
      </c>
    </row>
    <row r="695" spans="2:5" ht="15.75" thickBot="1">
      <c r="B695" s="225" t="s">
        <v>1673</v>
      </c>
      <c r="C695" s="225" t="s">
        <v>597</v>
      </c>
      <c r="D695" s="225" t="s">
        <v>572</v>
      </c>
      <c r="E695" s="225" t="s">
        <v>688</v>
      </c>
    </row>
    <row r="696" spans="2:5" ht="15.75" thickBot="1">
      <c r="B696" s="225" t="s">
        <v>1674</v>
      </c>
      <c r="C696" s="226">
        <v>532123</v>
      </c>
      <c r="D696" s="225" t="s">
        <v>1675</v>
      </c>
      <c r="E696" s="225" t="s">
        <v>683</v>
      </c>
    </row>
    <row r="697" spans="2:5" ht="15.75" thickBot="1">
      <c r="B697" s="225" t="s">
        <v>1676</v>
      </c>
      <c r="C697" s="226">
        <v>514045</v>
      </c>
      <c r="D697" s="225" t="s">
        <v>1677</v>
      </c>
      <c r="E697" s="225" t="s">
        <v>612</v>
      </c>
    </row>
    <row r="698" spans="2:5" ht="15.75" thickBot="1">
      <c r="B698" s="225" t="s">
        <v>1678</v>
      </c>
      <c r="C698" s="226">
        <v>538789</v>
      </c>
      <c r="D698" s="225" t="s">
        <v>597</v>
      </c>
      <c r="E698" s="225" t="s">
        <v>834</v>
      </c>
    </row>
    <row r="699" spans="2:5" ht="15.75" thickBot="1">
      <c r="B699" s="225" t="s">
        <v>1679</v>
      </c>
      <c r="C699" s="226">
        <v>540006</v>
      </c>
      <c r="D699" s="225" t="s">
        <v>597</v>
      </c>
      <c r="E699" s="225" t="s">
        <v>580</v>
      </c>
    </row>
    <row r="700" spans="2:5" ht="15.75" thickBot="1">
      <c r="B700" s="225" t="s">
        <v>1680</v>
      </c>
      <c r="C700" s="226">
        <v>532931</v>
      </c>
      <c r="D700" s="225" t="s">
        <v>1681</v>
      </c>
      <c r="E700" s="225" t="s">
        <v>610</v>
      </c>
    </row>
    <row r="701" spans="2:5" ht="15.75" thickBot="1">
      <c r="B701" s="225" t="s">
        <v>1682</v>
      </c>
      <c r="C701" s="226">
        <v>517421</v>
      </c>
      <c r="D701" s="225" t="s">
        <v>1683</v>
      </c>
      <c r="E701" s="225" t="s">
        <v>1362</v>
      </c>
    </row>
    <row r="702" spans="2:5" ht="15.75" thickBot="1">
      <c r="B702" s="225" t="s">
        <v>1684</v>
      </c>
      <c r="C702" s="226">
        <v>504643</v>
      </c>
      <c r="D702" s="225" t="s">
        <v>597</v>
      </c>
      <c r="E702" s="225" t="s">
        <v>920</v>
      </c>
    </row>
    <row r="703" spans="2:5" ht="15.75" thickBot="1">
      <c r="B703" s="225" t="s">
        <v>1685</v>
      </c>
      <c r="C703" s="226">
        <v>532813</v>
      </c>
      <c r="D703" s="225" t="s">
        <v>1686</v>
      </c>
      <c r="E703" s="225" t="s">
        <v>995</v>
      </c>
    </row>
    <row r="704" spans="2:5" ht="15.75" thickBot="1">
      <c r="B704" s="225" t="s">
        <v>1687</v>
      </c>
      <c r="C704" s="226">
        <v>507515</v>
      </c>
      <c r="D704" s="225" t="s">
        <v>597</v>
      </c>
      <c r="E704" s="225" t="s">
        <v>757</v>
      </c>
    </row>
    <row r="705" spans="2:5" ht="15.75" thickBot="1">
      <c r="B705" s="225" t="s">
        <v>1688</v>
      </c>
      <c r="C705" s="226">
        <v>532321</v>
      </c>
      <c r="D705" s="225" t="s">
        <v>1689</v>
      </c>
      <c r="E705" s="225" t="s">
        <v>635</v>
      </c>
    </row>
    <row r="706" spans="2:5" ht="15.75" thickBot="1">
      <c r="B706" s="225" t="s">
        <v>1690</v>
      </c>
      <c r="C706" s="225" t="s">
        <v>597</v>
      </c>
      <c r="D706" s="225" t="s">
        <v>1691</v>
      </c>
      <c r="E706" s="225" t="s">
        <v>608</v>
      </c>
    </row>
    <row r="707" spans="2:5" ht="15.75" thickBot="1">
      <c r="B707" s="225" t="s">
        <v>1692</v>
      </c>
      <c r="C707" s="225" t="s">
        <v>597</v>
      </c>
      <c r="D707" s="225" t="s">
        <v>1691</v>
      </c>
      <c r="E707" s="225" t="s">
        <v>608</v>
      </c>
    </row>
    <row r="708" spans="2:5" ht="15.75" thickBot="1">
      <c r="B708" s="225" t="s">
        <v>1693</v>
      </c>
      <c r="C708" s="226">
        <v>517236</v>
      </c>
      <c r="D708" s="225" t="s">
        <v>597</v>
      </c>
      <c r="E708" s="225" t="s">
        <v>966</v>
      </c>
    </row>
    <row r="709" spans="2:5" ht="15.75" thickBot="1">
      <c r="B709" s="225" t="s">
        <v>1694</v>
      </c>
      <c r="C709" s="226">
        <v>532386</v>
      </c>
      <c r="D709" s="225" t="s">
        <v>1695</v>
      </c>
      <c r="E709" s="225" t="s">
        <v>690</v>
      </c>
    </row>
    <row r="710" spans="2:5" ht="15.75" thickBot="1">
      <c r="B710" s="225" t="s">
        <v>1696</v>
      </c>
      <c r="C710" s="226">
        <v>532801</v>
      </c>
      <c r="D710" s="225" t="s">
        <v>1697</v>
      </c>
      <c r="E710" s="225" t="s">
        <v>690</v>
      </c>
    </row>
    <row r="711" spans="2:5" ht="15.75" thickBot="1">
      <c r="B711" s="225" t="s">
        <v>1698</v>
      </c>
      <c r="C711" s="226">
        <v>524440</v>
      </c>
      <c r="D711" s="225" t="s">
        <v>597</v>
      </c>
      <c r="E711" s="225" t="s">
        <v>645</v>
      </c>
    </row>
    <row r="712" spans="2:5" ht="15.75" thickBot="1">
      <c r="B712" s="225" t="s">
        <v>1699</v>
      </c>
      <c r="C712" s="226">
        <v>532834</v>
      </c>
      <c r="D712" s="225" t="s">
        <v>1700</v>
      </c>
      <c r="E712" s="225" t="s">
        <v>757</v>
      </c>
    </row>
    <row r="713" spans="2:5" ht="15.75" thickBot="1">
      <c r="B713" s="225" t="s">
        <v>1701</v>
      </c>
      <c r="C713" s="226">
        <v>538858</v>
      </c>
      <c r="D713" s="225" t="s">
        <v>597</v>
      </c>
      <c r="E713" s="225" t="s">
        <v>935</v>
      </c>
    </row>
    <row r="714" spans="2:5" ht="15.75" thickBot="1">
      <c r="B714" s="225" t="s">
        <v>1702</v>
      </c>
      <c r="C714" s="226">
        <v>540071</v>
      </c>
      <c r="D714" s="225" t="s">
        <v>597</v>
      </c>
      <c r="E714" s="225" t="s">
        <v>795</v>
      </c>
    </row>
    <row r="715" spans="2:5" ht="15.75" thickBot="1">
      <c r="B715" s="225" t="s">
        <v>1703</v>
      </c>
      <c r="C715" s="226">
        <v>511196</v>
      </c>
      <c r="D715" s="225" t="s">
        <v>1704</v>
      </c>
      <c r="E715" s="225" t="s">
        <v>655</v>
      </c>
    </row>
    <row r="716" spans="2:5" ht="15.75" thickBot="1">
      <c r="B716" s="225" t="s">
        <v>1705</v>
      </c>
      <c r="C716" s="226">
        <v>532483</v>
      </c>
      <c r="D716" s="225" t="s">
        <v>1706</v>
      </c>
      <c r="E716" s="225" t="s">
        <v>915</v>
      </c>
    </row>
    <row r="717" spans="2:5" ht="15.75" thickBot="1">
      <c r="B717" s="225" t="s">
        <v>1707</v>
      </c>
      <c r="C717" s="226">
        <v>539304</v>
      </c>
      <c r="D717" s="225" t="s">
        <v>597</v>
      </c>
      <c r="E717" s="225" t="s">
        <v>580</v>
      </c>
    </row>
    <row r="718" spans="2:5" ht="15.75" thickBot="1">
      <c r="B718" s="225" t="s">
        <v>1708</v>
      </c>
      <c r="C718" s="226">
        <v>533267</v>
      </c>
      <c r="D718" s="225" t="s">
        <v>1709</v>
      </c>
      <c r="E718" s="225" t="s">
        <v>711</v>
      </c>
    </row>
    <row r="719" spans="2:5" ht="15.75" thickBot="1">
      <c r="B719" s="225" t="s">
        <v>1710</v>
      </c>
      <c r="C719" s="226">
        <v>533267</v>
      </c>
      <c r="D719" s="225" t="s">
        <v>1709</v>
      </c>
      <c r="E719" s="225" t="s">
        <v>711</v>
      </c>
    </row>
    <row r="720" spans="2:5" ht="15.75" thickBot="1">
      <c r="B720" s="225" t="s">
        <v>1711</v>
      </c>
      <c r="C720" s="226">
        <v>540710</v>
      </c>
      <c r="D720" s="225" t="s">
        <v>1712</v>
      </c>
      <c r="E720" s="225" t="s">
        <v>683</v>
      </c>
    </row>
    <row r="721" spans="2:5" ht="15.75" thickBot="1">
      <c r="B721" s="225" t="s">
        <v>1713</v>
      </c>
      <c r="C721" s="226">
        <v>539198</v>
      </c>
      <c r="D721" s="225" t="s">
        <v>597</v>
      </c>
      <c r="E721" s="225" t="s">
        <v>580</v>
      </c>
    </row>
    <row r="722" spans="2:5" ht="15.75" thickBot="1">
      <c r="B722" s="225" t="s">
        <v>1714</v>
      </c>
      <c r="C722" s="226">
        <v>539198</v>
      </c>
      <c r="D722" s="225" t="s">
        <v>597</v>
      </c>
      <c r="E722" s="225" t="s">
        <v>580</v>
      </c>
    </row>
    <row r="723" spans="2:5" ht="15.75" thickBot="1">
      <c r="B723" s="225" t="s">
        <v>1715</v>
      </c>
      <c r="C723" s="226">
        <v>532938</v>
      </c>
      <c r="D723" s="225" t="s">
        <v>1716</v>
      </c>
      <c r="E723" s="225" t="s">
        <v>580</v>
      </c>
    </row>
    <row r="724" spans="2:5" ht="15.75" thickBot="1">
      <c r="B724" s="225" t="s">
        <v>1717</v>
      </c>
      <c r="C724" s="226">
        <v>530879</v>
      </c>
      <c r="D724" s="225" t="s">
        <v>597</v>
      </c>
      <c r="E724" s="225" t="s">
        <v>580</v>
      </c>
    </row>
    <row r="725" spans="2:5" ht="15.75" thickBot="1">
      <c r="B725" s="225" t="s">
        <v>1718</v>
      </c>
      <c r="C725" s="226">
        <v>538476</v>
      </c>
      <c r="D725" s="225" t="s">
        <v>597</v>
      </c>
      <c r="E725" s="225" t="s">
        <v>614</v>
      </c>
    </row>
    <row r="726" spans="2:5" ht="15.75" thickBot="1">
      <c r="B726" s="225" t="s">
        <v>1719</v>
      </c>
      <c r="C726" s="226">
        <v>511505</v>
      </c>
      <c r="D726" s="225" t="s">
        <v>1720</v>
      </c>
      <c r="E726" s="225" t="s">
        <v>614</v>
      </c>
    </row>
    <row r="727" spans="2:5" ht="15.75" thickBot="1">
      <c r="B727" s="225" t="s">
        <v>1721</v>
      </c>
      <c r="C727" s="226">
        <v>524742</v>
      </c>
      <c r="D727" s="225" t="s">
        <v>1722</v>
      </c>
      <c r="E727" s="225" t="s">
        <v>635</v>
      </c>
    </row>
    <row r="728" spans="2:5" ht="15.75" thickBot="1">
      <c r="B728" s="225" t="s">
        <v>1723</v>
      </c>
      <c r="C728" s="226">
        <v>531595</v>
      </c>
      <c r="D728" s="225" t="s">
        <v>1724</v>
      </c>
      <c r="E728" s="225" t="s">
        <v>614</v>
      </c>
    </row>
    <row r="729" spans="2:5" ht="15.75" thickBot="1">
      <c r="B729" s="225" t="s">
        <v>1725</v>
      </c>
      <c r="C729" s="226">
        <v>512169</v>
      </c>
      <c r="D729" s="225" t="s">
        <v>597</v>
      </c>
      <c r="E729" s="225" t="s">
        <v>1018</v>
      </c>
    </row>
    <row r="730" spans="2:5" ht="15.75" thickBot="1">
      <c r="B730" s="225" t="s">
        <v>1726</v>
      </c>
      <c r="C730" s="226">
        <v>509486</v>
      </c>
      <c r="D730" s="225" t="s">
        <v>597</v>
      </c>
      <c r="E730" s="225" t="s">
        <v>717</v>
      </c>
    </row>
    <row r="731" spans="2:5" ht="15.75" thickBot="1">
      <c r="B731" s="225" t="s">
        <v>1727</v>
      </c>
      <c r="C731" s="226">
        <v>509486</v>
      </c>
      <c r="D731" s="225" t="s">
        <v>597</v>
      </c>
      <c r="E731" s="225" t="s">
        <v>717</v>
      </c>
    </row>
    <row r="732" spans="2:5" ht="15.75" thickBot="1">
      <c r="B732" s="225" t="s">
        <v>1728</v>
      </c>
      <c r="C732" s="226">
        <v>507486</v>
      </c>
      <c r="D732" s="225" t="s">
        <v>597</v>
      </c>
      <c r="E732" s="225" t="s">
        <v>645</v>
      </c>
    </row>
    <row r="733" spans="2:5" ht="15.75" thickBot="1">
      <c r="B733" s="225" t="s">
        <v>1729</v>
      </c>
      <c r="C733" s="226">
        <v>538817</v>
      </c>
      <c r="D733" s="225" t="s">
        <v>597</v>
      </c>
      <c r="E733" s="225" t="s">
        <v>717</v>
      </c>
    </row>
    <row r="734" spans="2:5" ht="15.75" thickBot="1">
      <c r="B734" s="225" t="s">
        <v>1730</v>
      </c>
      <c r="C734" s="226">
        <v>536974</v>
      </c>
      <c r="D734" s="225" t="s">
        <v>597</v>
      </c>
      <c r="E734" s="225" t="s">
        <v>717</v>
      </c>
    </row>
    <row r="735" spans="2:5" ht="15.75" thickBot="1">
      <c r="B735" s="225" t="s">
        <v>1731</v>
      </c>
      <c r="C735" s="226">
        <v>540652</v>
      </c>
      <c r="D735" s="225" t="s">
        <v>597</v>
      </c>
      <c r="E735" s="225" t="s">
        <v>782</v>
      </c>
    </row>
    <row r="736" spans="2:5" ht="15.75" thickBot="1">
      <c r="B736" s="225" t="s">
        <v>1732</v>
      </c>
      <c r="C736" s="226">
        <v>513375</v>
      </c>
      <c r="D736" s="225" t="s">
        <v>1733</v>
      </c>
      <c r="E736" s="225" t="s">
        <v>1517</v>
      </c>
    </row>
    <row r="737" spans="2:5" ht="15.75" thickBot="1">
      <c r="B737" s="225" t="s">
        <v>1734</v>
      </c>
      <c r="C737" s="226">
        <v>534804</v>
      </c>
      <c r="D737" s="225" t="s">
        <v>1735</v>
      </c>
      <c r="E737" s="225" t="s">
        <v>580</v>
      </c>
    </row>
    <row r="738" spans="2:5" ht="15.75" thickBot="1">
      <c r="B738" s="225" t="s">
        <v>1736</v>
      </c>
      <c r="C738" s="226">
        <v>533260</v>
      </c>
      <c r="D738" s="225" t="s">
        <v>1737</v>
      </c>
      <c r="E738" s="225" t="s">
        <v>702</v>
      </c>
    </row>
    <row r="739" spans="2:5" ht="15.75" thickBot="1">
      <c r="B739" s="225" t="s">
        <v>1738</v>
      </c>
      <c r="C739" s="226">
        <v>530609</v>
      </c>
      <c r="D739" s="225" t="s">
        <v>597</v>
      </c>
      <c r="E739" s="225" t="s">
        <v>1517</v>
      </c>
    </row>
    <row r="740" spans="2:5" ht="15.75" thickBot="1">
      <c r="B740" s="225" t="s">
        <v>1739</v>
      </c>
      <c r="C740" s="226">
        <v>532282</v>
      </c>
      <c r="D740" s="225" t="s">
        <v>1740</v>
      </c>
      <c r="E740" s="225" t="s">
        <v>952</v>
      </c>
    </row>
    <row r="741" spans="2:5" ht="15.75" thickBot="1">
      <c r="B741" s="225" t="s">
        <v>1741</v>
      </c>
      <c r="C741" s="226">
        <v>500870</v>
      </c>
      <c r="D741" s="225" t="s">
        <v>1742</v>
      </c>
      <c r="E741" s="225" t="s">
        <v>807</v>
      </c>
    </row>
    <row r="742" spans="2:5" ht="15.75" thickBot="1">
      <c r="B742" s="225" t="s">
        <v>1743</v>
      </c>
      <c r="C742" s="226">
        <v>500870</v>
      </c>
      <c r="D742" s="225" t="s">
        <v>1742</v>
      </c>
      <c r="E742" s="225" t="s">
        <v>807</v>
      </c>
    </row>
    <row r="743" spans="2:5" ht="15.75" thickBot="1">
      <c r="B743" s="225" t="s">
        <v>1744</v>
      </c>
      <c r="C743" s="226">
        <v>531682</v>
      </c>
      <c r="D743" s="225" t="s">
        <v>597</v>
      </c>
      <c r="E743" s="225" t="s">
        <v>583</v>
      </c>
    </row>
    <row r="744" spans="2:5" ht="15.75" thickBot="1">
      <c r="B744" s="225" t="s">
        <v>1745</v>
      </c>
      <c r="C744" s="226">
        <v>531158</v>
      </c>
      <c r="D744" s="225" t="s">
        <v>597</v>
      </c>
      <c r="E744" s="225" t="s">
        <v>619</v>
      </c>
    </row>
    <row r="745" spans="2:5" ht="15.75" thickBot="1">
      <c r="B745" s="225" t="s">
        <v>1746</v>
      </c>
      <c r="C745" s="226">
        <v>531900</v>
      </c>
      <c r="D745" s="225" t="s">
        <v>597</v>
      </c>
      <c r="E745" s="225" t="s">
        <v>619</v>
      </c>
    </row>
    <row r="746" spans="2:5" ht="15.75" thickBot="1">
      <c r="B746" s="225" t="s">
        <v>1747</v>
      </c>
      <c r="C746" s="226">
        <v>519600</v>
      </c>
      <c r="D746" s="225" t="s">
        <v>1748</v>
      </c>
      <c r="E746" s="225" t="s">
        <v>1004</v>
      </c>
    </row>
    <row r="747" spans="2:5" ht="15.75" thickBot="1">
      <c r="B747" s="225" t="s">
        <v>1749</v>
      </c>
      <c r="C747" s="226">
        <v>519600</v>
      </c>
      <c r="D747" s="225" t="s">
        <v>1748</v>
      </c>
      <c r="E747" s="225" t="s">
        <v>1004</v>
      </c>
    </row>
    <row r="748" spans="2:5" ht="15.75" thickBot="1">
      <c r="B748" s="225" t="s">
        <v>1750</v>
      </c>
      <c r="C748" s="226">
        <v>500878</v>
      </c>
      <c r="D748" s="225" t="s">
        <v>1751</v>
      </c>
      <c r="E748" s="225" t="s">
        <v>1077</v>
      </c>
    </row>
    <row r="749" spans="2:5" ht="15.75" thickBot="1">
      <c r="B749" s="225" t="s">
        <v>1752</v>
      </c>
      <c r="C749" s="226">
        <v>530789</v>
      </c>
      <c r="D749" s="225" t="s">
        <v>597</v>
      </c>
      <c r="E749" s="225" t="s">
        <v>717</v>
      </c>
    </row>
    <row r="750" spans="2:5" ht="15.75" thickBot="1">
      <c r="B750" s="225" t="s">
        <v>1753</v>
      </c>
      <c r="C750" s="226">
        <v>531119</v>
      </c>
      <c r="D750" s="225" t="s">
        <v>597</v>
      </c>
      <c r="E750" s="225" t="s">
        <v>711</v>
      </c>
    </row>
    <row r="751" spans="2:5" ht="15.75" thickBot="1">
      <c r="B751" s="225" t="s">
        <v>1754</v>
      </c>
      <c r="C751" s="226">
        <v>531119</v>
      </c>
      <c r="D751" s="225" t="s">
        <v>597</v>
      </c>
      <c r="E751" s="225" t="s">
        <v>711</v>
      </c>
    </row>
    <row r="752" spans="2:5" ht="15.75" thickBot="1">
      <c r="B752" s="225" t="s">
        <v>1755</v>
      </c>
      <c r="C752" s="226">
        <v>514171</v>
      </c>
      <c r="D752" s="225" t="s">
        <v>597</v>
      </c>
      <c r="E752" s="225" t="s">
        <v>1125</v>
      </c>
    </row>
    <row r="753" spans="2:5" ht="15.75" thickBot="1">
      <c r="B753" s="225" t="s">
        <v>1756</v>
      </c>
      <c r="C753" s="226">
        <v>538734</v>
      </c>
      <c r="D753" s="225" t="s">
        <v>597</v>
      </c>
      <c r="E753" s="225" t="s">
        <v>583</v>
      </c>
    </row>
    <row r="754" spans="2:5" ht="15.75" thickBot="1">
      <c r="B754" s="225" t="s">
        <v>1757</v>
      </c>
      <c r="C754" s="226">
        <v>532695</v>
      </c>
      <c r="D754" s="225" t="s">
        <v>1758</v>
      </c>
      <c r="E754" s="225" t="s">
        <v>711</v>
      </c>
    </row>
    <row r="755" spans="2:5" ht="15.75" thickBot="1">
      <c r="B755" s="225" t="s">
        <v>1759</v>
      </c>
      <c r="C755" s="226">
        <v>532871</v>
      </c>
      <c r="D755" s="225" t="s">
        <v>1760</v>
      </c>
      <c r="E755" s="225" t="s">
        <v>935</v>
      </c>
    </row>
    <row r="756" spans="2:5" ht="15.75" thickBot="1">
      <c r="B756" s="225" t="s">
        <v>1761</v>
      </c>
      <c r="C756" s="226">
        <v>532701</v>
      </c>
      <c r="D756" s="225" t="s">
        <v>597</v>
      </c>
      <c r="E756" s="225" t="s">
        <v>591</v>
      </c>
    </row>
    <row r="757" spans="2:5" ht="15.75" thickBot="1">
      <c r="B757" s="225" t="s">
        <v>1762</v>
      </c>
      <c r="C757" s="226">
        <v>522251</v>
      </c>
      <c r="D757" s="225" t="s">
        <v>597</v>
      </c>
      <c r="E757" s="225" t="s">
        <v>605</v>
      </c>
    </row>
    <row r="758" spans="2:5" ht="15.75" thickBot="1">
      <c r="B758" s="225" t="s">
        <v>1763</v>
      </c>
      <c r="C758" s="226">
        <v>531380</v>
      </c>
      <c r="D758" s="225" t="s">
        <v>597</v>
      </c>
      <c r="E758" s="225" t="s">
        <v>1764</v>
      </c>
    </row>
    <row r="759" spans="2:5" ht="15.75" thickBot="1">
      <c r="B759" s="225" t="s">
        <v>1765</v>
      </c>
      <c r="C759" s="226">
        <v>532885</v>
      </c>
      <c r="D759" s="225" t="s">
        <v>1766</v>
      </c>
      <c r="E759" s="225" t="s">
        <v>915</v>
      </c>
    </row>
    <row r="760" spans="2:5" ht="15.75" thickBot="1">
      <c r="B760" s="225" t="s">
        <v>1767</v>
      </c>
      <c r="C760" s="225" t="s">
        <v>597</v>
      </c>
      <c r="D760" s="225" t="s">
        <v>1768</v>
      </c>
      <c r="E760" s="225" t="s">
        <v>688</v>
      </c>
    </row>
    <row r="761" spans="2:5" ht="15.75" thickBot="1">
      <c r="B761" s="225" t="s">
        <v>1769</v>
      </c>
      <c r="C761" s="225" t="s">
        <v>597</v>
      </c>
      <c r="D761" s="225" t="s">
        <v>1768</v>
      </c>
      <c r="E761" s="225" t="s">
        <v>688</v>
      </c>
    </row>
    <row r="762" spans="2:5" ht="15.75" thickBot="1">
      <c r="B762" s="225" t="s">
        <v>1770</v>
      </c>
      <c r="C762" s="226">
        <v>501827</v>
      </c>
      <c r="D762" s="225" t="s">
        <v>597</v>
      </c>
      <c r="E762" s="225" t="s">
        <v>669</v>
      </c>
    </row>
    <row r="763" spans="2:5" ht="15.75" thickBot="1">
      <c r="B763" s="225" t="s">
        <v>1771</v>
      </c>
      <c r="C763" s="226">
        <v>501150</v>
      </c>
      <c r="D763" s="225" t="s">
        <v>1772</v>
      </c>
      <c r="E763" s="225" t="s">
        <v>580</v>
      </c>
    </row>
    <row r="764" spans="2:5" ht="15.75" thickBot="1">
      <c r="B764" s="225" t="s">
        <v>1773</v>
      </c>
      <c r="C764" s="226">
        <v>517544</v>
      </c>
      <c r="D764" s="225" t="s">
        <v>1774</v>
      </c>
      <c r="E764" s="225" t="s">
        <v>1018</v>
      </c>
    </row>
    <row r="765" spans="2:5" ht="15.75" thickBot="1">
      <c r="B765" s="225" t="s">
        <v>1775</v>
      </c>
      <c r="C765" s="226">
        <v>500280</v>
      </c>
      <c r="D765" s="225" t="s">
        <v>1776</v>
      </c>
      <c r="E765" s="225" t="s">
        <v>612</v>
      </c>
    </row>
    <row r="766" spans="2:5" ht="15.75" thickBot="1">
      <c r="B766" s="225" t="s">
        <v>1777</v>
      </c>
      <c r="C766" s="226">
        <v>500083</v>
      </c>
      <c r="D766" s="225" t="s">
        <v>1778</v>
      </c>
      <c r="E766" s="225" t="s">
        <v>902</v>
      </c>
    </row>
    <row r="767" spans="2:5" ht="15.75" thickBot="1">
      <c r="B767" s="225" t="s">
        <v>1779</v>
      </c>
      <c r="C767" s="226">
        <v>532548</v>
      </c>
      <c r="D767" s="225" t="s">
        <v>1780</v>
      </c>
      <c r="E767" s="225" t="s">
        <v>1092</v>
      </c>
    </row>
    <row r="768" spans="2:5" ht="15.75" thickBot="1">
      <c r="B768" s="225" t="s">
        <v>1781</v>
      </c>
      <c r="C768" s="226">
        <v>532548</v>
      </c>
      <c r="D768" s="225" t="s">
        <v>1780</v>
      </c>
      <c r="E768" s="225" t="s">
        <v>1092</v>
      </c>
    </row>
    <row r="769" spans="2:5" ht="15.75" thickBot="1">
      <c r="B769" s="225" t="s">
        <v>1782</v>
      </c>
      <c r="C769" s="226">
        <v>500040</v>
      </c>
      <c r="D769" s="225" t="s">
        <v>1783</v>
      </c>
      <c r="E769" s="225" t="s">
        <v>610</v>
      </c>
    </row>
    <row r="770" spans="2:5" ht="15.75" thickBot="1">
      <c r="B770" s="225" t="s">
        <v>1784</v>
      </c>
      <c r="C770" s="226">
        <v>530881</v>
      </c>
      <c r="D770" s="225" t="s">
        <v>597</v>
      </c>
      <c r="E770" s="225" t="s">
        <v>580</v>
      </c>
    </row>
    <row r="771" spans="2:5" ht="15.75" thickBot="1">
      <c r="B771" s="225" t="s">
        <v>1785</v>
      </c>
      <c r="C771" s="226">
        <v>532443</v>
      </c>
      <c r="D771" s="225" t="s">
        <v>1786</v>
      </c>
      <c r="E771" s="225" t="s">
        <v>874</v>
      </c>
    </row>
    <row r="772" spans="2:5" ht="15.75" thickBot="1">
      <c r="B772" s="225" t="s">
        <v>1787</v>
      </c>
      <c r="C772" s="226">
        <v>532413</v>
      </c>
      <c r="D772" s="225" t="s">
        <v>1788</v>
      </c>
      <c r="E772" s="225" t="s">
        <v>922</v>
      </c>
    </row>
    <row r="773" spans="2:5" ht="15.75" thickBot="1">
      <c r="B773" s="225" t="s">
        <v>1789</v>
      </c>
      <c r="C773" s="226">
        <v>512341</v>
      </c>
      <c r="D773" s="225" t="s">
        <v>597</v>
      </c>
      <c r="E773" s="225" t="s">
        <v>927</v>
      </c>
    </row>
    <row r="774" spans="2:5" ht="15.75" thickBot="1">
      <c r="B774" s="225" t="s">
        <v>1790</v>
      </c>
      <c r="C774" s="226">
        <v>500084</v>
      </c>
      <c r="D774" s="225" t="s">
        <v>557</v>
      </c>
      <c r="E774" s="225" t="s">
        <v>736</v>
      </c>
    </row>
    <row r="775" spans="2:5" ht="15.75" thickBot="1">
      <c r="B775" s="225" t="s">
        <v>1791</v>
      </c>
      <c r="C775" s="225" t="s">
        <v>597</v>
      </c>
      <c r="D775" s="225" t="s">
        <v>1792</v>
      </c>
      <c r="E775" s="225" t="s">
        <v>1793</v>
      </c>
    </row>
    <row r="776" spans="2:5" ht="15.75" thickBot="1">
      <c r="B776" s="225" t="s">
        <v>1794</v>
      </c>
      <c r="C776" s="226">
        <v>542333</v>
      </c>
      <c r="D776" s="225" t="s">
        <v>1795</v>
      </c>
      <c r="E776" s="225" t="s">
        <v>1793</v>
      </c>
    </row>
    <row r="777" spans="2:5" ht="15.75" thickBot="1">
      <c r="B777" s="225" t="s">
        <v>1796</v>
      </c>
      <c r="C777" s="226">
        <v>500093</v>
      </c>
      <c r="D777" s="225" t="s">
        <v>1797</v>
      </c>
      <c r="E777" s="225" t="s">
        <v>640</v>
      </c>
    </row>
    <row r="778" spans="2:5" ht="15.75" thickBot="1">
      <c r="B778" s="225" t="s">
        <v>1798</v>
      </c>
      <c r="C778" s="226">
        <v>531489</v>
      </c>
      <c r="D778" s="225" t="s">
        <v>597</v>
      </c>
      <c r="E778" s="225" t="s">
        <v>690</v>
      </c>
    </row>
    <row r="779" spans="2:5" ht="15.75" thickBot="1">
      <c r="B779" s="225" t="s">
        <v>1799</v>
      </c>
      <c r="C779" s="226">
        <v>531946</v>
      </c>
      <c r="D779" s="225" t="s">
        <v>597</v>
      </c>
      <c r="E779" s="225" t="s">
        <v>591</v>
      </c>
    </row>
    <row r="780" spans="2:5" ht="15.75" thickBot="1">
      <c r="B780" s="225" t="s">
        <v>1800</v>
      </c>
      <c r="C780" s="226">
        <v>542399</v>
      </c>
      <c r="D780" s="225" t="s">
        <v>1801</v>
      </c>
      <c r="E780" s="225" t="s">
        <v>798</v>
      </c>
    </row>
    <row r="781" spans="2:5" ht="15.75" thickBot="1">
      <c r="B781" s="225" t="s">
        <v>1802</v>
      </c>
      <c r="C781" s="226">
        <v>539600</v>
      </c>
      <c r="D781" s="225" t="s">
        <v>597</v>
      </c>
      <c r="E781" s="225" t="s">
        <v>619</v>
      </c>
    </row>
    <row r="782" spans="2:5" ht="15.75" thickBot="1">
      <c r="B782" s="225" t="s">
        <v>1803</v>
      </c>
      <c r="C782" s="226">
        <v>530307</v>
      </c>
      <c r="D782" s="225" t="s">
        <v>597</v>
      </c>
      <c r="E782" s="225" t="s">
        <v>795</v>
      </c>
    </row>
    <row r="783" spans="2:5" ht="15.75" thickBot="1">
      <c r="B783" s="225" t="s">
        <v>1804</v>
      </c>
      <c r="C783" s="226">
        <v>512301</v>
      </c>
      <c r="D783" s="225" t="s">
        <v>597</v>
      </c>
      <c r="E783" s="225" t="s">
        <v>619</v>
      </c>
    </row>
    <row r="784" spans="2:5" ht="15.75" thickBot="1">
      <c r="B784" s="225" t="s">
        <v>1805</v>
      </c>
      <c r="C784" s="226">
        <v>500085</v>
      </c>
      <c r="D784" s="225" t="s">
        <v>1806</v>
      </c>
      <c r="E784" s="225" t="s">
        <v>1105</v>
      </c>
    </row>
    <row r="785" spans="2:5" ht="15.75" thickBot="1">
      <c r="B785" s="225" t="s">
        <v>1807</v>
      </c>
      <c r="C785" s="226">
        <v>542627</v>
      </c>
      <c r="D785" s="225" t="s">
        <v>1808</v>
      </c>
      <c r="E785" s="225" t="s">
        <v>963</v>
      </c>
    </row>
    <row r="786" spans="2:5" ht="15.75" thickBot="1">
      <c r="B786" s="225" t="s">
        <v>1809</v>
      </c>
      <c r="C786" s="226">
        <v>522292</v>
      </c>
      <c r="D786" s="225" t="s">
        <v>597</v>
      </c>
      <c r="E786" s="225" t="s">
        <v>612</v>
      </c>
    </row>
    <row r="787" spans="2:5" ht="15.75" thickBot="1">
      <c r="B787" s="225" t="s">
        <v>1810</v>
      </c>
      <c r="C787" s="226">
        <v>530309</v>
      </c>
      <c r="D787" s="225" t="s">
        <v>597</v>
      </c>
      <c r="E787" s="225" t="s">
        <v>619</v>
      </c>
    </row>
    <row r="788" spans="2:5" ht="15.75" thickBot="1">
      <c r="B788" s="225" t="s">
        <v>1811</v>
      </c>
      <c r="C788" s="226">
        <v>540829</v>
      </c>
      <c r="D788" s="225" t="s">
        <v>597</v>
      </c>
      <c r="E788" s="225" t="s">
        <v>619</v>
      </c>
    </row>
    <row r="789" spans="2:5" ht="15.75" thickBot="1">
      <c r="B789" s="225" t="s">
        <v>1812</v>
      </c>
      <c r="C789" s="226">
        <v>535142</v>
      </c>
      <c r="D789" s="225" t="s">
        <v>597</v>
      </c>
      <c r="E789" s="225" t="s">
        <v>600</v>
      </c>
    </row>
    <row r="790" spans="2:5" ht="15.75" thickBot="1">
      <c r="B790" s="225" t="s">
        <v>1813</v>
      </c>
      <c r="C790" s="226">
        <v>531327</v>
      </c>
      <c r="D790" s="225" t="s">
        <v>597</v>
      </c>
      <c r="E790" s="225" t="s">
        <v>580</v>
      </c>
    </row>
    <row r="791" spans="2:5" ht="15.75" thickBot="1">
      <c r="B791" s="225" t="s">
        <v>1814</v>
      </c>
      <c r="C791" s="226">
        <v>511696</v>
      </c>
      <c r="D791" s="225" t="s">
        <v>597</v>
      </c>
      <c r="E791" s="225" t="s">
        <v>580</v>
      </c>
    </row>
    <row r="792" spans="2:5" ht="15.75" thickBot="1">
      <c r="B792" s="225" t="s">
        <v>1815</v>
      </c>
      <c r="C792" s="226">
        <v>531977</v>
      </c>
      <c r="D792" s="225" t="s">
        <v>597</v>
      </c>
      <c r="E792" s="225" t="s">
        <v>669</v>
      </c>
    </row>
    <row r="793" spans="2:5" ht="15.75" thickBot="1">
      <c r="B793" s="225" t="s">
        <v>1816</v>
      </c>
      <c r="C793" s="226">
        <v>504671</v>
      </c>
      <c r="D793" s="225" t="s">
        <v>597</v>
      </c>
      <c r="E793" s="225" t="s">
        <v>629</v>
      </c>
    </row>
    <row r="794" spans="2:5" ht="15.75" thickBot="1">
      <c r="B794" s="225" t="s">
        <v>1817</v>
      </c>
      <c r="C794" s="226">
        <v>539800</v>
      </c>
      <c r="D794" s="225" t="s">
        <v>597</v>
      </c>
      <c r="E794" s="225" t="s">
        <v>619</v>
      </c>
    </row>
    <row r="795" spans="2:5" ht="15.75" thickBot="1">
      <c r="B795" s="225" t="s">
        <v>1818</v>
      </c>
      <c r="C795" s="226">
        <v>526917</v>
      </c>
      <c r="D795" s="225" t="s">
        <v>597</v>
      </c>
      <c r="E795" s="225" t="s">
        <v>683</v>
      </c>
    </row>
    <row r="796" spans="2:5" ht="15.75" thickBot="1">
      <c r="B796" s="225" t="s">
        <v>1819</v>
      </c>
      <c r="C796" s="226">
        <v>530871</v>
      </c>
      <c r="D796" s="225" t="s">
        <v>597</v>
      </c>
      <c r="E796" s="225" t="s">
        <v>757</v>
      </c>
    </row>
    <row r="797" spans="2:5" ht="15.75" thickBot="1">
      <c r="B797" s="225" t="s">
        <v>1820</v>
      </c>
      <c r="C797" s="226">
        <v>540395</v>
      </c>
      <c r="D797" s="225" t="s">
        <v>597</v>
      </c>
      <c r="E797" s="225" t="s">
        <v>757</v>
      </c>
    </row>
    <row r="798" spans="2:5" ht="15.75" thickBot="1">
      <c r="B798" s="225" t="s">
        <v>1821</v>
      </c>
      <c r="C798" s="226">
        <v>541269</v>
      </c>
      <c r="D798" s="225" t="s">
        <v>1822</v>
      </c>
      <c r="E798" s="225" t="s">
        <v>645</v>
      </c>
    </row>
    <row r="799" spans="2:5" ht="15.75" thickBot="1">
      <c r="B799" s="225" t="s">
        <v>1823</v>
      </c>
      <c r="C799" s="226">
        <v>539230</v>
      </c>
      <c r="D799" s="225" t="s">
        <v>597</v>
      </c>
      <c r="E799" s="225" t="s">
        <v>757</v>
      </c>
    </row>
    <row r="800" spans="2:5" ht="15.75" thickBot="1">
      <c r="B800" s="225" t="s">
        <v>1824</v>
      </c>
      <c r="C800" s="226">
        <v>506365</v>
      </c>
      <c r="D800" s="225" t="s">
        <v>597</v>
      </c>
      <c r="E800" s="225" t="s">
        <v>635</v>
      </c>
    </row>
    <row r="801" spans="2:5" ht="15.75" thickBot="1">
      <c r="B801" s="225" t="s">
        <v>1825</v>
      </c>
      <c r="C801" s="226">
        <v>537326</v>
      </c>
      <c r="D801" s="225" t="s">
        <v>597</v>
      </c>
      <c r="E801" s="225" t="s">
        <v>605</v>
      </c>
    </row>
    <row r="802" spans="2:5" ht="15.75" thickBot="1">
      <c r="B802" s="225" t="s">
        <v>1826</v>
      </c>
      <c r="C802" s="226">
        <v>539011</v>
      </c>
      <c r="D802" s="225" t="s">
        <v>597</v>
      </c>
      <c r="E802" s="225" t="s">
        <v>629</v>
      </c>
    </row>
    <row r="803" spans="2:5" ht="15.75" thickBot="1">
      <c r="B803" s="225" t="s">
        <v>1827</v>
      </c>
      <c r="C803" s="226">
        <v>523489</v>
      </c>
      <c r="D803" s="225" t="s">
        <v>597</v>
      </c>
      <c r="E803" s="225" t="s">
        <v>786</v>
      </c>
    </row>
    <row r="804" spans="2:5" ht="15.75" thickBot="1">
      <c r="B804" s="225" t="s">
        <v>1828</v>
      </c>
      <c r="C804" s="226">
        <v>500110</v>
      </c>
      <c r="D804" s="225" t="s">
        <v>1829</v>
      </c>
      <c r="E804" s="225" t="s">
        <v>1526</v>
      </c>
    </row>
    <row r="805" spans="2:5" ht="15.75" thickBot="1">
      <c r="B805" s="225" t="s">
        <v>1830</v>
      </c>
      <c r="C805" s="226">
        <v>526817</v>
      </c>
      <c r="D805" s="225" t="s">
        <v>597</v>
      </c>
      <c r="E805" s="225" t="s">
        <v>834</v>
      </c>
    </row>
    <row r="806" spans="2:5" ht="15.75" thickBot="1">
      <c r="B806" s="225" t="s">
        <v>1831</v>
      </c>
      <c r="C806" s="226">
        <v>521244</v>
      </c>
      <c r="D806" s="225" t="s">
        <v>597</v>
      </c>
      <c r="E806" s="225" t="s">
        <v>612</v>
      </c>
    </row>
    <row r="807" spans="2:5" ht="15.75" thickBot="1">
      <c r="B807" s="225" t="s">
        <v>1832</v>
      </c>
      <c r="C807" s="226">
        <v>532992</v>
      </c>
      <c r="D807" s="225" t="s">
        <v>597</v>
      </c>
      <c r="E807" s="225" t="s">
        <v>798</v>
      </c>
    </row>
    <row r="808" spans="2:5" ht="15.75" thickBot="1">
      <c r="B808" s="225" t="s">
        <v>1833</v>
      </c>
      <c r="C808" s="226">
        <v>531358</v>
      </c>
      <c r="D808" s="225" t="s">
        <v>597</v>
      </c>
      <c r="E808" s="225" t="s">
        <v>614</v>
      </c>
    </row>
    <row r="809" spans="2:5" ht="15.75" thickBot="1">
      <c r="B809" s="225" t="s">
        <v>1834</v>
      </c>
      <c r="C809" s="226">
        <v>530427</v>
      </c>
      <c r="D809" s="225" t="s">
        <v>597</v>
      </c>
      <c r="E809" s="225" t="s">
        <v>1835</v>
      </c>
    </row>
    <row r="810" spans="2:5" ht="15.75" thickBot="1">
      <c r="B810" s="225" t="s">
        <v>1836</v>
      </c>
      <c r="C810" s="226">
        <v>526546</v>
      </c>
      <c r="D810" s="225" t="s">
        <v>597</v>
      </c>
      <c r="E810" s="225" t="s">
        <v>786</v>
      </c>
    </row>
    <row r="811" spans="2:5" ht="15.75" thickBot="1">
      <c r="B811" s="225" t="s">
        <v>1837</v>
      </c>
      <c r="C811" s="226">
        <v>511243</v>
      </c>
      <c r="D811" s="225" t="s">
        <v>1838</v>
      </c>
      <c r="E811" s="225" t="s">
        <v>614</v>
      </c>
    </row>
    <row r="812" spans="2:5" ht="15.75" thickBot="1">
      <c r="B812" s="225" t="s">
        <v>1839</v>
      </c>
      <c r="C812" s="226">
        <v>511243</v>
      </c>
      <c r="D812" s="225" t="s">
        <v>1840</v>
      </c>
      <c r="E812" s="225" t="s">
        <v>614</v>
      </c>
    </row>
    <row r="813" spans="2:5" ht="15.75" thickBot="1">
      <c r="B813" s="225" t="s">
        <v>1841</v>
      </c>
      <c r="C813" s="226">
        <v>519475</v>
      </c>
      <c r="D813" s="225" t="s">
        <v>597</v>
      </c>
      <c r="E813" s="225" t="s">
        <v>677</v>
      </c>
    </row>
    <row r="814" spans="2:5" ht="15.75" thickBot="1">
      <c r="B814" s="225" t="s">
        <v>1842</v>
      </c>
      <c r="C814" s="226">
        <v>540681</v>
      </c>
      <c r="D814" s="225" t="s">
        <v>597</v>
      </c>
      <c r="E814" s="225" t="s">
        <v>657</v>
      </c>
    </row>
    <row r="815" spans="2:5" ht="15.75" thickBot="1">
      <c r="B815" s="225" t="s">
        <v>1843</v>
      </c>
      <c r="C815" s="226">
        <v>501833</v>
      </c>
      <c r="D815" s="225" t="s">
        <v>597</v>
      </c>
      <c r="E815" s="225" t="s">
        <v>1844</v>
      </c>
    </row>
    <row r="816" spans="2:5" ht="15.75" thickBot="1">
      <c r="B816" s="225" t="s">
        <v>1845</v>
      </c>
      <c r="C816" s="226">
        <v>539335</v>
      </c>
      <c r="D816" s="225" t="s">
        <v>597</v>
      </c>
      <c r="E816" s="225" t="s">
        <v>619</v>
      </c>
    </row>
    <row r="817" spans="2:5" ht="15.75" thickBot="1">
      <c r="B817" s="225" t="s">
        <v>1846</v>
      </c>
      <c r="C817" s="226">
        <v>530191</v>
      </c>
      <c r="D817" s="225" t="s">
        <v>1847</v>
      </c>
      <c r="E817" s="225" t="s">
        <v>757</v>
      </c>
    </row>
    <row r="818" spans="2:5" ht="15.75" thickBot="1">
      <c r="B818" s="225" t="s">
        <v>1848</v>
      </c>
      <c r="C818" s="226">
        <v>530191</v>
      </c>
      <c r="D818" s="225" t="s">
        <v>1847</v>
      </c>
      <c r="E818" s="225" t="s">
        <v>757</v>
      </c>
    </row>
    <row r="819" spans="2:5" ht="15.75" thickBot="1">
      <c r="B819" s="225" t="s">
        <v>1849</v>
      </c>
      <c r="C819" s="226">
        <v>519477</v>
      </c>
      <c r="D819" s="225" t="s">
        <v>597</v>
      </c>
      <c r="E819" s="225" t="s">
        <v>846</v>
      </c>
    </row>
    <row r="820" spans="2:5" ht="15.75" thickBot="1">
      <c r="B820" s="225" t="s">
        <v>1850</v>
      </c>
      <c r="C820" s="226">
        <v>542678</v>
      </c>
      <c r="D820" s="225" t="s">
        <v>1851</v>
      </c>
      <c r="E820" s="225" t="s">
        <v>635</v>
      </c>
    </row>
    <row r="821" spans="2:5" ht="15.75" thickBot="1">
      <c r="B821" s="225" t="s">
        <v>1852</v>
      </c>
      <c r="C821" s="226">
        <v>534758</v>
      </c>
      <c r="D821" s="225" t="s">
        <v>1853</v>
      </c>
      <c r="E821" s="225" t="s">
        <v>583</v>
      </c>
    </row>
    <row r="822" spans="2:5" ht="15.75" thickBot="1">
      <c r="B822" s="225" t="s">
        <v>1854</v>
      </c>
      <c r="C822" s="226">
        <v>533407</v>
      </c>
      <c r="D822" s="225" t="s">
        <v>1855</v>
      </c>
      <c r="E822" s="225" t="s">
        <v>612</v>
      </c>
    </row>
    <row r="823" spans="2:5" ht="15.75" thickBot="1">
      <c r="B823" s="225" t="s">
        <v>1856</v>
      </c>
      <c r="C823" s="226">
        <v>530829</v>
      </c>
      <c r="D823" s="225" t="s">
        <v>597</v>
      </c>
      <c r="E823" s="225" t="s">
        <v>614</v>
      </c>
    </row>
    <row r="824" spans="2:5" ht="15.75" thickBot="1">
      <c r="B824" s="225" t="s">
        <v>1857</v>
      </c>
      <c r="C824" s="226">
        <v>505230</v>
      </c>
      <c r="D824" s="225" t="s">
        <v>1858</v>
      </c>
      <c r="E824" s="225" t="s">
        <v>586</v>
      </c>
    </row>
    <row r="825" spans="2:5" ht="15.75" thickBot="1">
      <c r="B825" s="225" t="s">
        <v>1859</v>
      </c>
      <c r="C825" s="226">
        <v>531283</v>
      </c>
      <c r="D825" s="225" t="s">
        <v>597</v>
      </c>
      <c r="E825" s="225" t="s">
        <v>614</v>
      </c>
    </row>
    <row r="826" spans="2:5" ht="15.75" thickBot="1">
      <c r="B826" s="225" t="s">
        <v>1860</v>
      </c>
      <c r="C826" s="226">
        <v>526373</v>
      </c>
      <c r="D826" s="225" t="s">
        <v>597</v>
      </c>
      <c r="E826" s="225" t="s">
        <v>798</v>
      </c>
    </row>
    <row r="827" spans="2:5" ht="15.75" thickBot="1">
      <c r="B827" s="225" t="s">
        <v>1861</v>
      </c>
      <c r="C827" s="226">
        <v>532807</v>
      </c>
      <c r="D827" s="225" t="s">
        <v>1862</v>
      </c>
      <c r="E827" s="225" t="s">
        <v>598</v>
      </c>
    </row>
    <row r="828" spans="2:5" ht="15.75" thickBot="1">
      <c r="B828" s="225" t="s">
        <v>1863</v>
      </c>
      <c r="C828" s="226">
        <v>532807</v>
      </c>
      <c r="D828" s="225" t="s">
        <v>1862</v>
      </c>
      <c r="E828" s="225" t="s">
        <v>598</v>
      </c>
    </row>
    <row r="829" spans="2:5" ht="15.75" thickBot="1">
      <c r="B829" s="225" t="s">
        <v>1864</v>
      </c>
      <c r="C829" s="226">
        <v>530457</v>
      </c>
      <c r="D829" s="225" t="s">
        <v>597</v>
      </c>
      <c r="E829" s="225" t="s">
        <v>600</v>
      </c>
    </row>
    <row r="830" spans="2:5" ht="15.75" thickBot="1">
      <c r="B830" s="225" t="s">
        <v>1865</v>
      </c>
      <c r="C830" s="226">
        <v>532324</v>
      </c>
      <c r="D830" s="225" t="s">
        <v>1866</v>
      </c>
      <c r="E830" s="225" t="s">
        <v>600</v>
      </c>
    </row>
    <row r="831" spans="2:5" ht="15.75" thickBot="1">
      <c r="B831" s="225" t="s">
        <v>1867</v>
      </c>
      <c r="C831" s="226">
        <v>500087</v>
      </c>
      <c r="D831" s="225" t="s">
        <v>1868</v>
      </c>
      <c r="E831" s="225" t="s">
        <v>635</v>
      </c>
    </row>
    <row r="832" spans="2:5" ht="15.75" thickBot="1">
      <c r="B832" s="225" t="s">
        <v>1869</v>
      </c>
      <c r="C832" s="226">
        <v>531775</v>
      </c>
      <c r="D832" s="225" t="s">
        <v>597</v>
      </c>
      <c r="E832" s="225" t="s">
        <v>619</v>
      </c>
    </row>
    <row r="833" spans="2:5" ht="15.75" thickBot="1">
      <c r="B833" s="225" t="s">
        <v>1870</v>
      </c>
      <c r="C833" s="226">
        <v>502445</v>
      </c>
      <c r="D833" s="225" t="s">
        <v>597</v>
      </c>
      <c r="E833" s="225" t="s">
        <v>683</v>
      </c>
    </row>
    <row r="834" spans="2:5" ht="15.75" thickBot="1">
      <c r="B834" s="225" t="s">
        <v>1871</v>
      </c>
      <c r="C834" s="226">
        <v>531235</v>
      </c>
      <c r="D834" s="225" t="s">
        <v>597</v>
      </c>
      <c r="E834" s="225" t="s">
        <v>614</v>
      </c>
    </row>
    <row r="835" spans="2:5" ht="15.75" thickBot="1">
      <c r="B835" s="225" t="s">
        <v>1872</v>
      </c>
      <c r="C835" s="226">
        <v>538786</v>
      </c>
      <c r="D835" s="225" t="s">
        <v>597</v>
      </c>
      <c r="E835" s="225" t="s">
        <v>1121</v>
      </c>
    </row>
    <row r="836" spans="2:5" ht="15.75" thickBot="1">
      <c r="B836" s="225" t="s">
        <v>1873</v>
      </c>
      <c r="C836" s="226">
        <v>538674</v>
      </c>
      <c r="D836" s="225" t="s">
        <v>597</v>
      </c>
      <c r="E836" s="225" t="s">
        <v>1541</v>
      </c>
    </row>
    <row r="837" spans="2:5" ht="15.75" thickBot="1">
      <c r="B837" s="225" t="s">
        <v>1874</v>
      </c>
      <c r="C837" s="226">
        <v>532210</v>
      </c>
      <c r="D837" s="225" t="s">
        <v>1875</v>
      </c>
      <c r="E837" s="225" t="s">
        <v>915</v>
      </c>
    </row>
    <row r="838" spans="2:5" ht="15.75" thickBot="1">
      <c r="B838" s="225" t="s">
        <v>1876</v>
      </c>
      <c r="C838" s="226">
        <v>521210</v>
      </c>
      <c r="D838" s="225" t="s">
        <v>597</v>
      </c>
      <c r="E838" s="225" t="s">
        <v>711</v>
      </c>
    </row>
    <row r="839" spans="2:5" ht="15.75" thickBot="1">
      <c r="B839" s="225" t="s">
        <v>1877</v>
      </c>
      <c r="C839" s="226">
        <v>780013</v>
      </c>
      <c r="D839" s="225" t="s">
        <v>597</v>
      </c>
      <c r="E839" s="225" t="s">
        <v>688</v>
      </c>
    </row>
    <row r="840" spans="2:5" ht="15.75" thickBot="1">
      <c r="B840" s="225" t="s">
        <v>1878</v>
      </c>
      <c r="C840" s="226">
        <v>780013</v>
      </c>
      <c r="D840" s="225" t="s">
        <v>597</v>
      </c>
      <c r="E840" s="225" t="s">
        <v>688</v>
      </c>
    </row>
    <row r="841" spans="2:5" ht="15.75" thickBot="1">
      <c r="B841" s="225" t="s">
        <v>1879</v>
      </c>
      <c r="C841" s="225" t="s">
        <v>597</v>
      </c>
      <c r="D841" s="225" t="s">
        <v>1880</v>
      </c>
      <c r="E841" s="225" t="s">
        <v>608</v>
      </c>
    </row>
    <row r="842" spans="2:5" ht="15.75" thickBot="1">
      <c r="B842" s="225" t="s">
        <v>1881</v>
      </c>
      <c r="C842" s="225" t="s">
        <v>597</v>
      </c>
      <c r="D842" s="225" t="s">
        <v>1882</v>
      </c>
      <c r="E842" s="225" t="s">
        <v>608</v>
      </c>
    </row>
    <row r="843" spans="2:5" ht="15.75" thickBot="1">
      <c r="B843" s="225" t="s">
        <v>1883</v>
      </c>
      <c r="C843" s="226">
        <v>540403</v>
      </c>
      <c r="D843" s="225" t="s">
        <v>1884</v>
      </c>
      <c r="E843" s="225" t="s">
        <v>702</v>
      </c>
    </row>
    <row r="844" spans="2:5" ht="15.75" thickBot="1">
      <c r="B844" s="225" t="s">
        <v>1885</v>
      </c>
      <c r="C844" s="226">
        <v>506390</v>
      </c>
      <c r="D844" s="225" t="s">
        <v>1886</v>
      </c>
      <c r="E844" s="225" t="s">
        <v>757</v>
      </c>
    </row>
    <row r="845" spans="2:5" ht="15.75" thickBot="1">
      <c r="B845" s="225" t="s">
        <v>1887</v>
      </c>
      <c r="C845" s="226">
        <v>506390</v>
      </c>
      <c r="D845" s="225" t="s">
        <v>1888</v>
      </c>
      <c r="E845" s="225" t="s">
        <v>757</v>
      </c>
    </row>
    <row r="846" spans="2:5" ht="15.75" thickBot="1">
      <c r="B846" s="225" t="s">
        <v>1889</v>
      </c>
      <c r="C846" s="226">
        <v>512213</v>
      </c>
      <c r="D846" s="225" t="s">
        <v>597</v>
      </c>
      <c r="E846" s="225" t="s">
        <v>619</v>
      </c>
    </row>
    <row r="847" spans="2:5" ht="15.75" thickBot="1">
      <c r="B847" s="225" t="s">
        <v>1890</v>
      </c>
      <c r="C847" s="226">
        <v>540310</v>
      </c>
      <c r="D847" s="225" t="s">
        <v>597</v>
      </c>
      <c r="E847" s="225" t="s">
        <v>612</v>
      </c>
    </row>
    <row r="848" spans="2:5" ht="15.75" thickBot="1">
      <c r="B848" s="225" t="s">
        <v>1891</v>
      </c>
      <c r="C848" s="226">
        <v>538433</v>
      </c>
      <c r="D848" s="225" t="s">
        <v>597</v>
      </c>
      <c r="E848" s="225" t="s">
        <v>580</v>
      </c>
    </row>
    <row r="849" spans="2:5" ht="15.75" thickBot="1">
      <c r="B849" s="225" t="s">
        <v>1892</v>
      </c>
      <c r="C849" s="226">
        <v>540481</v>
      </c>
      <c r="D849" s="225" t="s">
        <v>597</v>
      </c>
      <c r="E849" s="225" t="s">
        <v>580</v>
      </c>
    </row>
    <row r="850" spans="2:5" ht="15.75" thickBot="1">
      <c r="B850" s="225" t="s">
        <v>1893</v>
      </c>
      <c r="C850" s="226">
        <v>530839</v>
      </c>
      <c r="D850" s="225" t="s">
        <v>597</v>
      </c>
      <c r="E850" s="225" t="s">
        <v>690</v>
      </c>
    </row>
    <row r="851" spans="2:5" ht="15.75" thickBot="1">
      <c r="B851" s="225" t="s">
        <v>1894</v>
      </c>
      <c r="C851" s="226">
        <v>500147</v>
      </c>
      <c r="D851" s="225" t="s">
        <v>597</v>
      </c>
      <c r="E851" s="225" t="s">
        <v>605</v>
      </c>
    </row>
    <row r="852" spans="2:5" ht="15.75" thickBot="1">
      <c r="B852" s="225" t="s">
        <v>1895</v>
      </c>
      <c r="C852" s="226">
        <v>517330</v>
      </c>
      <c r="D852" s="225" t="s">
        <v>1896</v>
      </c>
      <c r="E852" s="225" t="s">
        <v>895</v>
      </c>
    </row>
    <row r="853" spans="2:5" ht="15.75" thickBot="1">
      <c r="B853" s="225" t="s">
        <v>1897</v>
      </c>
      <c r="C853" s="225" t="s">
        <v>597</v>
      </c>
      <c r="D853" s="225" t="s">
        <v>1898</v>
      </c>
      <c r="E853" s="225" t="s">
        <v>608</v>
      </c>
    </row>
    <row r="854" spans="2:5" ht="15.75" thickBot="1">
      <c r="B854" s="225" t="s">
        <v>1899</v>
      </c>
      <c r="C854" s="226">
        <v>512018</v>
      </c>
      <c r="D854" s="225" t="s">
        <v>597</v>
      </c>
      <c r="E854" s="225" t="s">
        <v>603</v>
      </c>
    </row>
    <row r="855" spans="2:5" ht="15.75" thickBot="1">
      <c r="B855" s="225" t="s">
        <v>1900</v>
      </c>
      <c r="C855" s="226">
        <v>533278</v>
      </c>
      <c r="D855" s="225" t="s">
        <v>1901</v>
      </c>
      <c r="E855" s="225" t="s">
        <v>1275</v>
      </c>
    </row>
    <row r="856" spans="2:5" ht="15.75" thickBot="1">
      <c r="B856" s="225" t="s">
        <v>1902</v>
      </c>
      <c r="C856" s="226">
        <v>533278</v>
      </c>
      <c r="D856" s="225" t="s">
        <v>1903</v>
      </c>
      <c r="E856" s="225" t="s">
        <v>1275</v>
      </c>
    </row>
    <row r="857" spans="2:5" ht="15.75" thickBot="1">
      <c r="B857" s="225" t="s">
        <v>1904</v>
      </c>
      <c r="C857" s="226">
        <v>501831</v>
      </c>
      <c r="D857" s="225" t="s">
        <v>597</v>
      </c>
      <c r="E857" s="225" t="s">
        <v>657</v>
      </c>
    </row>
    <row r="858" spans="2:5" ht="15.75" thickBot="1">
      <c r="B858" s="225" t="s">
        <v>1905</v>
      </c>
      <c r="C858" s="226">
        <v>520131</v>
      </c>
      <c r="D858" s="225" t="s">
        <v>597</v>
      </c>
      <c r="E858" s="225" t="s">
        <v>669</v>
      </c>
    </row>
    <row r="859" spans="2:5" ht="15.75" thickBot="1">
      <c r="B859" s="225" t="s">
        <v>1906</v>
      </c>
      <c r="C859" s="226">
        <v>508571</v>
      </c>
      <c r="D859" s="225" t="s">
        <v>597</v>
      </c>
      <c r="E859" s="225" t="s">
        <v>1077</v>
      </c>
    </row>
    <row r="860" spans="2:5" ht="15.75" thickBot="1">
      <c r="B860" s="225" t="s">
        <v>1907</v>
      </c>
      <c r="C860" s="226">
        <v>513353</v>
      </c>
      <c r="D860" s="225" t="s">
        <v>597</v>
      </c>
      <c r="E860" s="225" t="s">
        <v>757</v>
      </c>
    </row>
    <row r="861" spans="2:5" ht="15.75" thickBot="1">
      <c r="B861" s="225" t="s">
        <v>1908</v>
      </c>
      <c r="C861" s="226">
        <v>540678</v>
      </c>
      <c r="D861" s="225" t="s">
        <v>1909</v>
      </c>
      <c r="E861" s="225" t="s">
        <v>1844</v>
      </c>
    </row>
    <row r="862" spans="2:5" ht="15.75" thickBot="1">
      <c r="B862" s="225" t="s">
        <v>1910</v>
      </c>
      <c r="C862" s="226">
        <v>539436</v>
      </c>
      <c r="D862" s="225" t="s">
        <v>1911</v>
      </c>
      <c r="E862" s="225" t="s">
        <v>1086</v>
      </c>
    </row>
    <row r="863" spans="2:5" ht="15.75" thickBot="1">
      <c r="B863" s="225" t="s">
        <v>1912</v>
      </c>
      <c r="C863" s="226">
        <v>500830</v>
      </c>
      <c r="D863" s="225" t="s">
        <v>1913</v>
      </c>
      <c r="E863" s="225" t="s">
        <v>779</v>
      </c>
    </row>
    <row r="864" spans="2:5" ht="15.75" thickBot="1">
      <c r="B864" s="225" t="s">
        <v>1914</v>
      </c>
      <c r="C864" s="226">
        <v>500830</v>
      </c>
      <c r="D864" s="225" t="s">
        <v>1913</v>
      </c>
      <c r="E864" s="225" t="s">
        <v>779</v>
      </c>
    </row>
    <row r="865" spans="2:5" ht="15.75" thickBot="1">
      <c r="B865" s="225" t="s">
        <v>1915</v>
      </c>
      <c r="C865" s="226">
        <v>531210</v>
      </c>
      <c r="D865" s="225" t="s">
        <v>597</v>
      </c>
      <c r="E865" s="225" t="s">
        <v>635</v>
      </c>
    </row>
    <row r="866" spans="2:5" ht="15.75" thickBot="1">
      <c r="B866" s="225" t="s">
        <v>1916</v>
      </c>
      <c r="C866" s="226">
        <v>540023</v>
      </c>
      <c r="D866" s="225" t="s">
        <v>597</v>
      </c>
      <c r="E866" s="225" t="s">
        <v>1336</v>
      </c>
    </row>
    <row r="867" spans="2:5" ht="15.75" thickBot="1">
      <c r="B867" s="225" t="s">
        <v>1917</v>
      </c>
      <c r="C867" s="226">
        <v>524752</v>
      </c>
      <c r="D867" s="225" t="s">
        <v>597</v>
      </c>
      <c r="E867" s="225" t="s">
        <v>635</v>
      </c>
    </row>
    <row r="868" spans="2:5" ht="15.75" thickBot="1">
      <c r="B868" s="225" t="s">
        <v>1918</v>
      </c>
      <c r="C868" s="226">
        <v>534691</v>
      </c>
      <c r="D868" s="225" t="s">
        <v>597</v>
      </c>
      <c r="E868" s="225" t="s">
        <v>580</v>
      </c>
    </row>
    <row r="869" spans="2:5" ht="15.75" thickBot="1">
      <c r="B869" s="225" t="s">
        <v>1919</v>
      </c>
      <c r="C869" s="226">
        <v>535267</v>
      </c>
      <c r="D869" s="225" t="s">
        <v>597</v>
      </c>
      <c r="E869" s="225" t="s">
        <v>614</v>
      </c>
    </row>
    <row r="870" spans="2:5" ht="15.75" thickBot="1">
      <c r="B870" s="225" t="s">
        <v>1920</v>
      </c>
      <c r="C870" s="226">
        <v>531216</v>
      </c>
      <c r="D870" s="225" t="s">
        <v>597</v>
      </c>
      <c r="E870" s="225" t="s">
        <v>614</v>
      </c>
    </row>
    <row r="871" spans="2:5" ht="15.75" thickBot="1">
      <c r="B871" s="225" t="s">
        <v>1921</v>
      </c>
      <c r="C871" s="226">
        <v>533272</v>
      </c>
      <c r="D871" s="225" t="s">
        <v>1922</v>
      </c>
      <c r="E871" s="225" t="s">
        <v>675</v>
      </c>
    </row>
    <row r="872" spans="2:5" ht="15.75" thickBot="1">
      <c r="B872" s="225" t="s">
        <v>1923</v>
      </c>
      <c r="C872" s="226">
        <v>539986</v>
      </c>
      <c r="D872" s="225" t="s">
        <v>597</v>
      </c>
      <c r="E872" s="225" t="s">
        <v>792</v>
      </c>
    </row>
    <row r="873" spans="2:5" ht="15.75" thickBot="1">
      <c r="B873" s="225" t="s">
        <v>1924</v>
      </c>
      <c r="C873" s="226">
        <v>532342</v>
      </c>
      <c r="D873" s="225" t="s">
        <v>597</v>
      </c>
      <c r="E873" s="225" t="s">
        <v>583</v>
      </c>
    </row>
    <row r="874" spans="2:5" ht="15.75" thickBot="1">
      <c r="B874" s="225" t="s">
        <v>1925</v>
      </c>
      <c r="C874" s="226">
        <v>531041</v>
      </c>
      <c r="D874" s="225" t="s">
        <v>597</v>
      </c>
      <c r="E874" s="225" t="s">
        <v>619</v>
      </c>
    </row>
    <row r="875" spans="2:5" ht="15.75" thickBot="1">
      <c r="B875" s="225" t="s">
        <v>1926</v>
      </c>
      <c r="C875" s="226">
        <v>532456</v>
      </c>
      <c r="D875" s="225" t="s">
        <v>1927</v>
      </c>
      <c r="E875" s="225" t="s">
        <v>694</v>
      </c>
    </row>
    <row r="876" spans="2:5" ht="15.75" thickBot="1">
      <c r="B876" s="225" t="s">
        <v>1928</v>
      </c>
      <c r="C876" s="226">
        <v>532339</v>
      </c>
      <c r="D876" s="225" t="s">
        <v>1929</v>
      </c>
      <c r="E876" s="225" t="s">
        <v>1082</v>
      </c>
    </row>
    <row r="877" spans="2:5" ht="15.75" thickBot="1">
      <c r="B877" s="225" t="s">
        <v>1930</v>
      </c>
      <c r="C877" s="226">
        <v>507833</v>
      </c>
      <c r="D877" s="225" t="s">
        <v>597</v>
      </c>
      <c r="E877" s="225" t="s">
        <v>922</v>
      </c>
    </row>
    <row r="878" spans="2:5" ht="15.75" thickBot="1">
      <c r="B878" s="225" t="s">
        <v>1931</v>
      </c>
      <c r="C878" s="226">
        <v>522231</v>
      </c>
      <c r="D878" s="225" t="s">
        <v>597</v>
      </c>
      <c r="E878" s="225" t="s">
        <v>995</v>
      </c>
    </row>
    <row r="879" spans="2:5" ht="15.75" thickBot="1">
      <c r="B879" s="225" t="s">
        <v>1932</v>
      </c>
      <c r="C879" s="226">
        <v>538965</v>
      </c>
      <c r="D879" s="225" t="s">
        <v>597</v>
      </c>
      <c r="E879" s="225" t="s">
        <v>635</v>
      </c>
    </row>
    <row r="880" spans="2:5" ht="15.75" thickBot="1">
      <c r="B880" s="225" t="s">
        <v>1933</v>
      </c>
      <c r="C880" s="226">
        <v>539266</v>
      </c>
      <c r="D880" s="225" t="s">
        <v>597</v>
      </c>
      <c r="E880" s="225" t="s">
        <v>617</v>
      </c>
    </row>
    <row r="881" spans="2:5" ht="15.75" thickBot="1">
      <c r="B881" s="225" t="s">
        <v>1934</v>
      </c>
      <c r="C881" s="226">
        <v>504340</v>
      </c>
      <c r="D881" s="225" t="s">
        <v>597</v>
      </c>
      <c r="E881" s="225" t="s">
        <v>580</v>
      </c>
    </row>
    <row r="882" spans="2:5" ht="15.75" thickBot="1">
      <c r="B882" s="225" t="s">
        <v>1935</v>
      </c>
      <c r="C882" s="226">
        <v>539991</v>
      </c>
      <c r="D882" s="225" t="s">
        <v>1936</v>
      </c>
      <c r="E882" s="225" t="s">
        <v>963</v>
      </c>
    </row>
    <row r="883" spans="2:5" ht="15.75" thickBot="1">
      <c r="B883" s="225" t="s">
        <v>1937</v>
      </c>
      <c r="C883" s="226">
        <v>526829</v>
      </c>
      <c r="D883" s="225" t="s">
        <v>597</v>
      </c>
      <c r="E883" s="225" t="s">
        <v>807</v>
      </c>
    </row>
    <row r="884" spans="2:5" ht="15.75" thickBot="1">
      <c r="B884" s="225" t="s">
        <v>1938</v>
      </c>
      <c r="C884" s="226">
        <v>526829</v>
      </c>
      <c r="D884" s="225" t="s">
        <v>1939</v>
      </c>
      <c r="E884" s="225" t="s">
        <v>807</v>
      </c>
    </row>
    <row r="885" spans="2:5" ht="15.75" thickBot="1">
      <c r="B885" s="225" t="s">
        <v>1940</v>
      </c>
      <c r="C885" s="226">
        <v>526829</v>
      </c>
      <c r="D885" s="225" t="s">
        <v>597</v>
      </c>
      <c r="E885" s="225" t="s">
        <v>807</v>
      </c>
    </row>
    <row r="886" spans="2:5" ht="15.75" thickBot="1">
      <c r="B886" s="225" t="s">
        <v>1941</v>
      </c>
      <c r="C886" s="226">
        <v>539091</v>
      </c>
      <c r="D886" s="225" t="s">
        <v>597</v>
      </c>
      <c r="E886" s="225" t="s">
        <v>617</v>
      </c>
    </row>
    <row r="887" spans="2:5" ht="15.75" thickBot="1">
      <c r="B887" s="225" t="s">
        <v>1942</v>
      </c>
      <c r="C887" s="226">
        <v>532902</v>
      </c>
      <c r="D887" s="225" t="s">
        <v>1943</v>
      </c>
      <c r="E887" s="225" t="s">
        <v>683</v>
      </c>
    </row>
    <row r="888" spans="2:5" ht="15.75" thickBot="1">
      <c r="B888" s="225" t="s">
        <v>1944</v>
      </c>
      <c r="C888" s="225" t="s">
        <v>597</v>
      </c>
      <c r="D888" s="225" t="s">
        <v>1945</v>
      </c>
      <c r="E888" s="225" t="s">
        <v>688</v>
      </c>
    </row>
    <row r="889" spans="2:5" ht="15.75" thickBot="1">
      <c r="B889" s="225" t="s">
        <v>1946</v>
      </c>
      <c r="C889" s="226">
        <v>531344</v>
      </c>
      <c r="D889" s="225" t="s">
        <v>1947</v>
      </c>
      <c r="E889" s="225" t="s">
        <v>720</v>
      </c>
    </row>
    <row r="890" spans="2:5" ht="15.75" thickBot="1">
      <c r="B890" s="225" t="s">
        <v>1948</v>
      </c>
      <c r="C890" s="226">
        <v>531344</v>
      </c>
      <c r="D890" s="225" t="s">
        <v>1947</v>
      </c>
      <c r="E890" s="225" t="s">
        <v>720</v>
      </c>
    </row>
    <row r="891" spans="2:5" ht="15.75" thickBot="1">
      <c r="B891" s="225" t="s">
        <v>1949</v>
      </c>
      <c r="C891" s="226">
        <v>540597</v>
      </c>
      <c r="D891" s="225" t="s">
        <v>597</v>
      </c>
      <c r="E891" s="225" t="s">
        <v>918</v>
      </c>
    </row>
    <row r="892" spans="2:5" ht="15.75" thickBot="1">
      <c r="B892" s="225" t="s">
        <v>1950</v>
      </c>
      <c r="C892" s="226">
        <v>531067</v>
      </c>
      <c r="D892" s="225" t="s">
        <v>597</v>
      </c>
      <c r="E892" s="225" t="s">
        <v>614</v>
      </c>
    </row>
    <row r="893" spans="2:5" ht="15.75" thickBot="1">
      <c r="B893" s="225" t="s">
        <v>1951</v>
      </c>
      <c r="C893" s="226">
        <v>531067</v>
      </c>
      <c r="D893" s="225" t="s">
        <v>597</v>
      </c>
      <c r="E893" s="225" t="s">
        <v>614</v>
      </c>
    </row>
    <row r="894" spans="2:5" ht="15.75" thickBot="1">
      <c r="B894" s="225" t="s">
        <v>1952</v>
      </c>
      <c r="C894" s="226">
        <v>506935</v>
      </c>
      <c r="D894" s="225" t="s">
        <v>597</v>
      </c>
      <c r="E894" s="225" t="s">
        <v>690</v>
      </c>
    </row>
    <row r="895" spans="2:5" ht="15.75" thickBot="1">
      <c r="B895" s="225" t="s">
        <v>1953</v>
      </c>
      <c r="C895" s="226">
        <v>531460</v>
      </c>
      <c r="D895" s="225" t="s">
        <v>597</v>
      </c>
      <c r="E895" s="225" t="s">
        <v>895</v>
      </c>
    </row>
    <row r="896" spans="2:5" ht="15.75" thickBot="1">
      <c r="B896" s="225" t="s">
        <v>1954</v>
      </c>
      <c r="C896" s="226">
        <v>523232</v>
      </c>
      <c r="D896" s="225" t="s">
        <v>597</v>
      </c>
      <c r="E896" s="225" t="s">
        <v>807</v>
      </c>
    </row>
    <row r="897" spans="2:5" ht="15.75" thickBot="1">
      <c r="B897" s="225" t="s">
        <v>1955</v>
      </c>
      <c r="C897" s="226">
        <v>538868</v>
      </c>
      <c r="D897" s="225" t="s">
        <v>597</v>
      </c>
      <c r="E897" s="225" t="s">
        <v>614</v>
      </c>
    </row>
    <row r="898" spans="2:5" ht="15.75" thickBot="1">
      <c r="B898" s="225" t="s">
        <v>1956</v>
      </c>
      <c r="C898" s="225" t="s">
        <v>597</v>
      </c>
      <c r="D898" s="225" t="s">
        <v>1957</v>
      </c>
      <c r="E898" s="225" t="s">
        <v>608</v>
      </c>
    </row>
    <row r="899" spans="2:5" ht="15.75" thickBot="1">
      <c r="B899" s="225" t="s">
        <v>1958</v>
      </c>
      <c r="C899" s="226">
        <v>522295</v>
      </c>
      <c r="D899" s="225" t="s">
        <v>1959</v>
      </c>
      <c r="E899" s="225" t="s">
        <v>792</v>
      </c>
    </row>
    <row r="900" spans="2:5" ht="15.75" thickBot="1">
      <c r="B900" s="225" t="s">
        <v>1960</v>
      </c>
      <c r="C900" s="226">
        <v>531556</v>
      </c>
      <c r="D900" s="225" t="s">
        <v>1961</v>
      </c>
      <c r="E900" s="225" t="s">
        <v>655</v>
      </c>
    </row>
    <row r="901" spans="2:5" ht="15.75" thickBot="1">
      <c r="B901" s="225" t="s">
        <v>1962</v>
      </c>
      <c r="C901" s="226">
        <v>524506</v>
      </c>
      <c r="D901" s="225" t="s">
        <v>597</v>
      </c>
      <c r="E901" s="225" t="s">
        <v>635</v>
      </c>
    </row>
    <row r="902" spans="2:5" ht="15.75" thickBot="1">
      <c r="B902" s="225" t="s">
        <v>1963</v>
      </c>
      <c r="C902" s="226">
        <v>530755</v>
      </c>
      <c r="D902" s="225" t="s">
        <v>1964</v>
      </c>
      <c r="E902" s="225" t="s">
        <v>1965</v>
      </c>
    </row>
    <row r="903" spans="2:5" ht="15.75" thickBot="1">
      <c r="B903" s="225" t="s">
        <v>1966</v>
      </c>
      <c r="C903" s="226">
        <v>532941</v>
      </c>
      <c r="D903" s="225" t="s">
        <v>1967</v>
      </c>
      <c r="E903" s="225" t="s">
        <v>895</v>
      </c>
    </row>
    <row r="904" spans="2:5" ht="15.75" thickBot="1">
      <c r="B904" s="225" t="s">
        <v>1968</v>
      </c>
      <c r="C904" s="226">
        <v>507543</v>
      </c>
      <c r="D904" s="225" t="s">
        <v>597</v>
      </c>
      <c r="E904" s="225" t="s">
        <v>846</v>
      </c>
    </row>
    <row r="905" spans="2:5" ht="15.75" thickBot="1">
      <c r="B905" s="225" t="s">
        <v>1969</v>
      </c>
      <c r="C905" s="226">
        <v>533167</v>
      </c>
      <c r="D905" s="225" t="s">
        <v>597</v>
      </c>
      <c r="E905" s="225" t="s">
        <v>995</v>
      </c>
    </row>
    <row r="906" spans="2:5" ht="15.75" thickBot="1">
      <c r="B906" s="225" t="s">
        <v>1970</v>
      </c>
      <c r="C906" s="226">
        <v>506395</v>
      </c>
      <c r="D906" s="225" t="s">
        <v>1971</v>
      </c>
      <c r="E906" s="225" t="s">
        <v>1105</v>
      </c>
    </row>
    <row r="907" spans="2:5" ht="15.75" thickBot="1">
      <c r="B907" s="225" t="s">
        <v>1972</v>
      </c>
      <c r="C907" s="226">
        <v>526737</v>
      </c>
      <c r="D907" s="225" t="s">
        <v>597</v>
      </c>
      <c r="E907" s="225" t="s">
        <v>918</v>
      </c>
    </row>
    <row r="908" spans="2:5" ht="15.75" thickBot="1">
      <c r="B908" s="225" t="s">
        <v>1973</v>
      </c>
      <c r="C908" s="226">
        <v>540199</v>
      </c>
      <c r="D908" s="225" t="s">
        <v>597</v>
      </c>
      <c r="E908" s="225" t="s">
        <v>580</v>
      </c>
    </row>
    <row r="909" spans="2:5" ht="15.75" thickBot="1">
      <c r="B909" s="225" t="s">
        <v>1974</v>
      </c>
      <c r="C909" s="226">
        <v>532179</v>
      </c>
      <c r="D909" s="225" t="s">
        <v>1975</v>
      </c>
      <c r="E909" s="225" t="s">
        <v>915</v>
      </c>
    </row>
    <row r="910" spans="2:5" ht="15.75" thickBot="1">
      <c r="B910" s="225" t="s">
        <v>1976</v>
      </c>
      <c r="C910" s="226">
        <v>530859</v>
      </c>
      <c r="D910" s="225" t="s">
        <v>597</v>
      </c>
      <c r="E910" s="225" t="s">
        <v>591</v>
      </c>
    </row>
    <row r="911" spans="2:5" ht="15.75" thickBot="1">
      <c r="B911" s="225" t="s">
        <v>1977</v>
      </c>
      <c r="C911" s="226">
        <v>530545</v>
      </c>
      <c r="D911" s="225" t="s">
        <v>597</v>
      </c>
      <c r="E911" s="225" t="s">
        <v>586</v>
      </c>
    </row>
    <row r="912" spans="2:5" ht="15.75" thickBot="1">
      <c r="B912" s="225" t="s">
        <v>1978</v>
      </c>
      <c r="C912" s="226">
        <v>530545</v>
      </c>
      <c r="D912" s="225" t="s">
        <v>597</v>
      </c>
      <c r="E912" s="225" t="s">
        <v>586</v>
      </c>
    </row>
    <row r="913" spans="2:5" ht="15.75" thickBot="1">
      <c r="B913" s="225" t="s">
        <v>1979</v>
      </c>
      <c r="C913" s="226">
        <v>523100</v>
      </c>
      <c r="D913" s="225" t="s">
        <v>597</v>
      </c>
      <c r="E913" s="225" t="s">
        <v>629</v>
      </c>
    </row>
    <row r="914" spans="2:5" ht="15.75" thickBot="1">
      <c r="B914" s="225" t="s">
        <v>1980</v>
      </c>
      <c r="C914" s="226">
        <v>508814</v>
      </c>
      <c r="D914" s="225" t="s">
        <v>1981</v>
      </c>
      <c r="E914" s="225" t="s">
        <v>645</v>
      </c>
    </row>
    <row r="915" spans="2:5" ht="15.75" thickBot="1">
      <c r="B915" s="225" t="s">
        <v>1982</v>
      </c>
      <c r="C915" s="226">
        <v>538922</v>
      </c>
      <c r="D915" s="225" t="s">
        <v>597</v>
      </c>
      <c r="E915" s="225" t="s">
        <v>690</v>
      </c>
    </row>
    <row r="916" spans="2:5" ht="15.75" thickBot="1">
      <c r="B916" s="225" t="s">
        <v>1983</v>
      </c>
      <c r="C916" s="226">
        <v>526550</v>
      </c>
      <c r="D916" s="225" t="s">
        <v>1984</v>
      </c>
      <c r="E916" s="225" t="s">
        <v>798</v>
      </c>
    </row>
    <row r="917" spans="2:5" ht="15.75" thickBot="1">
      <c r="B917" s="225" t="s">
        <v>1985</v>
      </c>
      <c r="C917" s="226">
        <v>531624</v>
      </c>
      <c r="D917" s="225" t="s">
        <v>1986</v>
      </c>
      <c r="E917" s="225" t="s">
        <v>683</v>
      </c>
    </row>
    <row r="918" spans="2:5" ht="15.75" thickBot="1">
      <c r="B918" s="225" t="s">
        <v>1987</v>
      </c>
      <c r="C918" s="226">
        <v>523415</v>
      </c>
      <c r="D918" s="225" t="s">
        <v>597</v>
      </c>
      <c r="E918" s="225" t="s">
        <v>629</v>
      </c>
    </row>
    <row r="919" spans="2:5" ht="15.75" thickBot="1">
      <c r="B919" s="225" t="s">
        <v>1988</v>
      </c>
      <c r="C919" s="226">
        <v>534920</v>
      </c>
      <c r="D919" s="225" t="s">
        <v>597</v>
      </c>
      <c r="E919" s="225" t="s">
        <v>583</v>
      </c>
    </row>
    <row r="920" spans="2:5" ht="15.75" thickBot="1">
      <c r="B920" s="225" t="s">
        <v>1989</v>
      </c>
      <c r="C920" s="226">
        <v>533144</v>
      </c>
      <c r="D920" s="225" t="s">
        <v>1990</v>
      </c>
      <c r="E920" s="225" t="s">
        <v>1600</v>
      </c>
    </row>
    <row r="921" spans="2:5" ht="15.75" thickBot="1">
      <c r="B921" s="225" t="s">
        <v>1991</v>
      </c>
      <c r="C921" s="226">
        <v>542641</v>
      </c>
      <c r="D921" s="225" t="s">
        <v>1992</v>
      </c>
      <c r="E921" s="225" t="s">
        <v>614</v>
      </c>
    </row>
    <row r="922" spans="2:5" ht="15.75" thickBot="1">
      <c r="B922" s="225" t="s">
        <v>1993</v>
      </c>
      <c r="C922" s="226">
        <v>538770</v>
      </c>
      <c r="D922" s="225" t="s">
        <v>597</v>
      </c>
      <c r="E922" s="225" t="s">
        <v>683</v>
      </c>
    </row>
    <row r="923" spans="2:5" ht="15.75" thickBot="1">
      <c r="B923" s="225" t="s">
        <v>1994</v>
      </c>
      <c r="C923" s="226">
        <v>512093</v>
      </c>
      <c r="D923" s="225" t="s">
        <v>597</v>
      </c>
      <c r="E923" s="225" t="s">
        <v>690</v>
      </c>
    </row>
    <row r="924" spans="2:5" ht="15.75" thickBot="1">
      <c r="B924" s="225" t="s">
        <v>1995</v>
      </c>
      <c r="C924" s="226">
        <v>522001</v>
      </c>
      <c r="D924" s="225" t="s">
        <v>597</v>
      </c>
      <c r="E924" s="225" t="s">
        <v>675</v>
      </c>
    </row>
    <row r="925" spans="2:5" ht="15.75" thickBot="1">
      <c r="B925" s="225" t="s">
        <v>1996</v>
      </c>
      <c r="C925" s="226">
        <v>509472</v>
      </c>
      <c r="D925" s="225" t="s">
        <v>597</v>
      </c>
      <c r="E925" s="225" t="s">
        <v>619</v>
      </c>
    </row>
    <row r="926" spans="2:5" ht="15.75" thickBot="1">
      <c r="B926" s="225" t="s">
        <v>1997</v>
      </c>
      <c r="C926" s="226">
        <v>524388</v>
      </c>
      <c r="D926" s="225" t="s">
        <v>597</v>
      </c>
      <c r="E926" s="225" t="s">
        <v>922</v>
      </c>
    </row>
    <row r="927" spans="2:5" ht="15.75" thickBot="1">
      <c r="B927" s="225" t="s">
        <v>1998</v>
      </c>
      <c r="C927" s="226">
        <v>539527</v>
      </c>
      <c r="D927" s="225" t="s">
        <v>597</v>
      </c>
      <c r="E927" s="225" t="s">
        <v>1517</v>
      </c>
    </row>
    <row r="928" spans="2:5" ht="15.75" thickBot="1">
      <c r="B928" s="225" t="s">
        <v>1999</v>
      </c>
      <c r="C928" s="226">
        <v>532392</v>
      </c>
      <c r="D928" s="225" t="s">
        <v>2000</v>
      </c>
      <c r="E928" s="225" t="s">
        <v>600</v>
      </c>
    </row>
    <row r="929" spans="2:5" ht="15.75" thickBot="1">
      <c r="B929" s="225" t="s">
        <v>2001</v>
      </c>
      <c r="C929" s="225" t="s">
        <v>597</v>
      </c>
      <c r="D929" s="225" t="s">
        <v>2002</v>
      </c>
      <c r="E929" s="225" t="s">
        <v>608</v>
      </c>
    </row>
    <row r="930" spans="2:5" ht="15.75" thickBot="1">
      <c r="B930" s="225" t="s">
        <v>2003</v>
      </c>
      <c r="C930" s="226">
        <v>541770</v>
      </c>
      <c r="D930" s="225" t="s">
        <v>2004</v>
      </c>
      <c r="E930" s="225" t="s">
        <v>614</v>
      </c>
    </row>
    <row r="931" spans="2:5" ht="15.75" thickBot="1">
      <c r="B931" s="225" t="s">
        <v>2005</v>
      </c>
      <c r="C931" s="226">
        <v>539131</v>
      </c>
      <c r="D931" s="225" t="s">
        <v>597</v>
      </c>
      <c r="E931" s="225" t="s">
        <v>617</v>
      </c>
    </row>
    <row r="932" spans="2:5" ht="15.75" thickBot="1">
      <c r="B932" s="225" t="s">
        <v>2006</v>
      </c>
      <c r="C932" s="226">
        <v>512379</v>
      </c>
      <c r="D932" s="225" t="s">
        <v>597</v>
      </c>
      <c r="E932" s="225" t="s">
        <v>690</v>
      </c>
    </row>
    <row r="933" spans="2:5" ht="15.75" thickBot="1">
      <c r="B933" s="225" t="s">
        <v>2007</v>
      </c>
      <c r="C933" s="226">
        <v>511413</v>
      </c>
      <c r="D933" s="225" t="s">
        <v>2008</v>
      </c>
      <c r="E933" s="225" t="s">
        <v>614</v>
      </c>
    </row>
    <row r="934" spans="2:5" ht="15.75" thickBot="1">
      <c r="B934" s="225" t="s">
        <v>2009</v>
      </c>
      <c r="C934" s="226">
        <v>526269</v>
      </c>
      <c r="D934" s="225" t="s">
        <v>597</v>
      </c>
      <c r="E934" s="225" t="s">
        <v>757</v>
      </c>
    </row>
    <row r="935" spans="2:5" ht="15.75" thickBot="1">
      <c r="B935" s="225" t="s">
        <v>2010</v>
      </c>
      <c r="C935" s="226">
        <v>526977</v>
      </c>
      <c r="D935" s="225" t="s">
        <v>597</v>
      </c>
      <c r="E935" s="225" t="s">
        <v>920</v>
      </c>
    </row>
    <row r="936" spans="2:5" ht="15.75" thickBot="1">
      <c r="B936" s="225" t="s">
        <v>2011</v>
      </c>
      <c r="C936" s="226">
        <v>500092</v>
      </c>
      <c r="D936" s="225" t="s">
        <v>2012</v>
      </c>
      <c r="E936" s="225" t="s">
        <v>580</v>
      </c>
    </row>
    <row r="937" spans="2:5" ht="15.75" thickBot="1">
      <c r="B937" s="225" t="s">
        <v>2013</v>
      </c>
      <c r="C937" s="226">
        <v>539876</v>
      </c>
      <c r="D937" s="225" t="s">
        <v>2014</v>
      </c>
      <c r="E937" s="225" t="s">
        <v>1362</v>
      </c>
    </row>
    <row r="938" spans="2:5" ht="15.75" thickBot="1">
      <c r="B938" s="225" t="s">
        <v>2015</v>
      </c>
      <c r="C938" s="225" t="s">
        <v>597</v>
      </c>
      <c r="D938" s="225" t="s">
        <v>2016</v>
      </c>
      <c r="E938" s="225" t="s">
        <v>608</v>
      </c>
    </row>
    <row r="939" spans="2:5" ht="15.75" thickBot="1">
      <c r="B939" s="225" t="s">
        <v>2017</v>
      </c>
      <c r="C939" s="226">
        <v>538521</v>
      </c>
      <c r="D939" s="225" t="s">
        <v>597</v>
      </c>
      <c r="E939" s="225" t="s">
        <v>1600</v>
      </c>
    </row>
    <row r="940" spans="2:5" ht="15.75" thickBot="1">
      <c r="B940" s="225" t="s">
        <v>2018</v>
      </c>
      <c r="C940" s="226">
        <v>540903</v>
      </c>
      <c r="D940" s="225" t="s">
        <v>597</v>
      </c>
      <c r="E940" s="225" t="s">
        <v>681</v>
      </c>
    </row>
    <row r="941" spans="2:5" ht="15.75" thickBot="1">
      <c r="B941" s="225" t="s">
        <v>2019</v>
      </c>
      <c r="C941" s="226">
        <v>530067</v>
      </c>
      <c r="D941" s="225" t="s">
        <v>597</v>
      </c>
      <c r="E941" s="225" t="s">
        <v>614</v>
      </c>
    </row>
    <row r="942" spans="2:5" ht="15.75" thickBot="1">
      <c r="B942" s="225" t="s">
        <v>2020</v>
      </c>
      <c r="C942" s="226">
        <v>526027</v>
      </c>
      <c r="D942" s="225" t="s">
        <v>2021</v>
      </c>
      <c r="E942" s="225" t="s">
        <v>671</v>
      </c>
    </row>
    <row r="943" spans="2:5" ht="15.75" thickBot="1">
      <c r="B943" s="225" t="s">
        <v>2022</v>
      </c>
      <c r="C943" s="226">
        <v>511710</v>
      </c>
      <c r="D943" s="225" t="s">
        <v>597</v>
      </c>
      <c r="E943" s="225" t="s">
        <v>614</v>
      </c>
    </row>
    <row r="944" spans="2:5" ht="15.75" thickBot="1">
      <c r="B944" s="225" t="s">
        <v>2023</v>
      </c>
      <c r="C944" s="226">
        <v>500480</v>
      </c>
      <c r="D944" s="225" t="s">
        <v>2024</v>
      </c>
      <c r="E944" s="225" t="s">
        <v>605</v>
      </c>
    </row>
    <row r="945" spans="2:5" ht="15.75" thickBot="1">
      <c r="B945" s="225" t="s">
        <v>2025</v>
      </c>
      <c r="C945" s="226">
        <v>500480</v>
      </c>
      <c r="D945" s="225" t="s">
        <v>2024</v>
      </c>
      <c r="E945" s="225" t="s">
        <v>605</v>
      </c>
    </row>
    <row r="946" spans="2:5" ht="15.75" thickBot="1">
      <c r="B946" s="225" t="s">
        <v>2026</v>
      </c>
      <c r="C946" s="226">
        <v>530843</v>
      </c>
      <c r="D946" s="225" t="s">
        <v>2027</v>
      </c>
      <c r="E946" s="225" t="s">
        <v>779</v>
      </c>
    </row>
    <row r="947" spans="2:5" ht="15.75" thickBot="1">
      <c r="B947" s="225" t="s">
        <v>2028</v>
      </c>
      <c r="C947" s="226">
        <v>532332</v>
      </c>
      <c r="D947" s="225" t="s">
        <v>2029</v>
      </c>
      <c r="E947" s="225" t="s">
        <v>690</v>
      </c>
    </row>
    <row r="948" spans="2:5" ht="15.75" thickBot="1">
      <c r="B948" s="225" t="s">
        <v>2030</v>
      </c>
      <c r="C948" s="226">
        <v>531472</v>
      </c>
      <c r="D948" s="225" t="s">
        <v>597</v>
      </c>
      <c r="E948" s="225" t="s">
        <v>895</v>
      </c>
    </row>
    <row r="949" spans="2:5" ht="15.75" thickBot="1">
      <c r="B949" s="225" t="s">
        <v>2031</v>
      </c>
      <c r="C949" s="226">
        <v>532640</v>
      </c>
      <c r="D949" s="225" t="s">
        <v>2032</v>
      </c>
      <c r="E949" s="225" t="s">
        <v>1121</v>
      </c>
    </row>
    <row r="950" spans="2:5" ht="15.75" thickBot="1">
      <c r="B950" s="225" t="s">
        <v>2033</v>
      </c>
      <c r="C950" s="226">
        <v>532640</v>
      </c>
      <c r="D950" s="225" t="s">
        <v>2032</v>
      </c>
      <c r="E950" s="225" t="s">
        <v>1121</v>
      </c>
    </row>
    <row r="951" spans="2:5" ht="15.75" thickBot="1">
      <c r="B951" s="225" t="s">
        <v>2034</v>
      </c>
      <c r="C951" s="226">
        <v>532271</v>
      </c>
      <c r="D951" s="225" t="s">
        <v>597</v>
      </c>
      <c r="E951" s="225" t="s">
        <v>690</v>
      </c>
    </row>
    <row r="952" spans="2:5" ht="15.75" thickBot="1">
      <c r="B952" s="225" t="s">
        <v>2035</v>
      </c>
      <c r="C952" s="226">
        <v>532173</v>
      </c>
      <c r="D952" s="225" t="s">
        <v>2036</v>
      </c>
      <c r="E952" s="225" t="s">
        <v>690</v>
      </c>
    </row>
    <row r="953" spans="2:5" ht="15.75" thickBot="1">
      <c r="B953" s="225" t="s">
        <v>2037</v>
      </c>
      <c r="C953" s="226">
        <v>532175</v>
      </c>
      <c r="D953" s="225" t="s">
        <v>2038</v>
      </c>
      <c r="E953" s="225" t="s">
        <v>583</v>
      </c>
    </row>
    <row r="954" spans="2:5" ht="15.75" thickBot="1">
      <c r="B954" s="225" t="s">
        <v>2039</v>
      </c>
      <c r="C954" s="226">
        <v>533151</v>
      </c>
      <c r="D954" s="225" t="s">
        <v>2040</v>
      </c>
      <c r="E954" s="225" t="s">
        <v>1121</v>
      </c>
    </row>
    <row r="955" spans="2:5" ht="15.75" thickBot="1">
      <c r="B955" s="225" t="s">
        <v>2041</v>
      </c>
      <c r="C955" s="226">
        <v>533160</v>
      </c>
      <c r="D955" s="225" t="s">
        <v>2042</v>
      </c>
      <c r="E955" s="225" t="s">
        <v>683</v>
      </c>
    </row>
    <row r="956" spans="2:5" ht="15.75" thickBot="1">
      <c r="B956" s="225" t="s">
        <v>2043</v>
      </c>
      <c r="C956" s="225" t="s">
        <v>597</v>
      </c>
      <c r="D956" s="225" t="s">
        <v>2044</v>
      </c>
      <c r="E956" s="225" t="s">
        <v>608</v>
      </c>
    </row>
    <row r="957" spans="2:5" ht="15.75" thickBot="1">
      <c r="B957" s="225" t="s">
        <v>2045</v>
      </c>
      <c r="C957" s="225" t="s">
        <v>597</v>
      </c>
      <c r="D957" s="225" t="s">
        <v>2046</v>
      </c>
      <c r="E957" s="225" t="s">
        <v>608</v>
      </c>
    </row>
    <row r="958" spans="2:5" ht="15.75" thickBot="1">
      <c r="B958" s="225" t="s">
        <v>2047</v>
      </c>
      <c r="C958" s="226">
        <v>517514</v>
      </c>
      <c r="D958" s="225" t="s">
        <v>597</v>
      </c>
      <c r="E958" s="225" t="s">
        <v>782</v>
      </c>
    </row>
    <row r="959" spans="2:5" ht="15.75" thickBot="1">
      <c r="B959" s="225" t="s">
        <v>2048</v>
      </c>
      <c r="C959" s="226">
        <v>517514</v>
      </c>
      <c r="D959" s="225" t="s">
        <v>597</v>
      </c>
      <c r="E959" s="225" t="s">
        <v>782</v>
      </c>
    </row>
    <row r="960" spans="2:5" ht="15.75" thickBot="1">
      <c r="B960" s="225" t="s">
        <v>2049</v>
      </c>
      <c r="C960" s="226">
        <v>500096</v>
      </c>
      <c r="D960" s="225" t="s">
        <v>2050</v>
      </c>
      <c r="E960" s="225" t="s">
        <v>779</v>
      </c>
    </row>
    <row r="961" spans="2:5" ht="15.75" thickBot="1">
      <c r="B961" s="225" t="s">
        <v>2051</v>
      </c>
      <c r="C961" s="226">
        <v>500096</v>
      </c>
      <c r="D961" s="225" t="s">
        <v>2050</v>
      </c>
      <c r="E961" s="225" t="s">
        <v>779</v>
      </c>
    </row>
    <row r="962" spans="2:5" ht="15.75" thickBot="1">
      <c r="B962" s="225" t="s">
        <v>2052</v>
      </c>
      <c r="C962" s="226">
        <v>526821</v>
      </c>
      <c r="D962" s="225" t="s">
        <v>597</v>
      </c>
      <c r="E962" s="225" t="s">
        <v>757</v>
      </c>
    </row>
    <row r="963" spans="2:5" ht="15.75" thickBot="1">
      <c r="B963" s="225" t="s">
        <v>2053</v>
      </c>
      <c r="C963" s="226">
        <v>530825</v>
      </c>
      <c r="D963" s="225" t="s">
        <v>597</v>
      </c>
      <c r="E963" s="225" t="s">
        <v>757</v>
      </c>
    </row>
    <row r="964" spans="2:5" ht="15.75" thickBot="1">
      <c r="B964" s="225" t="s">
        <v>2054</v>
      </c>
      <c r="C964" s="226">
        <v>530825</v>
      </c>
      <c r="D964" s="225" t="s">
        <v>597</v>
      </c>
      <c r="E964" s="225" t="s">
        <v>757</v>
      </c>
    </row>
    <row r="965" spans="2:5" ht="15.75" thickBot="1">
      <c r="B965" s="225" t="s">
        <v>2055</v>
      </c>
      <c r="C965" s="226">
        <v>501148</v>
      </c>
      <c r="D965" s="225" t="s">
        <v>597</v>
      </c>
      <c r="E965" s="225" t="s">
        <v>617</v>
      </c>
    </row>
    <row r="966" spans="2:5" ht="15.75" thickBot="1">
      <c r="B966" s="225" t="s">
        <v>2056</v>
      </c>
      <c r="C966" s="226">
        <v>542216</v>
      </c>
      <c r="D966" s="225" t="s">
        <v>2057</v>
      </c>
      <c r="E966" s="225" t="s">
        <v>2058</v>
      </c>
    </row>
    <row r="967" spans="2:5" ht="15.75" thickBot="1">
      <c r="B967" s="225" t="s">
        <v>2059</v>
      </c>
      <c r="C967" s="226">
        <v>500097</v>
      </c>
      <c r="D967" s="225" t="s">
        <v>2060</v>
      </c>
      <c r="E967" s="225" t="s">
        <v>1296</v>
      </c>
    </row>
    <row r="968" spans="2:5" ht="15.75" thickBot="1">
      <c r="B968" s="225" t="s">
        <v>2061</v>
      </c>
      <c r="C968" s="226">
        <v>539900</v>
      </c>
      <c r="D968" s="225" t="s">
        <v>597</v>
      </c>
      <c r="E968" s="225" t="s">
        <v>619</v>
      </c>
    </row>
    <row r="969" spans="2:5" ht="15.75" thickBot="1">
      <c r="B969" s="225" t="s">
        <v>2062</v>
      </c>
      <c r="C969" s="226">
        <v>521220</v>
      </c>
      <c r="D969" s="225" t="s">
        <v>2063</v>
      </c>
      <c r="E969" s="225" t="s">
        <v>612</v>
      </c>
    </row>
    <row r="970" spans="2:5" ht="15.75" thickBot="1">
      <c r="B970" s="225" t="s">
        <v>2064</v>
      </c>
      <c r="C970" s="225" t="s">
        <v>597</v>
      </c>
      <c r="D970" s="225" t="s">
        <v>2065</v>
      </c>
      <c r="E970" s="225" t="s">
        <v>608</v>
      </c>
    </row>
    <row r="971" spans="2:5" ht="15.75" thickBot="1">
      <c r="B971" s="225" t="s">
        <v>2066</v>
      </c>
      <c r="C971" s="226">
        <v>532329</v>
      </c>
      <c r="D971" s="225" t="s">
        <v>597</v>
      </c>
      <c r="E971" s="225" t="s">
        <v>690</v>
      </c>
    </row>
    <row r="972" spans="2:5" ht="15.75" thickBot="1">
      <c r="B972" s="225" t="s">
        <v>2067</v>
      </c>
      <c r="C972" s="226">
        <v>532329</v>
      </c>
      <c r="D972" s="225" t="s">
        <v>597</v>
      </c>
      <c r="E972" s="225" t="s">
        <v>690</v>
      </c>
    </row>
    <row r="973" spans="2:5" ht="15.75" thickBot="1">
      <c r="B973" s="225" t="s">
        <v>2068</v>
      </c>
      <c r="C973" s="226">
        <v>540361</v>
      </c>
      <c r="D973" s="225" t="s">
        <v>597</v>
      </c>
      <c r="E973" s="225" t="s">
        <v>619</v>
      </c>
    </row>
    <row r="974" spans="2:5" ht="15.75" thickBot="1">
      <c r="B974" s="225" t="s">
        <v>2069</v>
      </c>
      <c r="C974" s="226">
        <v>539770</v>
      </c>
      <c r="D974" s="225" t="s">
        <v>597</v>
      </c>
      <c r="E974" s="225" t="s">
        <v>580</v>
      </c>
    </row>
    <row r="975" spans="2:5" ht="15.75" thickBot="1">
      <c r="B975" s="225" t="s">
        <v>2070</v>
      </c>
      <c r="C975" s="226">
        <v>539884</v>
      </c>
      <c r="D975" s="225" t="s">
        <v>597</v>
      </c>
      <c r="E975" s="225" t="s">
        <v>711</v>
      </c>
    </row>
    <row r="976" spans="2:5" ht="15.75" thickBot="1">
      <c r="B976" s="225" t="s">
        <v>2071</v>
      </c>
      <c r="C976" s="226">
        <v>532528</v>
      </c>
      <c r="D976" s="225" t="s">
        <v>2072</v>
      </c>
      <c r="E976" s="225" t="s">
        <v>690</v>
      </c>
    </row>
    <row r="977" spans="2:5" ht="15.75" thickBot="1">
      <c r="B977" s="225" t="s">
        <v>2073</v>
      </c>
      <c r="C977" s="226">
        <v>530171</v>
      </c>
      <c r="D977" s="225" t="s">
        <v>597</v>
      </c>
      <c r="E977" s="225" t="s">
        <v>580</v>
      </c>
    </row>
    <row r="978" spans="2:5" ht="15.75" thickBot="1">
      <c r="B978" s="225" t="s">
        <v>2074</v>
      </c>
      <c r="C978" s="226">
        <v>530393</v>
      </c>
      <c r="D978" s="225" t="s">
        <v>2075</v>
      </c>
      <c r="E978" s="225" t="s">
        <v>580</v>
      </c>
    </row>
    <row r="979" spans="2:5" ht="15.75" thickBot="1">
      <c r="B979" s="225" t="s">
        <v>2076</v>
      </c>
      <c r="C979" s="226">
        <v>532772</v>
      </c>
      <c r="D979" s="225" t="s">
        <v>2077</v>
      </c>
      <c r="E979" s="225" t="s">
        <v>915</v>
      </c>
    </row>
    <row r="980" spans="2:5" ht="15.75" thickBot="1">
      <c r="B980" s="225" t="s">
        <v>2078</v>
      </c>
      <c r="C980" s="226">
        <v>511611</v>
      </c>
      <c r="D980" s="225" t="s">
        <v>2079</v>
      </c>
      <c r="E980" s="225" t="s">
        <v>614</v>
      </c>
    </row>
    <row r="981" spans="2:5" ht="15.75" thickBot="1">
      <c r="B981" s="225" t="s">
        <v>2080</v>
      </c>
      <c r="C981" s="226">
        <v>502820</v>
      </c>
      <c r="D981" s="225" t="s">
        <v>2081</v>
      </c>
      <c r="E981" s="225" t="s">
        <v>612</v>
      </c>
    </row>
    <row r="982" spans="2:5" ht="15.75" thickBot="1">
      <c r="B982" s="225" t="s">
        <v>2082</v>
      </c>
      <c r="C982" s="226">
        <v>523369</v>
      </c>
      <c r="D982" s="225" t="s">
        <v>597</v>
      </c>
      <c r="E982" s="225" t="s">
        <v>1296</v>
      </c>
    </row>
    <row r="983" spans="2:5" ht="15.75" thickBot="1">
      <c r="B983" s="225" t="s">
        <v>2083</v>
      </c>
      <c r="C983" s="226">
        <v>523367</v>
      </c>
      <c r="D983" s="225" t="s">
        <v>2084</v>
      </c>
      <c r="E983" s="225" t="s">
        <v>586</v>
      </c>
    </row>
    <row r="984" spans="2:5" ht="15.75" thickBot="1">
      <c r="B984" s="225" t="s">
        <v>2085</v>
      </c>
      <c r="C984" s="226">
        <v>500117</v>
      </c>
      <c r="D984" s="225" t="s">
        <v>2086</v>
      </c>
      <c r="E984" s="225" t="s">
        <v>811</v>
      </c>
    </row>
    <row r="985" spans="2:5" ht="15.75" thickBot="1">
      <c r="B985" s="225" t="s">
        <v>2087</v>
      </c>
      <c r="C985" s="226">
        <v>590031</v>
      </c>
      <c r="D985" s="225" t="s">
        <v>2088</v>
      </c>
      <c r="E985" s="225" t="s">
        <v>782</v>
      </c>
    </row>
    <row r="986" spans="2:5" ht="15.75" thickBot="1">
      <c r="B986" s="225" t="s">
        <v>2089</v>
      </c>
      <c r="C986" s="226">
        <v>590031</v>
      </c>
      <c r="D986" s="225" t="s">
        <v>2088</v>
      </c>
      <c r="E986" s="225" t="s">
        <v>782</v>
      </c>
    </row>
    <row r="987" spans="2:5" ht="15.75" thickBot="1">
      <c r="B987" s="225" t="s">
        <v>2090</v>
      </c>
      <c r="C987" s="225" t="s">
        <v>597</v>
      </c>
      <c r="D987" s="225" t="s">
        <v>2091</v>
      </c>
      <c r="E987" s="225" t="s">
        <v>608</v>
      </c>
    </row>
    <row r="988" spans="2:5" ht="15.75" thickBot="1">
      <c r="B988" s="225" t="s">
        <v>2092</v>
      </c>
      <c r="C988" s="226">
        <v>505703</v>
      </c>
      <c r="D988" s="225" t="s">
        <v>597</v>
      </c>
      <c r="E988" s="225" t="s">
        <v>605</v>
      </c>
    </row>
    <row r="989" spans="2:5" ht="15.75" thickBot="1">
      <c r="B989" s="225" t="s">
        <v>2093</v>
      </c>
      <c r="C989" s="226">
        <v>502137</v>
      </c>
      <c r="D989" s="225" t="s">
        <v>2094</v>
      </c>
      <c r="E989" s="225" t="s">
        <v>610</v>
      </c>
    </row>
    <row r="990" spans="2:5" ht="15.75" thickBot="1">
      <c r="B990" s="225" t="s">
        <v>2095</v>
      </c>
      <c r="C990" s="226">
        <v>512068</v>
      </c>
      <c r="D990" s="225" t="s">
        <v>597</v>
      </c>
      <c r="E990" s="225" t="s">
        <v>577</v>
      </c>
    </row>
    <row r="991" spans="2:5" ht="15.75" thickBot="1">
      <c r="B991" s="225" t="s">
        <v>2096</v>
      </c>
      <c r="C991" s="226">
        <v>542248</v>
      </c>
      <c r="D991" s="225" t="s">
        <v>2097</v>
      </c>
      <c r="E991" s="225" t="s">
        <v>786</v>
      </c>
    </row>
    <row r="992" spans="2:5" ht="15.75" thickBot="1">
      <c r="B992" s="225" t="s">
        <v>2098</v>
      </c>
      <c r="C992" s="226">
        <v>531989</v>
      </c>
      <c r="D992" s="225" t="s">
        <v>597</v>
      </c>
      <c r="E992" s="225" t="s">
        <v>792</v>
      </c>
    </row>
    <row r="993" spans="2:5" ht="15.75" thickBot="1">
      <c r="B993" s="225" t="s">
        <v>2099</v>
      </c>
      <c r="C993" s="226">
        <v>539190</v>
      </c>
      <c r="D993" s="225" t="s">
        <v>597</v>
      </c>
      <c r="E993" s="225" t="s">
        <v>614</v>
      </c>
    </row>
    <row r="994" spans="2:5" ht="15.75" thickBot="1">
      <c r="B994" s="225" t="s">
        <v>2100</v>
      </c>
      <c r="C994" s="226">
        <v>531227</v>
      </c>
      <c r="D994" s="225" t="s">
        <v>597</v>
      </c>
      <c r="E994" s="225" t="s">
        <v>645</v>
      </c>
    </row>
    <row r="995" spans="2:5" ht="15.75" thickBot="1">
      <c r="B995" s="225" t="s">
        <v>2101</v>
      </c>
      <c r="C995" s="226">
        <v>539405</v>
      </c>
      <c r="D995" s="225" t="s">
        <v>597</v>
      </c>
      <c r="E995" s="225" t="s">
        <v>711</v>
      </c>
    </row>
    <row r="996" spans="2:5" ht="15.75" thickBot="1">
      <c r="B996" s="225" t="s">
        <v>2102</v>
      </c>
      <c r="C996" s="226">
        <v>539559</v>
      </c>
      <c r="D996" s="225" t="s">
        <v>597</v>
      </c>
      <c r="E996" s="225" t="s">
        <v>711</v>
      </c>
    </row>
    <row r="997" spans="2:5" ht="15.75" thickBot="1">
      <c r="B997" s="225" t="s">
        <v>2103</v>
      </c>
      <c r="C997" s="226">
        <v>539559</v>
      </c>
      <c r="D997" s="225" t="s">
        <v>597</v>
      </c>
      <c r="E997" s="225" t="s">
        <v>711</v>
      </c>
    </row>
    <row r="998" spans="2:5" ht="15.75" thickBot="1">
      <c r="B998" s="225" t="s">
        <v>2104</v>
      </c>
      <c r="C998" s="226">
        <v>532760</v>
      </c>
      <c r="D998" s="225" t="s">
        <v>2105</v>
      </c>
      <c r="E998" s="225" t="s">
        <v>728</v>
      </c>
    </row>
    <row r="999" spans="2:5" ht="15.75" thickBot="1">
      <c r="B999" s="225" t="s">
        <v>2106</v>
      </c>
      <c r="C999" s="226">
        <v>541778</v>
      </c>
      <c r="D999" s="225" t="s">
        <v>597</v>
      </c>
      <c r="E999" s="225" t="s">
        <v>757</v>
      </c>
    </row>
    <row r="1000" spans="2:5" ht="15.75" thickBot="1">
      <c r="B1000" s="225" t="s">
        <v>2107</v>
      </c>
      <c r="C1000" s="226">
        <v>500645</v>
      </c>
      <c r="D1000" s="225" t="s">
        <v>2108</v>
      </c>
      <c r="E1000" s="225" t="s">
        <v>645</v>
      </c>
    </row>
    <row r="1001" spans="2:5" ht="15.75" thickBot="1">
      <c r="B1001" s="225" t="s">
        <v>2109</v>
      </c>
      <c r="C1001" s="226">
        <v>506401</v>
      </c>
      <c r="D1001" s="225" t="s">
        <v>2110</v>
      </c>
      <c r="E1001" s="225" t="s">
        <v>645</v>
      </c>
    </row>
    <row r="1002" spans="2:5" ht="15.75" thickBot="1">
      <c r="B1002" s="225" t="s">
        <v>2111</v>
      </c>
      <c r="C1002" s="226">
        <v>514030</v>
      </c>
      <c r="D1002" s="225" t="s">
        <v>597</v>
      </c>
      <c r="E1002" s="225" t="s">
        <v>612</v>
      </c>
    </row>
    <row r="1003" spans="2:5" ht="15.75" thickBot="1">
      <c r="B1003" s="225" t="s">
        <v>2112</v>
      </c>
      <c r="C1003" s="226">
        <v>539455</v>
      </c>
      <c r="D1003" s="225" t="s">
        <v>597</v>
      </c>
      <c r="E1003" s="225" t="s">
        <v>629</v>
      </c>
    </row>
    <row r="1004" spans="2:5" ht="15.75" thickBot="1">
      <c r="B1004" s="225" t="s">
        <v>2113</v>
      </c>
      <c r="C1004" s="226">
        <v>780006</v>
      </c>
      <c r="D1004" s="225" t="s">
        <v>597</v>
      </c>
      <c r="E1004" s="225" t="s">
        <v>688</v>
      </c>
    </row>
    <row r="1005" spans="2:5" ht="15.75" thickBot="1">
      <c r="B1005" s="225" t="s">
        <v>2114</v>
      </c>
      <c r="C1005" s="226">
        <v>532848</v>
      </c>
      <c r="D1005" s="225" t="s">
        <v>2115</v>
      </c>
      <c r="E1005" s="225" t="s">
        <v>1018</v>
      </c>
    </row>
    <row r="1006" spans="2:5" ht="15.75" thickBot="1">
      <c r="B1006" s="225" t="s">
        <v>2116</v>
      </c>
      <c r="C1006" s="226">
        <v>539596</v>
      </c>
      <c r="D1006" s="225" t="s">
        <v>597</v>
      </c>
      <c r="E1006" s="225" t="s">
        <v>580</v>
      </c>
    </row>
    <row r="1007" spans="2:5" ht="15.75" thickBot="1">
      <c r="B1007" s="225" t="s">
        <v>2117</v>
      </c>
      <c r="C1007" s="226">
        <v>504286</v>
      </c>
      <c r="D1007" s="225" t="s">
        <v>2118</v>
      </c>
      <c r="E1007" s="225" t="s">
        <v>895</v>
      </c>
    </row>
    <row r="1008" spans="2:5" ht="15.75" thickBot="1">
      <c r="B1008" s="225" t="s">
        <v>2119</v>
      </c>
      <c r="C1008" s="226">
        <v>504240</v>
      </c>
      <c r="D1008" s="225" t="s">
        <v>597</v>
      </c>
      <c r="E1008" s="225" t="s">
        <v>895</v>
      </c>
    </row>
    <row r="1009" spans="2:5" ht="15.75" thickBot="1">
      <c r="B1009" s="225" t="s">
        <v>2120</v>
      </c>
      <c r="C1009" s="226">
        <v>504256</v>
      </c>
      <c r="D1009" s="225" t="s">
        <v>597</v>
      </c>
      <c r="E1009" s="225" t="s">
        <v>1139</v>
      </c>
    </row>
    <row r="1010" spans="2:5" ht="15.75" thickBot="1">
      <c r="B1010" s="225" t="s">
        <v>2121</v>
      </c>
      <c r="C1010" s="226">
        <v>533137</v>
      </c>
      <c r="D1010" s="225" t="s">
        <v>2122</v>
      </c>
      <c r="E1010" s="225" t="s">
        <v>1336</v>
      </c>
    </row>
    <row r="1011" spans="2:5" ht="15.75" thickBot="1">
      <c r="B1011" s="225" t="s">
        <v>2123</v>
      </c>
      <c r="C1011" s="226">
        <v>532121</v>
      </c>
      <c r="D1011" s="225" t="s">
        <v>2124</v>
      </c>
      <c r="E1011" s="225" t="s">
        <v>915</v>
      </c>
    </row>
    <row r="1012" spans="2:5" ht="15.75" thickBot="1">
      <c r="B1012" s="225" t="s">
        <v>2125</v>
      </c>
      <c r="C1012" s="226">
        <v>537536</v>
      </c>
      <c r="D1012" s="225" t="s">
        <v>597</v>
      </c>
      <c r="E1012" s="225" t="s">
        <v>635</v>
      </c>
    </row>
    <row r="1013" spans="2:5" ht="15.75" thickBot="1">
      <c r="B1013" s="225" t="s">
        <v>2126</v>
      </c>
      <c r="C1013" s="226">
        <v>531521</v>
      </c>
      <c r="D1013" s="225" t="s">
        <v>597</v>
      </c>
      <c r="E1013" s="225" t="s">
        <v>635</v>
      </c>
    </row>
    <row r="1014" spans="2:5" ht="15.75" thickBot="1">
      <c r="B1014" s="225" t="s">
        <v>2127</v>
      </c>
      <c r="C1014" s="225" t="s">
        <v>597</v>
      </c>
      <c r="D1014" s="225" t="s">
        <v>2128</v>
      </c>
      <c r="E1014" s="225" t="s">
        <v>608</v>
      </c>
    </row>
    <row r="1015" spans="2:5" ht="15.75" thickBot="1">
      <c r="B1015" s="225" t="s">
        <v>2129</v>
      </c>
      <c r="C1015" s="226">
        <v>539197</v>
      </c>
      <c r="D1015" s="225" t="s">
        <v>597</v>
      </c>
      <c r="E1015" s="225" t="s">
        <v>619</v>
      </c>
    </row>
    <row r="1016" spans="2:5" ht="15.75" thickBot="1">
      <c r="B1016" s="225" t="s">
        <v>2130</v>
      </c>
      <c r="C1016" s="226">
        <v>539197</v>
      </c>
      <c r="D1016" s="225" t="s">
        <v>597</v>
      </c>
      <c r="E1016" s="225" t="s">
        <v>619</v>
      </c>
    </row>
    <row r="1017" spans="2:5" ht="15.75" thickBot="1">
      <c r="B1017" s="225" t="s">
        <v>2131</v>
      </c>
      <c r="C1017" s="226">
        <v>531585</v>
      </c>
      <c r="D1017" s="225" t="s">
        <v>597</v>
      </c>
      <c r="E1017" s="225" t="s">
        <v>619</v>
      </c>
    </row>
    <row r="1018" spans="2:5" ht="15.75" thickBot="1">
      <c r="B1018" s="225" t="s">
        <v>2132</v>
      </c>
      <c r="C1018" s="226">
        <v>512445</v>
      </c>
      <c r="D1018" s="225" t="s">
        <v>597</v>
      </c>
      <c r="E1018" s="225" t="s">
        <v>580</v>
      </c>
    </row>
    <row r="1019" spans="2:5" ht="15.75" thickBot="1">
      <c r="B1019" s="225" t="s">
        <v>2133</v>
      </c>
      <c r="C1019" s="226">
        <v>530765</v>
      </c>
      <c r="D1019" s="225" t="s">
        <v>597</v>
      </c>
      <c r="E1019" s="225" t="s">
        <v>614</v>
      </c>
    </row>
    <row r="1020" spans="2:5" ht="15.75" thickBot="1">
      <c r="B1020" s="225" t="s">
        <v>2134</v>
      </c>
      <c r="C1020" s="226">
        <v>542002</v>
      </c>
      <c r="D1020" s="225" t="s">
        <v>597</v>
      </c>
      <c r="E1020" s="225" t="s">
        <v>683</v>
      </c>
    </row>
    <row r="1021" spans="2:5" ht="15.75" thickBot="1">
      <c r="B1021" s="225" t="s">
        <v>2135</v>
      </c>
      <c r="C1021" s="226">
        <v>511072</v>
      </c>
      <c r="D1021" s="225" t="s">
        <v>2136</v>
      </c>
      <c r="E1021" s="225" t="s">
        <v>655</v>
      </c>
    </row>
    <row r="1022" spans="2:5" ht="15.75" thickBot="1">
      <c r="B1022" s="225" t="s">
        <v>2137</v>
      </c>
      <c r="C1022" s="226">
        <v>519588</v>
      </c>
      <c r="D1022" s="225" t="s">
        <v>2138</v>
      </c>
      <c r="E1022" s="225" t="s">
        <v>657</v>
      </c>
    </row>
    <row r="1023" spans="2:5" ht="15.75" thickBot="1">
      <c r="B1023" s="225" t="s">
        <v>2139</v>
      </c>
      <c r="C1023" s="226">
        <v>538715</v>
      </c>
      <c r="D1023" s="225" t="s">
        <v>597</v>
      </c>
      <c r="E1023" s="225" t="s">
        <v>717</v>
      </c>
    </row>
    <row r="1024" spans="2:5" ht="15.75" thickBot="1">
      <c r="B1024" s="225" t="s">
        <v>2140</v>
      </c>
      <c r="C1024" s="226">
        <v>500119</v>
      </c>
      <c r="D1024" s="225" t="s">
        <v>2141</v>
      </c>
      <c r="E1024" s="225" t="s">
        <v>1296</v>
      </c>
    </row>
    <row r="1025" spans="2:5" ht="15.75" thickBot="1">
      <c r="B1025" s="225" t="s">
        <v>2142</v>
      </c>
      <c r="C1025" s="226">
        <v>531923</v>
      </c>
      <c r="D1025" s="225" t="s">
        <v>597</v>
      </c>
      <c r="E1025" s="225" t="s">
        <v>1296</v>
      </c>
    </row>
    <row r="1026" spans="2:5" ht="15.75" thickBot="1">
      <c r="B1026" s="225" t="s">
        <v>2143</v>
      </c>
      <c r="C1026" s="226">
        <v>531198</v>
      </c>
      <c r="D1026" s="225" t="s">
        <v>597</v>
      </c>
      <c r="E1026" s="225" t="s">
        <v>798</v>
      </c>
    </row>
    <row r="1027" spans="2:5" ht="15.75" thickBot="1">
      <c r="B1027" s="225" t="s">
        <v>2144</v>
      </c>
      <c r="C1027" s="226">
        <v>521216</v>
      </c>
      <c r="D1027" s="225" t="s">
        <v>597</v>
      </c>
      <c r="E1027" s="225" t="s">
        <v>612</v>
      </c>
    </row>
    <row r="1028" spans="2:5" ht="15.75" thickBot="1">
      <c r="B1028" s="225" t="s">
        <v>2145</v>
      </c>
      <c r="C1028" s="226">
        <v>542679</v>
      </c>
      <c r="D1028" s="225" t="s">
        <v>2146</v>
      </c>
      <c r="E1028" s="225" t="s">
        <v>895</v>
      </c>
    </row>
    <row r="1029" spans="2:5" ht="15.75" thickBot="1">
      <c r="B1029" s="225" t="s">
        <v>2147</v>
      </c>
      <c r="C1029" s="226">
        <v>532180</v>
      </c>
      <c r="D1029" s="225" t="s">
        <v>2148</v>
      </c>
      <c r="E1029" s="225" t="s">
        <v>915</v>
      </c>
    </row>
    <row r="1030" spans="2:5" ht="15.75" thickBot="1">
      <c r="B1030" s="225" t="s">
        <v>2149</v>
      </c>
      <c r="C1030" s="226">
        <v>512485</v>
      </c>
      <c r="D1030" s="225" t="s">
        <v>597</v>
      </c>
      <c r="E1030" s="225" t="s">
        <v>619</v>
      </c>
    </row>
    <row r="1031" spans="2:5" ht="15.75" thickBot="1">
      <c r="B1031" s="225" t="s">
        <v>2150</v>
      </c>
      <c r="C1031" s="226">
        <v>521151</v>
      </c>
      <c r="D1031" s="225" t="s">
        <v>597</v>
      </c>
      <c r="E1031" s="225" t="s">
        <v>612</v>
      </c>
    </row>
    <row r="1032" spans="2:5" ht="15.75" thickBot="1">
      <c r="B1032" s="225" t="s">
        <v>2151</v>
      </c>
      <c r="C1032" s="226">
        <v>503637</v>
      </c>
      <c r="D1032" s="225" t="s">
        <v>597</v>
      </c>
      <c r="E1032" s="225" t="s">
        <v>580</v>
      </c>
    </row>
    <row r="1033" spans="2:5" ht="15.75" thickBot="1">
      <c r="B1033" s="225" t="s">
        <v>2152</v>
      </c>
      <c r="C1033" s="226">
        <v>507717</v>
      </c>
      <c r="D1033" s="225" t="s">
        <v>2153</v>
      </c>
      <c r="E1033" s="225" t="s">
        <v>741</v>
      </c>
    </row>
    <row r="1034" spans="2:5" ht="15.75" thickBot="1">
      <c r="B1034" s="225" t="s">
        <v>2154</v>
      </c>
      <c r="C1034" s="226">
        <v>538446</v>
      </c>
      <c r="D1034" s="225" t="s">
        <v>597</v>
      </c>
      <c r="E1034" s="225" t="s">
        <v>580</v>
      </c>
    </row>
    <row r="1035" spans="2:5" ht="15.75" thickBot="1">
      <c r="B1035" s="225" t="s">
        <v>2155</v>
      </c>
      <c r="C1035" s="225" t="s">
        <v>597</v>
      </c>
      <c r="D1035" s="225" t="s">
        <v>2156</v>
      </c>
      <c r="E1035" s="225" t="s">
        <v>608</v>
      </c>
    </row>
    <row r="1036" spans="2:5" ht="15.75" thickBot="1">
      <c r="B1036" s="225" t="s">
        <v>2157</v>
      </c>
      <c r="C1036" s="226">
        <v>531043</v>
      </c>
      <c r="D1036" s="225" t="s">
        <v>597</v>
      </c>
      <c r="E1036" s="225" t="s">
        <v>786</v>
      </c>
    </row>
    <row r="1037" spans="2:5" ht="15.75" thickBot="1">
      <c r="B1037" s="225" t="s">
        <v>2158</v>
      </c>
      <c r="C1037" s="226">
        <v>540268</v>
      </c>
      <c r="D1037" s="225" t="s">
        <v>597</v>
      </c>
      <c r="E1037" s="225" t="s">
        <v>580</v>
      </c>
    </row>
    <row r="1038" spans="2:5" ht="15.75" thickBot="1">
      <c r="B1038" s="225" t="s">
        <v>2159</v>
      </c>
      <c r="C1038" s="226">
        <v>506405</v>
      </c>
      <c r="D1038" s="225" t="s">
        <v>597</v>
      </c>
      <c r="E1038" s="225" t="s">
        <v>757</v>
      </c>
    </row>
    <row r="1039" spans="2:5" ht="15.75" thickBot="1">
      <c r="B1039" s="225" t="s">
        <v>2160</v>
      </c>
      <c r="C1039" s="226">
        <v>511451</v>
      </c>
      <c r="D1039" s="225" t="s">
        <v>597</v>
      </c>
      <c r="E1039" s="225" t="s">
        <v>614</v>
      </c>
    </row>
    <row r="1040" spans="2:5" ht="15.75" thickBot="1">
      <c r="B1040" s="225" t="s">
        <v>2161</v>
      </c>
      <c r="C1040" s="226">
        <v>507442</v>
      </c>
      <c r="D1040" s="225" t="s">
        <v>2162</v>
      </c>
      <c r="E1040" s="225" t="s">
        <v>1296</v>
      </c>
    </row>
    <row r="1041" spans="2:5" ht="15.75" thickBot="1">
      <c r="B1041" s="225" t="s">
        <v>2163</v>
      </c>
      <c r="C1041" s="226">
        <v>501945</v>
      </c>
      <c r="D1041" s="225" t="s">
        <v>597</v>
      </c>
      <c r="E1041" s="225" t="s">
        <v>614</v>
      </c>
    </row>
    <row r="1042" spans="2:5" ht="15.75" thickBot="1">
      <c r="B1042" s="225" t="s">
        <v>2164</v>
      </c>
      <c r="C1042" s="226">
        <v>526971</v>
      </c>
      <c r="D1042" s="225" t="s">
        <v>597</v>
      </c>
      <c r="E1042" s="225" t="s">
        <v>619</v>
      </c>
    </row>
    <row r="1043" spans="2:5" ht="15.75" thickBot="1">
      <c r="B1043" s="225" t="s">
        <v>2165</v>
      </c>
      <c r="C1043" s="226">
        <v>531306</v>
      </c>
      <c r="D1043" s="225" t="s">
        <v>597</v>
      </c>
      <c r="E1043" s="225" t="s">
        <v>605</v>
      </c>
    </row>
    <row r="1044" spans="2:5" ht="15.75" thickBot="1">
      <c r="B1044" s="225" t="s">
        <v>2166</v>
      </c>
      <c r="C1044" s="226">
        <v>531306</v>
      </c>
      <c r="D1044" s="225" t="s">
        <v>597</v>
      </c>
      <c r="E1044" s="225" t="s">
        <v>605</v>
      </c>
    </row>
    <row r="1045" spans="2:5" ht="15.75" thickBot="1">
      <c r="B1045" s="225" t="s">
        <v>2167</v>
      </c>
      <c r="C1045" s="226">
        <v>541302</v>
      </c>
      <c r="D1045" s="225" t="s">
        <v>597</v>
      </c>
      <c r="E1045" s="225" t="s">
        <v>995</v>
      </c>
    </row>
    <row r="1046" spans="2:5" ht="15.75" thickBot="1">
      <c r="B1046" s="225" t="s">
        <v>2168</v>
      </c>
      <c r="C1046" s="226">
        <v>507886</v>
      </c>
      <c r="D1046" s="225" t="s">
        <v>597</v>
      </c>
      <c r="E1046" s="225" t="s">
        <v>683</v>
      </c>
    </row>
    <row r="1047" spans="2:5" ht="15.75" thickBot="1">
      <c r="B1047" s="225" t="s">
        <v>2169</v>
      </c>
      <c r="C1047" s="226">
        <v>540695</v>
      </c>
      <c r="D1047" s="225" t="s">
        <v>597</v>
      </c>
      <c r="E1047" s="225" t="s">
        <v>619</v>
      </c>
    </row>
    <row r="1048" spans="2:5" ht="15.75" thickBot="1">
      <c r="B1048" s="225" t="s">
        <v>2170</v>
      </c>
      <c r="C1048" s="226">
        <v>531237</v>
      </c>
      <c r="D1048" s="225" t="s">
        <v>597</v>
      </c>
      <c r="E1048" s="225" t="s">
        <v>614</v>
      </c>
    </row>
    <row r="1049" spans="2:5" ht="15.75" thickBot="1">
      <c r="B1049" s="225" t="s">
        <v>2171</v>
      </c>
      <c r="C1049" s="226">
        <v>533336</v>
      </c>
      <c r="D1049" s="225" t="s">
        <v>2172</v>
      </c>
      <c r="E1049" s="225" t="s">
        <v>617</v>
      </c>
    </row>
    <row r="1050" spans="2:5" ht="15.75" thickBot="1">
      <c r="B1050" s="225" t="s">
        <v>2173</v>
      </c>
      <c r="C1050" s="226">
        <v>523736</v>
      </c>
      <c r="D1050" s="225" t="s">
        <v>2174</v>
      </c>
      <c r="E1050" s="225" t="s">
        <v>974</v>
      </c>
    </row>
    <row r="1051" spans="2:5" ht="15.75" thickBot="1">
      <c r="B1051" s="225" t="s">
        <v>2175</v>
      </c>
      <c r="C1051" s="226">
        <v>538902</v>
      </c>
      <c r="D1051" s="225" t="s">
        <v>2176</v>
      </c>
      <c r="E1051" s="225" t="s">
        <v>1004</v>
      </c>
    </row>
    <row r="1052" spans="2:5" ht="15.75" thickBot="1">
      <c r="B1052" s="225" t="s">
        <v>2177</v>
      </c>
      <c r="C1052" s="225" t="s">
        <v>597</v>
      </c>
      <c r="D1052" s="225" t="s">
        <v>2178</v>
      </c>
      <c r="E1052" s="225" t="s">
        <v>1004</v>
      </c>
    </row>
    <row r="1053" spans="2:5" ht="15.75" thickBot="1">
      <c r="B1053" s="225" t="s">
        <v>2179</v>
      </c>
      <c r="C1053" s="226">
        <v>508860</v>
      </c>
      <c r="D1053" s="225" t="s">
        <v>597</v>
      </c>
      <c r="E1053" s="225" t="s">
        <v>995</v>
      </c>
    </row>
    <row r="1054" spans="2:5" ht="15.75" thickBot="1">
      <c r="B1054" s="225" t="s">
        <v>2180</v>
      </c>
      <c r="C1054" s="226">
        <v>500120</v>
      </c>
      <c r="D1054" s="225" t="s">
        <v>597</v>
      </c>
      <c r="E1054" s="225" t="s">
        <v>645</v>
      </c>
    </row>
    <row r="1055" spans="2:5" ht="15.75" thickBot="1">
      <c r="B1055" s="225" t="s">
        <v>2181</v>
      </c>
      <c r="C1055" s="226">
        <v>522163</v>
      </c>
      <c r="D1055" s="225" t="s">
        <v>2182</v>
      </c>
      <c r="E1055" s="225" t="s">
        <v>895</v>
      </c>
    </row>
    <row r="1056" spans="2:5" ht="15.75" thickBot="1">
      <c r="B1056" s="225" t="s">
        <v>2183</v>
      </c>
      <c r="C1056" s="226">
        <v>530959</v>
      </c>
      <c r="D1056" s="225" t="s">
        <v>597</v>
      </c>
      <c r="E1056" s="225" t="s">
        <v>1004</v>
      </c>
    </row>
    <row r="1057" spans="2:5" ht="15.75" thickBot="1">
      <c r="B1057" s="225" t="s">
        <v>2184</v>
      </c>
      <c r="C1057" s="226">
        <v>500089</v>
      </c>
      <c r="D1057" s="225" t="s">
        <v>2185</v>
      </c>
      <c r="E1057" s="225" t="s">
        <v>757</v>
      </c>
    </row>
    <row r="1058" spans="2:5" ht="15.75" thickBot="1">
      <c r="B1058" s="225" t="s">
        <v>2186</v>
      </c>
      <c r="C1058" s="226">
        <v>500089</v>
      </c>
      <c r="D1058" s="225" t="s">
        <v>2185</v>
      </c>
      <c r="E1058" s="225" t="s">
        <v>757</v>
      </c>
    </row>
    <row r="1059" spans="2:5" ht="15.75" thickBot="1">
      <c r="B1059" s="225" t="s">
        <v>2187</v>
      </c>
      <c r="C1059" s="226">
        <v>540811</v>
      </c>
      <c r="D1059" s="225" t="s">
        <v>597</v>
      </c>
      <c r="E1059" s="225" t="s">
        <v>619</v>
      </c>
    </row>
    <row r="1060" spans="2:5" ht="15.75" thickBot="1">
      <c r="B1060" s="225" t="s">
        <v>2188</v>
      </c>
      <c r="C1060" s="226">
        <v>542685</v>
      </c>
      <c r="D1060" s="225" t="s">
        <v>2189</v>
      </c>
      <c r="E1060" s="225" t="s">
        <v>1121</v>
      </c>
    </row>
    <row r="1061" spans="2:5" ht="15.75" thickBot="1">
      <c r="B1061" s="225" t="s">
        <v>2190</v>
      </c>
      <c r="C1061" s="226">
        <v>539979</v>
      </c>
      <c r="D1061" s="225" t="s">
        <v>2191</v>
      </c>
      <c r="E1061" s="225" t="s">
        <v>612</v>
      </c>
    </row>
    <row r="1062" spans="2:5" ht="15.75" thickBot="1">
      <c r="B1062" s="225" t="s">
        <v>2192</v>
      </c>
      <c r="C1062" s="226">
        <v>540151</v>
      </c>
      <c r="D1062" s="225" t="s">
        <v>597</v>
      </c>
      <c r="E1062" s="225" t="s">
        <v>600</v>
      </c>
    </row>
    <row r="1063" spans="2:5" ht="15.75" thickBot="1">
      <c r="B1063" s="225" t="s">
        <v>2193</v>
      </c>
      <c r="C1063" s="226">
        <v>542155</v>
      </c>
      <c r="D1063" s="225" t="s">
        <v>2194</v>
      </c>
      <c r="E1063" s="225" t="s">
        <v>963</v>
      </c>
    </row>
    <row r="1064" spans="2:5" ht="15.75" thickBot="1">
      <c r="B1064" s="225" t="s">
        <v>2195</v>
      </c>
      <c r="C1064" s="226">
        <v>506414</v>
      </c>
      <c r="D1064" s="225" t="s">
        <v>597</v>
      </c>
      <c r="E1064" s="225" t="s">
        <v>635</v>
      </c>
    </row>
    <row r="1065" spans="2:5" ht="15.75" thickBot="1">
      <c r="B1065" s="225" t="s">
        <v>2196</v>
      </c>
      <c r="C1065" s="226">
        <v>531153</v>
      </c>
      <c r="D1065" s="225" t="s">
        <v>597</v>
      </c>
      <c r="E1065" s="225" t="s">
        <v>846</v>
      </c>
    </row>
    <row r="1066" spans="2:5" ht="15.75" thickBot="1">
      <c r="B1066" s="225" t="s">
        <v>2197</v>
      </c>
      <c r="C1066" s="226">
        <v>540789</v>
      </c>
      <c r="D1066" s="225" t="s">
        <v>2198</v>
      </c>
      <c r="E1066" s="225" t="s">
        <v>2199</v>
      </c>
    </row>
    <row r="1067" spans="2:5" ht="15.75" thickBot="1">
      <c r="B1067" s="225" t="s">
        <v>2200</v>
      </c>
      <c r="C1067" s="226">
        <v>540047</v>
      </c>
      <c r="D1067" s="225" t="s">
        <v>2201</v>
      </c>
      <c r="E1067" s="225" t="s">
        <v>1192</v>
      </c>
    </row>
    <row r="1068" spans="2:5" ht="15.75" thickBot="1">
      <c r="B1068" s="225" t="s">
        <v>2202</v>
      </c>
      <c r="C1068" s="226">
        <v>526927</v>
      </c>
      <c r="D1068" s="225" t="s">
        <v>597</v>
      </c>
      <c r="E1068" s="225" t="s">
        <v>690</v>
      </c>
    </row>
    <row r="1069" spans="2:5" ht="15.75" thickBot="1">
      <c r="B1069" s="225" t="s">
        <v>2203</v>
      </c>
      <c r="C1069" s="226">
        <v>500068</v>
      </c>
      <c r="D1069" s="225" t="s">
        <v>597</v>
      </c>
      <c r="E1069" s="225" t="s">
        <v>605</v>
      </c>
    </row>
    <row r="1070" spans="2:5" ht="15.75" thickBot="1">
      <c r="B1070" s="225" t="s">
        <v>2204</v>
      </c>
      <c r="C1070" s="226">
        <v>500068</v>
      </c>
      <c r="D1070" s="225" t="s">
        <v>597</v>
      </c>
      <c r="E1070" s="225" t="s">
        <v>605</v>
      </c>
    </row>
    <row r="1071" spans="2:5" ht="15.75" thickBot="1">
      <c r="B1071" s="225" t="s">
        <v>2205</v>
      </c>
      <c r="C1071" s="226">
        <v>532839</v>
      </c>
      <c r="D1071" s="225" t="s">
        <v>2206</v>
      </c>
      <c r="E1071" s="225" t="s">
        <v>1336</v>
      </c>
    </row>
    <row r="1072" spans="2:5" ht="15.75" thickBot="1">
      <c r="B1072" s="225" t="s">
        <v>2207</v>
      </c>
      <c r="C1072" s="226">
        <v>532839</v>
      </c>
      <c r="D1072" s="225" t="s">
        <v>2206</v>
      </c>
      <c r="E1072" s="225" t="s">
        <v>1336</v>
      </c>
    </row>
    <row r="1073" spans="2:5" ht="15.75" thickBot="1">
      <c r="B1073" s="225" t="s">
        <v>2208</v>
      </c>
      <c r="C1073" s="226">
        <v>531553</v>
      </c>
      <c r="D1073" s="225" t="s">
        <v>597</v>
      </c>
      <c r="E1073" s="225" t="s">
        <v>1018</v>
      </c>
    </row>
    <row r="1074" spans="2:5" ht="15.75" thickBot="1">
      <c r="B1074" s="225" t="s">
        <v>2209</v>
      </c>
      <c r="C1074" s="226">
        <v>540701</v>
      </c>
      <c r="D1074" s="225" t="s">
        <v>2210</v>
      </c>
      <c r="E1074" s="225" t="s">
        <v>635</v>
      </c>
    </row>
    <row r="1075" spans="2:5" ht="15.75" thickBot="1">
      <c r="B1075" s="225" t="s">
        <v>2211</v>
      </c>
      <c r="C1075" s="226">
        <v>538432</v>
      </c>
      <c r="D1075" s="225" t="s">
        <v>597</v>
      </c>
      <c r="E1075" s="225" t="s">
        <v>619</v>
      </c>
    </row>
    <row r="1076" spans="2:5" ht="15.75" thickBot="1">
      <c r="B1076" s="225" t="s">
        <v>2212</v>
      </c>
      <c r="C1076" s="226">
        <v>532488</v>
      </c>
      <c r="D1076" s="225" t="s">
        <v>2213</v>
      </c>
      <c r="E1076" s="225" t="s">
        <v>635</v>
      </c>
    </row>
    <row r="1077" spans="2:5" ht="15.75" thickBot="1">
      <c r="B1077" s="225" t="s">
        <v>2214</v>
      </c>
      <c r="C1077" s="226">
        <v>526285</v>
      </c>
      <c r="D1077" s="225" t="s">
        <v>597</v>
      </c>
      <c r="E1077" s="225" t="s">
        <v>846</v>
      </c>
    </row>
    <row r="1078" spans="2:5" ht="15.75" thickBot="1">
      <c r="B1078" s="225" t="s">
        <v>2215</v>
      </c>
      <c r="C1078" s="226">
        <v>526315</v>
      </c>
      <c r="D1078" s="225" t="s">
        <v>597</v>
      </c>
      <c r="E1078" s="225" t="s">
        <v>1125</v>
      </c>
    </row>
    <row r="1079" spans="2:5" ht="15.75" thickBot="1">
      <c r="B1079" s="225" t="s">
        <v>2216</v>
      </c>
      <c r="C1079" s="226">
        <v>540699</v>
      </c>
      <c r="D1079" s="225" t="s">
        <v>2217</v>
      </c>
      <c r="E1079" s="225" t="s">
        <v>966</v>
      </c>
    </row>
    <row r="1080" spans="2:5" ht="15.75" thickBot="1">
      <c r="B1080" s="225" t="s">
        <v>2218</v>
      </c>
      <c r="C1080" s="226">
        <v>540699</v>
      </c>
      <c r="D1080" s="225" t="s">
        <v>2217</v>
      </c>
      <c r="E1080" s="225" t="s">
        <v>966</v>
      </c>
    </row>
    <row r="1081" spans="2:5" ht="15.75" thickBot="1">
      <c r="B1081" s="225" t="s">
        <v>2219</v>
      </c>
      <c r="C1081" s="226">
        <v>532868</v>
      </c>
      <c r="D1081" s="225" t="s">
        <v>2220</v>
      </c>
      <c r="E1081" s="225" t="s">
        <v>683</v>
      </c>
    </row>
    <row r="1082" spans="2:5" ht="15.75" thickBot="1">
      <c r="B1082" s="225" t="s">
        <v>2221</v>
      </c>
      <c r="C1082" s="226">
        <v>533146</v>
      </c>
      <c r="D1082" s="225" t="s">
        <v>2222</v>
      </c>
      <c r="E1082" s="225" t="s">
        <v>2223</v>
      </c>
    </row>
    <row r="1083" spans="2:5" ht="15.75" thickBot="1">
      <c r="B1083" s="225" t="s">
        <v>2224</v>
      </c>
      <c r="C1083" s="226">
        <v>533146</v>
      </c>
      <c r="D1083" s="225" t="s">
        <v>2225</v>
      </c>
      <c r="E1083" s="225" t="s">
        <v>2223</v>
      </c>
    </row>
    <row r="1084" spans="2:5" ht="15.75" thickBot="1">
      <c r="B1084" s="225" t="s">
        <v>2226</v>
      </c>
      <c r="C1084" s="226">
        <v>505526</v>
      </c>
      <c r="D1084" s="225" t="s">
        <v>597</v>
      </c>
      <c r="E1084" s="225" t="s">
        <v>617</v>
      </c>
    </row>
    <row r="1085" spans="2:5" ht="15.75" thickBot="1">
      <c r="B1085" s="225" t="s">
        <v>2227</v>
      </c>
      <c r="C1085" s="226">
        <v>542013</v>
      </c>
      <c r="D1085" s="225" t="s">
        <v>597</v>
      </c>
      <c r="E1085" s="225" t="s">
        <v>1077</v>
      </c>
    </row>
    <row r="1086" spans="2:5" ht="15.75" thickBot="1">
      <c r="B1086" s="225" t="s">
        <v>2228</v>
      </c>
      <c r="C1086" s="226">
        <v>541403</v>
      </c>
      <c r="D1086" s="225" t="s">
        <v>2229</v>
      </c>
      <c r="E1086" s="225" t="s">
        <v>711</v>
      </c>
    </row>
    <row r="1087" spans="2:5" ht="15.75" thickBot="1">
      <c r="B1087" s="225" t="s">
        <v>2230</v>
      </c>
      <c r="C1087" s="226">
        <v>526504</v>
      </c>
      <c r="D1087" s="225" t="s">
        <v>597</v>
      </c>
      <c r="E1087" s="225" t="s">
        <v>786</v>
      </c>
    </row>
    <row r="1088" spans="2:5" ht="15.75" thickBot="1">
      <c r="B1088" s="225" t="s">
        <v>2231</v>
      </c>
      <c r="C1088" s="226">
        <v>522261</v>
      </c>
      <c r="D1088" s="225" t="s">
        <v>2232</v>
      </c>
      <c r="E1088" s="225" t="s">
        <v>938</v>
      </c>
    </row>
    <row r="1089" spans="2:5" ht="15.75" thickBot="1">
      <c r="B1089" s="225" t="s">
        <v>2233</v>
      </c>
      <c r="C1089" s="226">
        <v>522261</v>
      </c>
      <c r="D1089" s="225" t="s">
        <v>2232</v>
      </c>
      <c r="E1089" s="225" t="s">
        <v>938</v>
      </c>
    </row>
    <row r="1090" spans="2:5" ht="15.75" thickBot="1">
      <c r="B1090" s="225" t="s">
        <v>2234</v>
      </c>
      <c r="C1090" s="226">
        <v>512519</v>
      </c>
      <c r="D1090" s="225" t="s">
        <v>2235</v>
      </c>
      <c r="E1090" s="225" t="s">
        <v>612</v>
      </c>
    </row>
    <row r="1091" spans="2:5" ht="15.75" thickBot="1">
      <c r="B1091" s="225" t="s">
        <v>2236</v>
      </c>
      <c r="C1091" s="225" t="s">
        <v>597</v>
      </c>
      <c r="D1091" s="225" t="s">
        <v>2237</v>
      </c>
      <c r="E1091" s="225" t="s">
        <v>688</v>
      </c>
    </row>
    <row r="1092" spans="2:5" ht="15.75" thickBot="1">
      <c r="B1092" s="225" t="s">
        <v>2238</v>
      </c>
      <c r="C1092" s="226">
        <v>533176</v>
      </c>
      <c r="D1092" s="225" t="s">
        <v>2239</v>
      </c>
      <c r="E1092" s="225" t="s">
        <v>600</v>
      </c>
    </row>
    <row r="1093" spans="2:5" ht="15.75" thickBot="1">
      <c r="B1093" s="225" t="s">
        <v>2240</v>
      </c>
      <c r="C1093" s="226">
        <v>526783</v>
      </c>
      <c r="D1093" s="225" t="s">
        <v>597</v>
      </c>
      <c r="E1093" s="225" t="s">
        <v>786</v>
      </c>
    </row>
    <row r="1094" spans="2:5" ht="15.75" thickBot="1">
      <c r="B1094" s="225" t="s">
        <v>2241</v>
      </c>
      <c r="C1094" s="226">
        <v>539267</v>
      </c>
      <c r="D1094" s="225" t="s">
        <v>597</v>
      </c>
      <c r="E1094" s="225" t="s">
        <v>619</v>
      </c>
    </row>
    <row r="1095" spans="2:5" ht="15.75" thickBot="1">
      <c r="B1095" s="225" t="s">
        <v>2242</v>
      </c>
      <c r="C1095" s="226">
        <v>539524</v>
      </c>
      <c r="D1095" s="225" t="s">
        <v>2243</v>
      </c>
      <c r="E1095" s="225" t="s">
        <v>786</v>
      </c>
    </row>
    <row r="1096" spans="2:5" ht="15.75" thickBot="1">
      <c r="B1096" s="225" t="s">
        <v>2244</v>
      </c>
      <c r="C1096" s="226">
        <v>541299</v>
      </c>
      <c r="D1096" s="225" t="s">
        <v>597</v>
      </c>
      <c r="E1096" s="225" t="s">
        <v>786</v>
      </c>
    </row>
    <row r="1097" spans="2:5" ht="15.75" thickBot="1">
      <c r="B1097" s="225" t="s">
        <v>2245</v>
      </c>
      <c r="C1097" s="226">
        <v>500124</v>
      </c>
      <c r="D1097" s="225" t="s">
        <v>2246</v>
      </c>
      <c r="E1097" s="225" t="s">
        <v>635</v>
      </c>
    </row>
    <row r="1098" spans="2:5" ht="15.75" thickBot="1">
      <c r="B1098" s="225" t="s">
        <v>2247</v>
      </c>
      <c r="C1098" s="226">
        <v>540144</v>
      </c>
      <c r="D1098" s="225" t="s">
        <v>597</v>
      </c>
      <c r="E1098" s="225" t="s">
        <v>681</v>
      </c>
    </row>
    <row r="1099" spans="2:5" ht="15.75" thickBot="1">
      <c r="B1099" s="225" t="s">
        <v>2248</v>
      </c>
      <c r="C1099" s="226">
        <v>523618</v>
      </c>
      <c r="D1099" s="225" t="s">
        <v>2249</v>
      </c>
      <c r="E1099" s="225" t="s">
        <v>1844</v>
      </c>
    </row>
    <row r="1100" spans="2:5" ht="15.75" thickBot="1">
      <c r="B1100" s="225" t="s">
        <v>2250</v>
      </c>
      <c r="C1100" s="226">
        <v>523618</v>
      </c>
      <c r="D1100" s="225" t="s">
        <v>2249</v>
      </c>
      <c r="E1100" s="225" t="s">
        <v>1844</v>
      </c>
    </row>
    <row r="1101" spans="2:5" ht="15.75" thickBot="1">
      <c r="B1101" s="225" t="s">
        <v>2251</v>
      </c>
      <c r="C1101" s="226">
        <v>534674</v>
      </c>
      <c r="D1101" s="225" t="s">
        <v>2252</v>
      </c>
      <c r="E1101" s="225" t="s">
        <v>619</v>
      </c>
    </row>
    <row r="1102" spans="2:5" ht="15.75" thickBot="1">
      <c r="B1102" s="225" t="s">
        <v>2253</v>
      </c>
      <c r="C1102" s="226">
        <v>511634</v>
      </c>
      <c r="D1102" s="225" t="s">
        <v>597</v>
      </c>
      <c r="E1102" s="225" t="s">
        <v>995</v>
      </c>
    </row>
    <row r="1103" spans="2:5" ht="15.75" thickBot="1">
      <c r="B1103" s="225" t="s">
        <v>2254</v>
      </c>
      <c r="C1103" s="226">
        <v>531471</v>
      </c>
      <c r="D1103" s="225" t="s">
        <v>597</v>
      </c>
      <c r="E1103" s="225" t="s">
        <v>938</v>
      </c>
    </row>
    <row r="1104" spans="2:5" ht="15.75" thickBot="1">
      <c r="B1104" s="225" t="s">
        <v>2255</v>
      </c>
      <c r="C1104" s="226">
        <v>504908</v>
      </c>
      <c r="D1104" s="225" t="s">
        <v>597</v>
      </c>
      <c r="E1104" s="225" t="s">
        <v>952</v>
      </c>
    </row>
    <row r="1105" spans="2:5" ht="15.75" thickBot="1">
      <c r="B1105" s="225" t="s">
        <v>2256</v>
      </c>
      <c r="C1105" s="226">
        <v>526355</v>
      </c>
      <c r="D1105" s="225" t="s">
        <v>597</v>
      </c>
      <c r="E1105" s="225" t="s">
        <v>717</v>
      </c>
    </row>
    <row r="1106" spans="2:5" ht="15.75" thickBot="1">
      <c r="B1106" s="225" t="s">
        <v>2257</v>
      </c>
      <c r="C1106" s="226">
        <v>517437</v>
      </c>
      <c r="D1106" s="225" t="s">
        <v>597</v>
      </c>
      <c r="E1106" s="225" t="s">
        <v>717</v>
      </c>
    </row>
    <row r="1107" spans="2:5" ht="15.75" thickBot="1">
      <c r="B1107" s="225" t="s">
        <v>2258</v>
      </c>
      <c r="C1107" s="226">
        <v>532610</v>
      </c>
      <c r="D1107" s="225" t="s">
        <v>2259</v>
      </c>
      <c r="E1107" s="225" t="s">
        <v>1296</v>
      </c>
    </row>
    <row r="1108" spans="2:5" ht="15.75" thickBot="1">
      <c r="B1108" s="225" t="s">
        <v>2260</v>
      </c>
      <c r="C1108" s="226">
        <v>538608</v>
      </c>
      <c r="D1108" s="225" t="s">
        <v>2261</v>
      </c>
      <c r="E1108" s="225" t="s">
        <v>963</v>
      </c>
    </row>
    <row r="1109" spans="2:5" ht="15.75" thickBot="1">
      <c r="B1109" s="225" t="s">
        <v>2262</v>
      </c>
      <c r="C1109" s="226">
        <v>532365</v>
      </c>
      <c r="D1109" s="225" t="s">
        <v>2263</v>
      </c>
      <c r="E1109" s="225" t="s">
        <v>583</v>
      </c>
    </row>
    <row r="1110" spans="2:5" ht="15.75" thickBot="1">
      <c r="B1110" s="225" t="s">
        <v>2264</v>
      </c>
      <c r="C1110" s="226">
        <v>505242</v>
      </c>
      <c r="D1110" s="225" t="s">
        <v>2265</v>
      </c>
      <c r="E1110" s="225" t="s">
        <v>605</v>
      </c>
    </row>
    <row r="1111" spans="2:5" ht="15.75" thickBot="1">
      <c r="B1111" s="225" t="s">
        <v>2266</v>
      </c>
      <c r="C1111" s="226">
        <v>539681</v>
      </c>
      <c r="D1111" s="225" t="s">
        <v>597</v>
      </c>
      <c r="E1111" s="225" t="s">
        <v>614</v>
      </c>
    </row>
    <row r="1112" spans="2:5" ht="15.75" thickBot="1">
      <c r="B1112" s="225" t="s">
        <v>2267</v>
      </c>
      <c r="C1112" s="226">
        <v>540795</v>
      </c>
      <c r="D1112" s="225" t="s">
        <v>597</v>
      </c>
      <c r="E1112" s="225" t="s">
        <v>895</v>
      </c>
    </row>
    <row r="1113" spans="2:5" ht="15.75" thickBot="1">
      <c r="B1113" s="225" t="s">
        <v>2268</v>
      </c>
      <c r="C1113" s="226">
        <v>524818</v>
      </c>
      <c r="D1113" s="225" t="s">
        <v>597</v>
      </c>
      <c r="E1113" s="225" t="s">
        <v>757</v>
      </c>
    </row>
    <row r="1114" spans="2:5" ht="15.75" thickBot="1">
      <c r="B1114" s="225" t="s">
        <v>2269</v>
      </c>
      <c r="C1114" s="226">
        <v>530779</v>
      </c>
      <c r="D1114" s="225" t="s">
        <v>597</v>
      </c>
      <c r="E1114" s="225" t="s">
        <v>614</v>
      </c>
    </row>
    <row r="1115" spans="2:5" ht="15.75" thickBot="1">
      <c r="B1115" s="225" t="s">
        <v>2270</v>
      </c>
      <c r="C1115" s="226">
        <v>517238</v>
      </c>
      <c r="D1115" s="225" t="s">
        <v>597</v>
      </c>
      <c r="E1115" s="225" t="s">
        <v>1139</v>
      </c>
    </row>
    <row r="1116" spans="2:5" ht="15.75" thickBot="1">
      <c r="B1116" s="225" t="s">
        <v>2271</v>
      </c>
      <c r="C1116" s="226">
        <v>532707</v>
      </c>
      <c r="D1116" s="225" t="s">
        <v>2272</v>
      </c>
      <c r="E1116" s="225" t="s">
        <v>757</v>
      </c>
    </row>
    <row r="1117" spans="2:5" ht="15.75" thickBot="1">
      <c r="B1117" s="225" t="s">
        <v>2273</v>
      </c>
      <c r="C1117" s="226">
        <v>531533</v>
      </c>
      <c r="D1117" s="225" t="s">
        <v>597</v>
      </c>
      <c r="E1117" s="225" t="s">
        <v>583</v>
      </c>
    </row>
    <row r="1118" spans="2:5" ht="15.75" thickBot="1">
      <c r="B1118" s="225" t="s">
        <v>2274</v>
      </c>
      <c r="C1118" s="225" t="s">
        <v>597</v>
      </c>
      <c r="D1118" s="225" t="s">
        <v>2275</v>
      </c>
      <c r="E1118" s="225" t="s">
        <v>608</v>
      </c>
    </row>
    <row r="1119" spans="2:5" ht="15.75" thickBot="1">
      <c r="B1119" s="225" t="s">
        <v>2276</v>
      </c>
      <c r="C1119" s="226">
        <v>507917</v>
      </c>
      <c r="D1119" s="225" t="s">
        <v>597</v>
      </c>
      <c r="E1119" s="225" t="s">
        <v>683</v>
      </c>
    </row>
    <row r="1120" spans="2:5" ht="15.75" thickBot="1">
      <c r="B1120" s="225" t="s">
        <v>2277</v>
      </c>
      <c r="C1120" s="226">
        <v>520081</v>
      </c>
      <c r="D1120" s="225" t="s">
        <v>597</v>
      </c>
      <c r="E1120" s="225" t="s">
        <v>629</v>
      </c>
    </row>
    <row r="1121" spans="2:5" ht="15.75" thickBot="1">
      <c r="B1121" s="225" t="s">
        <v>2278</v>
      </c>
      <c r="C1121" s="226">
        <v>541053</v>
      </c>
      <c r="D1121" s="225" t="s">
        <v>597</v>
      </c>
      <c r="E1121" s="225" t="s">
        <v>580</v>
      </c>
    </row>
    <row r="1122" spans="2:5" ht="15.75" thickBot="1">
      <c r="B1122" s="225" t="s">
        <v>2279</v>
      </c>
      <c r="C1122" s="226">
        <v>590022</v>
      </c>
      <c r="D1122" s="225" t="s">
        <v>2280</v>
      </c>
      <c r="E1122" s="225" t="s">
        <v>612</v>
      </c>
    </row>
    <row r="1123" spans="2:5" ht="15.75" thickBot="1">
      <c r="B1123" s="225" t="s">
        <v>2281</v>
      </c>
      <c r="C1123" s="226">
        <v>531346</v>
      </c>
      <c r="D1123" s="225" t="s">
        <v>597</v>
      </c>
      <c r="E1123" s="225" t="s">
        <v>1077</v>
      </c>
    </row>
    <row r="1124" spans="2:5" ht="15.75" thickBot="1">
      <c r="B1124" s="225" t="s">
        <v>2282</v>
      </c>
      <c r="C1124" s="226">
        <v>532751</v>
      </c>
      <c r="D1124" s="225" t="s">
        <v>2283</v>
      </c>
      <c r="E1124" s="225" t="s">
        <v>895</v>
      </c>
    </row>
    <row r="1125" spans="2:5" ht="15.75" thickBot="1">
      <c r="B1125" s="225" t="s">
        <v>2284</v>
      </c>
      <c r="C1125" s="225" t="s">
        <v>597</v>
      </c>
      <c r="D1125" s="225" t="s">
        <v>2285</v>
      </c>
      <c r="E1125" s="225" t="s">
        <v>688</v>
      </c>
    </row>
    <row r="1126" spans="2:5" ht="15.75" thickBot="1">
      <c r="B1126" s="225" t="s">
        <v>2286</v>
      </c>
      <c r="C1126" s="226">
        <v>532927</v>
      </c>
      <c r="D1126" s="225" t="s">
        <v>2287</v>
      </c>
      <c r="E1126" s="225" t="s">
        <v>927</v>
      </c>
    </row>
    <row r="1127" spans="2:5" ht="15.75" thickBot="1">
      <c r="B1127" s="225" t="s">
        <v>2288</v>
      </c>
      <c r="C1127" s="226">
        <v>534839</v>
      </c>
      <c r="D1127" s="225" t="s">
        <v>597</v>
      </c>
      <c r="E1127" s="225" t="s">
        <v>795</v>
      </c>
    </row>
    <row r="1128" spans="2:5" ht="15.75" thickBot="1">
      <c r="B1128" s="225" t="s">
        <v>2289</v>
      </c>
      <c r="C1128" s="226">
        <v>530643</v>
      </c>
      <c r="D1128" s="225" t="s">
        <v>597</v>
      </c>
      <c r="E1128" s="225" t="s">
        <v>1139</v>
      </c>
    </row>
    <row r="1129" spans="2:5" ht="15.75" thickBot="1">
      <c r="B1129" s="225" t="s">
        <v>2290</v>
      </c>
      <c r="C1129" s="226">
        <v>523732</v>
      </c>
      <c r="D1129" s="225" t="s">
        <v>597</v>
      </c>
      <c r="E1129" s="225" t="s">
        <v>1092</v>
      </c>
    </row>
    <row r="1130" spans="2:5" ht="15.75" thickBot="1">
      <c r="B1130" s="225" t="s">
        <v>2291</v>
      </c>
      <c r="C1130" s="226">
        <v>538708</v>
      </c>
      <c r="D1130" s="225" t="s">
        <v>597</v>
      </c>
      <c r="E1130" s="225" t="s">
        <v>614</v>
      </c>
    </row>
    <row r="1131" spans="2:5" ht="15.75" thickBot="1">
      <c r="B1131" s="225" t="s">
        <v>2292</v>
      </c>
      <c r="C1131" s="226">
        <v>538708</v>
      </c>
      <c r="D1131" s="225" t="s">
        <v>597</v>
      </c>
      <c r="E1131" s="225" t="s">
        <v>614</v>
      </c>
    </row>
    <row r="1132" spans="2:5" ht="15.75" thickBot="1">
      <c r="B1132" s="225" t="s">
        <v>2293</v>
      </c>
      <c r="C1132" s="226">
        <v>526703</v>
      </c>
      <c r="D1132" s="225" t="s">
        <v>597</v>
      </c>
      <c r="E1132" s="225" t="s">
        <v>717</v>
      </c>
    </row>
    <row r="1133" spans="2:5" ht="15.75" thickBot="1">
      <c r="B1133" s="225" t="s">
        <v>2294</v>
      </c>
      <c r="C1133" s="226">
        <v>540063</v>
      </c>
      <c r="D1133" s="225" t="s">
        <v>597</v>
      </c>
      <c r="E1133" s="225" t="s">
        <v>583</v>
      </c>
    </row>
    <row r="1134" spans="2:5" ht="15.75" thickBot="1">
      <c r="B1134" s="225" t="s">
        <v>2295</v>
      </c>
      <c r="C1134" s="226">
        <v>532922</v>
      </c>
      <c r="D1134" s="225" t="s">
        <v>2296</v>
      </c>
      <c r="E1134" s="225" t="s">
        <v>580</v>
      </c>
    </row>
    <row r="1135" spans="2:5" ht="15.75" thickBot="1">
      <c r="B1135" s="225" t="s">
        <v>2297</v>
      </c>
      <c r="C1135" s="226">
        <v>532696</v>
      </c>
      <c r="D1135" s="225" t="s">
        <v>2298</v>
      </c>
      <c r="E1135" s="225" t="s">
        <v>702</v>
      </c>
    </row>
    <row r="1136" spans="2:5" ht="15.75" thickBot="1">
      <c r="B1136" s="225" t="s">
        <v>2299</v>
      </c>
      <c r="C1136" s="226">
        <v>526483</v>
      </c>
      <c r="D1136" s="225" t="s">
        <v>597</v>
      </c>
      <c r="E1136" s="225" t="s">
        <v>1835</v>
      </c>
    </row>
    <row r="1137" spans="2:5" ht="15.75" thickBot="1">
      <c r="B1137" s="225" t="s">
        <v>2300</v>
      </c>
      <c r="C1137" s="226">
        <v>535694</v>
      </c>
      <c r="D1137" s="225" t="s">
        <v>597</v>
      </c>
      <c r="E1137" s="225" t="s">
        <v>619</v>
      </c>
    </row>
    <row r="1138" spans="2:5" ht="15.75" thickBot="1">
      <c r="B1138" s="225" t="s">
        <v>2301</v>
      </c>
      <c r="C1138" s="226">
        <v>505200</v>
      </c>
      <c r="D1138" s="225" t="s">
        <v>2302</v>
      </c>
      <c r="E1138" s="225" t="s">
        <v>1255</v>
      </c>
    </row>
    <row r="1139" spans="2:5" ht="15.75" thickBot="1">
      <c r="B1139" s="225" t="s">
        <v>2303</v>
      </c>
      <c r="C1139" s="226">
        <v>500125</v>
      </c>
      <c r="D1139" s="225" t="s">
        <v>2304</v>
      </c>
      <c r="E1139" s="225" t="s">
        <v>1296</v>
      </c>
    </row>
    <row r="1140" spans="2:5" ht="15.75" thickBot="1">
      <c r="B1140" s="225" t="s">
        <v>2305</v>
      </c>
      <c r="C1140" s="226">
        <v>500125</v>
      </c>
      <c r="D1140" s="225" t="s">
        <v>2304</v>
      </c>
      <c r="E1140" s="225" t="s">
        <v>1296</v>
      </c>
    </row>
    <row r="1141" spans="2:5" ht="15.75" thickBot="1">
      <c r="B1141" s="225" t="s">
        <v>2306</v>
      </c>
      <c r="C1141" s="226">
        <v>523127</v>
      </c>
      <c r="D1141" s="225" t="s">
        <v>2307</v>
      </c>
      <c r="E1141" s="225" t="s">
        <v>798</v>
      </c>
    </row>
    <row r="1142" spans="2:5" ht="15.75" thickBot="1">
      <c r="B1142" s="225" t="s">
        <v>2308</v>
      </c>
      <c r="C1142" s="226">
        <v>500840</v>
      </c>
      <c r="D1142" s="225" t="s">
        <v>2309</v>
      </c>
      <c r="E1142" s="225" t="s">
        <v>798</v>
      </c>
    </row>
    <row r="1143" spans="2:5" ht="15.75" thickBot="1">
      <c r="B1143" s="225" t="s">
        <v>2310</v>
      </c>
      <c r="C1143" s="226">
        <v>523708</v>
      </c>
      <c r="D1143" s="225" t="s">
        <v>2311</v>
      </c>
      <c r="E1143" s="225" t="s">
        <v>605</v>
      </c>
    </row>
    <row r="1144" spans="2:5" ht="15.75" thickBot="1">
      <c r="B1144" s="225" t="s">
        <v>2312</v>
      </c>
      <c r="C1144" s="226">
        <v>523708</v>
      </c>
      <c r="D1144" s="225" t="s">
        <v>2311</v>
      </c>
      <c r="E1144" s="225" t="s">
        <v>605</v>
      </c>
    </row>
    <row r="1145" spans="2:5" ht="15.75" thickBot="1">
      <c r="B1145" s="225" t="s">
        <v>2313</v>
      </c>
      <c r="C1145" s="226">
        <v>538653</v>
      </c>
      <c r="D1145" s="225" t="s">
        <v>2314</v>
      </c>
      <c r="E1145" s="225" t="s">
        <v>963</v>
      </c>
    </row>
    <row r="1146" spans="2:5" ht="15.75" thickBot="1">
      <c r="B1146" s="225" t="s">
        <v>2315</v>
      </c>
      <c r="C1146" s="226">
        <v>530581</v>
      </c>
      <c r="D1146" s="225" t="s">
        <v>597</v>
      </c>
      <c r="E1146" s="225" t="s">
        <v>1018</v>
      </c>
    </row>
    <row r="1147" spans="2:5" ht="15.75" thickBot="1">
      <c r="B1147" s="225" t="s">
        <v>2316</v>
      </c>
      <c r="C1147" s="226">
        <v>532820</v>
      </c>
      <c r="D1147" s="225" t="s">
        <v>2317</v>
      </c>
      <c r="E1147" s="225" t="s">
        <v>612</v>
      </c>
    </row>
    <row r="1148" spans="2:5" ht="15.75" thickBot="1">
      <c r="B1148" s="225" t="s">
        <v>2318</v>
      </c>
      <c r="C1148" s="226">
        <v>513452</v>
      </c>
      <c r="D1148" s="225" t="s">
        <v>597</v>
      </c>
      <c r="E1148" s="225" t="s">
        <v>629</v>
      </c>
    </row>
    <row r="1149" spans="2:5" ht="15.75" thickBot="1">
      <c r="B1149" s="225" t="s">
        <v>2319</v>
      </c>
      <c r="C1149" s="226">
        <v>500123</v>
      </c>
      <c r="D1149" s="225" t="s">
        <v>597</v>
      </c>
      <c r="E1149" s="225" t="s">
        <v>645</v>
      </c>
    </row>
    <row r="1150" spans="2:5" ht="15.75" thickBot="1">
      <c r="B1150" s="225" t="s">
        <v>2320</v>
      </c>
      <c r="C1150" s="226">
        <v>500123</v>
      </c>
      <c r="D1150" s="225" t="s">
        <v>597</v>
      </c>
      <c r="E1150" s="225" t="s">
        <v>645</v>
      </c>
    </row>
    <row r="1151" spans="2:5" ht="15.75" thickBot="1">
      <c r="B1151" s="225" t="s">
        <v>2321</v>
      </c>
      <c r="C1151" s="226">
        <v>503681</v>
      </c>
      <c r="D1151" s="225" t="s">
        <v>597</v>
      </c>
      <c r="E1151" s="225" t="s">
        <v>1018</v>
      </c>
    </row>
    <row r="1152" spans="2:5" ht="15.75" thickBot="1">
      <c r="B1152" s="225" t="s">
        <v>2322</v>
      </c>
      <c r="C1152" s="226">
        <v>523329</v>
      </c>
      <c r="D1152" s="225" t="s">
        <v>597</v>
      </c>
      <c r="E1152" s="225" t="s">
        <v>683</v>
      </c>
    </row>
    <row r="1153" spans="2:5" ht="15.75" thickBot="1">
      <c r="B1153" s="225" t="s">
        <v>2323</v>
      </c>
      <c r="C1153" s="226">
        <v>505700</v>
      </c>
      <c r="D1153" s="225" t="s">
        <v>2324</v>
      </c>
      <c r="E1153" s="225" t="s">
        <v>605</v>
      </c>
    </row>
    <row r="1154" spans="2:5" ht="15.75" thickBot="1">
      <c r="B1154" s="225" t="s">
        <v>2325</v>
      </c>
      <c r="C1154" s="226">
        <v>500128</v>
      </c>
      <c r="D1154" s="225" t="s">
        <v>2326</v>
      </c>
      <c r="E1154" s="225" t="s">
        <v>995</v>
      </c>
    </row>
    <row r="1155" spans="2:5" ht="15.75" thickBot="1">
      <c r="B1155" s="225" t="s">
        <v>2327</v>
      </c>
      <c r="C1155" s="226">
        <v>533264</v>
      </c>
      <c r="D1155" s="225" t="s">
        <v>2328</v>
      </c>
      <c r="E1155" s="225" t="s">
        <v>995</v>
      </c>
    </row>
    <row r="1156" spans="2:5" ht="15.75" thickBot="1">
      <c r="B1156" s="225" t="s">
        <v>2329</v>
      </c>
      <c r="C1156" s="226">
        <v>526608</v>
      </c>
      <c r="D1156" s="225" t="s">
        <v>2330</v>
      </c>
      <c r="E1156" s="225" t="s">
        <v>920</v>
      </c>
    </row>
    <row r="1157" spans="2:5" ht="15.75" thickBot="1">
      <c r="B1157" s="225" t="s">
        <v>2331</v>
      </c>
      <c r="C1157" s="226">
        <v>526608</v>
      </c>
      <c r="D1157" s="225" t="s">
        <v>2330</v>
      </c>
      <c r="E1157" s="225" t="s">
        <v>920</v>
      </c>
    </row>
    <row r="1158" spans="2:5" ht="15.75" thickBot="1">
      <c r="B1158" s="225" t="s">
        <v>2332</v>
      </c>
      <c r="C1158" s="226">
        <v>526473</v>
      </c>
      <c r="D1158" s="225" t="s">
        <v>597</v>
      </c>
      <c r="E1158" s="225" t="s">
        <v>795</v>
      </c>
    </row>
    <row r="1159" spans="2:5" ht="15.75" thickBot="1">
      <c r="B1159" s="225" t="s">
        <v>2333</v>
      </c>
      <c r="C1159" s="226">
        <v>526473</v>
      </c>
      <c r="D1159" s="225" t="s">
        <v>597</v>
      </c>
      <c r="E1159" s="225" t="s">
        <v>795</v>
      </c>
    </row>
    <row r="1160" spans="2:5" ht="15.75" thickBot="1">
      <c r="B1160" s="225" t="s">
        <v>2334</v>
      </c>
      <c r="C1160" s="226">
        <v>526705</v>
      </c>
      <c r="D1160" s="225" t="s">
        <v>597</v>
      </c>
      <c r="E1160" s="225" t="s">
        <v>619</v>
      </c>
    </row>
    <row r="1161" spans="2:5" ht="15.75" thickBot="1">
      <c r="B1161" s="225" t="s">
        <v>2335</v>
      </c>
      <c r="C1161" s="226">
        <v>522074</v>
      </c>
      <c r="D1161" s="225" t="s">
        <v>2336</v>
      </c>
      <c r="E1161" s="225" t="s">
        <v>605</v>
      </c>
    </row>
    <row r="1162" spans="2:5" ht="15.75" thickBot="1">
      <c r="B1162" s="225" t="s">
        <v>2337</v>
      </c>
      <c r="C1162" s="225" t="s">
        <v>597</v>
      </c>
      <c r="D1162" s="225" t="s">
        <v>2338</v>
      </c>
      <c r="E1162" s="225" t="s">
        <v>688</v>
      </c>
    </row>
    <row r="1163" spans="2:5" ht="15.75" thickBot="1">
      <c r="B1163" s="225" t="s">
        <v>2339</v>
      </c>
      <c r="C1163" s="226">
        <v>531278</v>
      </c>
      <c r="D1163" s="225" t="s">
        <v>597</v>
      </c>
      <c r="E1163" s="225" t="s">
        <v>580</v>
      </c>
    </row>
    <row r="1164" spans="2:5" ht="15.75" thickBot="1">
      <c r="B1164" s="225" t="s">
        <v>2340</v>
      </c>
      <c r="C1164" s="226">
        <v>517477</v>
      </c>
      <c r="D1164" s="225" t="s">
        <v>597</v>
      </c>
      <c r="E1164" s="225" t="s">
        <v>690</v>
      </c>
    </row>
    <row r="1165" spans="2:5" ht="15.75" thickBot="1">
      <c r="B1165" s="225" t="s">
        <v>2341</v>
      </c>
      <c r="C1165" s="226">
        <v>504000</v>
      </c>
      <c r="D1165" s="225" t="s">
        <v>597</v>
      </c>
      <c r="E1165" s="225" t="s">
        <v>895</v>
      </c>
    </row>
    <row r="1166" spans="2:5" ht="15.75" thickBot="1">
      <c r="B1166" s="225" t="s">
        <v>2342</v>
      </c>
      <c r="C1166" s="226">
        <v>522027</v>
      </c>
      <c r="D1166" s="225" t="s">
        <v>597</v>
      </c>
      <c r="E1166" s="225" t="s">
        <v>605</v>
      </c>
    </row>
    <row r="1167" spans="2:5" ht="15.75" thickBot="1">
      <c r="B1167" s="225" t="s">
        <v>2343</v>
      </c>
      <c r="C1167" s="226">
        <v>522027</v>
      </c>
      <c r="D1167" s="225" t="s">
        <v>597</v>
      </c>
      <c r="E1167" s="225" t="s">
        <v>605</v>
      </c>
    </row>
    <row r="1168" spans="2:5" ht="15.75" thickBot="1">
      <c r="B1168" s="225" t="s">
        <v>2344</v>
      </c>
      <c r="C1168" s="226">
        <v>531162</v>
      </c>
      <c r="D1168" s="225" t="s">
        <v>2345</v>
      </c>
      <c r="E1168" s="225" t="s">
        <v>779</v>
      </c>
    </row>
    <row r="1169" spans="2:5" ht="15.75" thickBot="1">
      <c r="B1169" s="225" t="s">
        <v>2346</v>
      </c>
      <c r="C1169" s="225" t="s">
        <v>597</v>
      </c>
      <c r="D1169" s="225" t="s">
        <v>2347</v>
      </c>
      <c r="E1169" s="225" t="s">
        <v>779</v>
      </c>
    </row>
    <row r="1170" spans="2:5" ht="15.75" thickBot="1">
      <c r="B1170" s="225" t="s">
        <v>2348</v>
      </c>
      <c r="C1170" s="226">
        <v>533208</v>
      </c>
      <c r="D1170" s="225" t="s">
        <v>597</v>
      </c>
      <c r="E1170" s="225" t="s">
        <v>591</v>
      </c>
    </row>
    <row r="1171" spans="2:5" ht="15.75" thickBot="1">
      <c r="B1171" s="225" t="s">
        <v>2349</v>
      </c>
      <c r="C1171" s="226">
        <v>533218</v>
      </c>
      <c r="D1171" s="225" t="s">
        <v>2350</v>
      </c>
      <c r="E1171" s="225" t="s">
        <v>683</v>
      </c>
    </row>
    <row r="1172" spans="2:5" ht="15.75" thickBot="1">
      <c r="B1172" s="225" t="s">
        <v>2351</v>
      </c>
      <c r="C1172" s="226">
        <v>542602</v>
      </c>
      <c r="D1172" s="225" t="s">
        <v>2352</v>
      </c>
      <c r="E1172" s="225" t="s">
        <v>617</v>
      </c>
    </row>
    <row r="1173" spans="2:5" ht="15.75" thickBot="1">
      <c r="B1173" s="225" t="s">
        <v>2353</v>
      </c>
      <c r="C1173" s="226">
        <v>504008</v>
      </c>
      <c r="D1173" s="225" t="s">
        <v>2354</v>
      </c>
      <c r="E1173" s="225" t="s">
        <v>640</v>
      </c>
    </row>
    <row r="1174" spans="2:5" ht="15.75" thickBot="1">
      <c r="B1174" s="225" t="s">
        <v>2355</v>
      </c>
      <c r="C1174" s="226">
        <v>538882</v>
      </c>
      <c r="D1174" s="225" t="s">
        <v>597</v>
      </c>
      <c r="E1174" s="225" t="s">
        <v>580</v>
      </c>
    </row>
    <row r="1175" spans="2:5" ht="15.75" thickBot="1">
      <c r="B1175" s="225" t="s">
        <v>2356</v>
      </c>
      <c r="C1175" s="226">
        <v>507265</v>
      </c>
      <c r="D1175" s="225" t="s">
        <v>597</v>
      </c>
      <c r="E1175" s="225" t="s">
        <v>775</v>
      </c>
    </row>
    <row r="1176" spans="2:5" ht="15.75" thickBot="1">
      <c r="B1176" s="225" t="s">
        <v>2357</v>
      </c>
      <c r="C1176" s="226">
        <v>530333</v>
      </c>
      <c r="D1176" s="225" t="s">
        <v>597</v>
      </c>
      <c r="E1176" s="225" t="s">
        <v>895</v>
      </c>
    </row>
    <row r="1177" spans="2:5" ht="15.75" thickBot="1">
      <c r="B1177" s="225" t="s">
        <v>2358</v>
      </c>
      <c r="C1177" s="226">
        <v>532737</v>
      </c>
      <c r="D1177" s="225" t="s">
        <v>2359</v>
      </c>
      <c r="E1177" s="225" t="s">
        <v>580</v>
      </c>
    </row>
    <row r="1178" spans="2:5" ht="15.75" thickBot="1">
      <c r="B1178" s="225" t="s">
        <v>2360</v>
      </c>
      <c r="C1178" s="225" t="s">
        <v>597</v>
      </c>
      <c r="D1178" s="225" t="s">
        <v>2361</v>
      </c>
      <c r="E1178" s="225" t="s">
        <v>608</v>
      </c>
    </row>
    <row r="1179" spans="2:5" ht="15.75" thickBot="1">
      <c r="B1179" s="225" t="s">
        <v>2362</v>
      </c>
      <c r="C1179" s="226">
        <v>533161</v>
      </c>
      <c r="D1179" s="225" t="s">
        <v>2363</v>
      </c>
      <c r="E1179" s="225" t="s">
        <v>792</v>
      </c>
    </row>
    <row r="1180" spans="2:5" ht="15.75" thickBot="1">
      <c r="B1180" s="225" t="s">
        <v>2364</v>
      </c>
      <c r="C1180" s="226">
        <v>524768</v>
      </c>
      <c r="D1180" s="225" t="s">
        <v>597</v>
      </c>
      <c r="E1180" s="225" t="s">
        <v>645</v>
      </c>
    </row>
    <row r="1181" spans="2:5" ht="15.75" thickBot="1">
      <c r="B1181" s="225" t="s">
        <v>2365</v>
      </c>
      <c r="C1181" s="226">
        <v>532038</v>
      </c>
      <c r="D1181" s="225" t="s">
        <v>597</v>
      </c>
      <c r="E1181" s="225" t="s">
        <v>619</v>
      </c>
    </row>
    <row r="1182" spans="2:5" ht="15.75" thickBot="1">
      <c r="B1182" s="225" t="s">
        <v>2366</v>
      </c>
      <c r="C1182" s="226">
        <v>532920</v>
      </c>
      <c r="D1182" s="225" t="s">
        <v>2367</v>
      </c>
      <c r="E1182" s="225" t="s">
        <v>1229</v>
      </c>
    </row>
    <row r="1183" spans="2:5" ht="15.75" thickBot="1">
      <c r="B1183" s="225" t="s">
        <v>2368</v>
      </c>
      <c r="C1183" s="226">
        <v>500132</v>
      </c>
      <c r="D1183" s="225" t="s">
        <v>597</v>
      </c>
      <c r="E1183" s="225" t="s">
        <v>1296</v>
      </c>
    </row>
    <row r="1184" spans="2:5" ht="15.75" thickBot="1">
      <c r="B1184" s="225" t="s">
        <v>2369</v>
      </c>
      <c r="C1184" s="226">
        <v>509525</v>
      </c>
      <c r="D1184" s="225" t="s">
        <v>597</v>
      </c>
      <c r="E1184" s="225" t="s">
        <v>586</v>
      </c>
    </row>
    <row r="1185" spans="2:5" ht="15.75" thickBot="1">
      <c r="B1185" s="225" t="s">
        <v>2370</v>
      </c>
      <c r="C1185" s="226">
        <v>504351</v>
      </c>
      <c r="D1185" s="225" t="s">
        <v>597</v>
      </c>
      <c r="E1185" s="225" t="s">
        <v>583</v>
      </c>
    </row>
    <row r="1186" spans="2:5" ht="15.75" thickBot="1">
      <c r="B1186" s="225" t="s">
        <v>2371</v>
      </c>
      <c r="C1186" s="226">
        <v>504351</v>
      </c>
      <c r="D1186" s="225" t="s">
        <v>597</v>
      </c>
      <c r="E1186" s="225" t="s">
        <v>583</v>
      </c>
    </row>
    <row r="1187" spans="2:5" ht="15.75" thickBot="1">
      <c r="B1187" s="225" t="s">
        <v>2372</v>
      </c>
      <c r="C1187" s="226">
        <v>512441</v>
      </c>
      <c r="D1187" s="225" t="s">
        <v>597</v>
      </c>
      <c r="E1187" s="225" t="s">
        <v>1018</v>
      </c>
    </row>
    <row r="1188" spans="2:5" ht="15.75" thickBot="1">
      <c r="B1188" s="225" t="s">
        <v>2373</v>
      </c>
      <c r="C1188" s="226">
        <v>538684</v>
      </c>
      <c r="D1188" s="225" t="s">
        <v>597</v>
      </c>
      <c r="E1188" s="225" t="s">
        <v>600</v>
      </c>
    </row>
    <row r="1189" spans="2:5" ht="15.75" thickBot="1">
      <c r="B1189" s="225" t="s">
        <v>2374</v>
      </c>
      <c r="C1189" s="226">
        <v>540153</v>
      </c>
      <c r="D1189" s="225" t="s">
        <v>2375</v>
      </c>
      <c r="E1189" s="225" t="s">
        <v>1255</v>
      </c>
    </row>
    <row r="1190" spans="2:5" ht="15.75" thickBot="1">
      <c r="B1190" s="225" t="s">
        <v>2376</v>
      </c>
      <c r="C1190" s="226">
        <v>532219</v>
      </c>
      <c r="D1190" s="225" t="s">
        <v>2377</v>
      </c>
      <c r="E1190" s="225" t="s">
        <v>736</v>
      </c>
    </row>
    <row r="1191" spans="2:5" ht="15.75" thickBot="1">
      <c r="B1191" s="225" t="s">
        <v>2378</v>
      </c>
      <c r="C1191" s="226">
        <v>532178</v>
      </c>
      <c r="D1191" s="225" t="s">
        <v>2379</v>
      </c>
      <c r="E1191" s="225" t="s">
        <v>681</v>
      </c>
    </row>
    <row r="1192" spans="2:5" ht="15.75" thickBot="1">
      <c r="B1192" s="225" t="s">
        <v>2380</v>
      </c>
      <c r="C1192" s="226">
        <v>532178</v>
      </c>
      <c r="D1192" s="225" t="s">
        <v>2379</v>
      </c>
      <c r="E1192" s="225" t="s">
        <v>681</v>
      </c>
    </row>
    <row r="1193" spans="2:5" ht="15.75" thickBot="1">
      <c r="B1193" s="225" t="s">
        <v>2381</v>
      </c>
      <c r="C1193" s="226">
        <v>533477</v>
      </c>
      <c r="D1193" s="225" t="s">
        <v>597</v>
      </c>
      <c r="E1193" s="225" t="s">
        <v>952</v>
      </c>
    </row>
    <row r="1194" spans="2:5" ht="15.75" thickBot="1">
      <c r="B1194" s="225" t="s">
        <v>2382</v>
      </c>
      <c r="C1194" s="226">
        <v>533477</v>
      </c>
      <c r="D1194" s="225" t="s">
        <v>597</v>
      </c>
      <c r="E1194" s="225" t="s">
        <v>952</v>
      </c>
    </row>
    <row r="1195" spans="2:5" ht="15.75" thickBot="1">
      <c r="B1195" s="225" t="s">
        <v>2383</v>
      </c>
      <c r="C1195" s="226">
        <v>526574</v>
      </c>
      <c r="D1195" s="225" t="s">
        <v>597</v>
      </c>
      <c r="E1195" s="225" t="s">
        <v>619</v>
      </c>
    </row>
    <row r="1196" spans="2:5" ht="15.75" thickBot="1">
      <c r="B1196" s="225" t="s">
        <v>2384</v>
      </c>
      <c r="C1196" s="226">
        <v>532700</v>
      </c>
      <c r="D1196" s="225" t="s">
        <v>2385</v>
      </c>
      <c r="E1196" s="225" t="s">
        <v>1336</v>
      </c>
    </row>
    <row r="1197" spans="2:5" ht="15.75" thickBot="1">
      <c r="B1197" s="225" t="s">
        <v>2386</v>
      </c>
      <c r="C1197" s="226">
        <v>532700</v>
      </c>
      <c r="D1197" s="225" t="s">
        <v>2385</v>
      </c>
      <c r="E1197" s="225" t="s">
        <v>1336</v>
      </c>
    </row>
    <row r="1198" spans="2:5" ht="15.75" thickBot="1">
      <c r="B1198" s="225" t="s">
        <v>2387</v>
      </c>
      <c r="C1198" s="226">
        <v>500246</v>
      </c>
      <c r="D1198" s="225" t="s">
        <v>597</v>
      </c>
      <c r="E1198" s="225" t="s">
        <v>605</v>
      </c>
    </row>
    <row r="1199" spans="2:5" ht="15.75" thickBot="1">
      <c r="B1199" s="225" t="s">
        <v>2388</v>
      </c>
      <c r="C1199" s="226">
        <v>532658</v>
      </c>
      <c r="D1199" s="225" t="s">
        <v>2389</v>
      </c>
      <c r="E1199" s="225" t="s">
        <v>895</v>
      </c>
    </row>
    <row r="1200" spans="2:5" ht="15.75" thickBot="1">
      <c r="B1200" s="225" t="s">
        <v>2390</v>
      </c>
      <c r="C1200" s="226">
        <v>523754</v>
      </c>
      <c r="D1200" s="225" t="s">
        <v>597</v>
      </c>
      <c r="E1200" s="225" t="s">
        <v>717</v>
      </c>
    </row>
    <row r="1201" spans="2:5" ht="15.75" thickBot="1">
      <c r="B1201" s="225" t="s">
        <v>2391</v>
      </c>
      <c r="C1201" s="226">
        <v>530407</v>
      </c>
      <c r="D1201" s="225" t="s">
        <v>597</v>
      </c>
      <c r="E1201" s="225" t="s">
        <v>614</v>
      </c>
    </row>
    <row r="1202" spans="2:5" ht="15.75" thickBot="1">
      <c r="B1202" s="225" t="s">
        <v>2392</v>
      </c>
      <c r="C1202" s="226">
        <v>531155</v>
      </c>
      <c r="D1202" s="225" t="s">
        <v>597</v>
      </c>
      <c r="E1202" s="225" t="s">
        <v>635</v>
      </c>
    </row>
    <row r="1203" spans="2:5" ht="15.75" thickBot="1">
      <c r="B1203" s="225" t="s">
        <v>2393</v>
      </c>
      <c r="C1203" s="226">
        <v>539844</v>
      </c>
      <c r="D1203" s="225" t="s">
        <v>2394</v>
      </c>
      <c r="E1203" s="225" t="s">
        <v>763</v>
      </c>
    </row>
    <row r="1204" spans="2:5" ht="15.75" thickBot="1">
      <c r="B1204" s="225" t="s">
        <v>2395</v>
      </c>
      <c r="C1204" s="226">
        <v>540596</v>
      </c>
      <c r="D1204" s="225" t="s">
        <v>2396</v>
      </c>
      <c r="E1204" s="225" t="s">
        <v>635</v>
      </c>
    </row>
    <row r="1205" spans="2:5" ht="15.75" thickBot="1">
      <c r="B1205" s="225" t="s">
        <v>2397</v>
      </c>
      <c r="C1205" s="226">
        <v>533261</v>
      </c>
      <c r="D1205" s="225" t="s">
        <v>2398</v>
      </c>
      <c r="E1205" s="225" t="s">
        <v>600</v>
      </c>
    </row>
    <row r="1206" spans="2:5" ht="15.75" thickBot="1">
      <c r="B1206" s="225" t="s">
        <v>2399</v>
      </c>
      <c r="C1206" s="226">
        <v>530909</v>
      </c>
      <c r="D1206" s="225" t="s">
        <v>597</v>
      </c>
      <c r="E1206" s="225" t="s">
        <v>1018</v>
      </c>
    </row>
    <row r="1207" spans="2:5" ht="15.75" thickBot="1">
      <c r="B1207" s="225" t="s">
        <v>2400</v>
      </c>
      <c r="C1207" s="226">
        <v>531502</v>
      </c>
      <c r="D1207" s="225" t="s">
        <v>597</v>
      </c>
      <c r="E1207" s="225" t="s">
        <v>1018</v>
      </c>
    </row>
    <row r="1208" spans="2:5" ht="15.75" thickBot="1">
      <c r="B1208" s="225" t="s">
        <v>2401</v>
      </c>
      <c r="C1208" s="226">
        <v>531502</v>
      </c>
      <c r="D1208" s="225" t="s">
        <v>597</v>
      </c>
      <c r="E1208" s="225" t="s">
        <v>1018</v>
      </c>
    </row>
    <row r="1209" spans="2:5" ht="15.75" thickBot="1">
      <c r="B1209" s="225" t="s">
        <v>2402</v>
      </c>
      <c r="C1209" s="226">
        <v>500133</v>
      </c>
      <c r="D1209" s="225" t="s">
        <v>2403</v>
      </c>
      <c r="E1209" s="225" t="s">
        <v>782</v>
      </c>
    </row>
    <row r="1210" spans="2:5" ht="15.75" thickBot="1">
      <c r="B1210" s="225" t="s">
        <v>2404</v>
      </c>
      <c r="C1210" s="226">
        <v>500133</v>
      </c>
      <c r="D1210" s="225" t="s">
        <v>2405</v>
      </c>
      <c r="E1210" s="225" t="s">
        <v>782</v>
      </c>
    </row>
    <row r="1211" spans="2:5" ht="15.75" thickBot="1">
      <c r="B1211" s="225" t="s">
        <v>2406</v>
      </c>
      <c r="C1211" s="226">
        <v>540455</v>
      </c>
      <c r="D1211" s="225" t="s">
        <v>597</v>
      </c>
      <c r="E1211" s="225" t="s">
        <v>580</v>
      </c>
    </row>
    <row r="1212" spans="2:5" ht="15.75" thickBot="1">
      <c r="B1212" s="225" t="s">
        <v>2407</v>
      </c>
      <c r="C1212" s="226">
        <v>511716</v>
      </c>
      <c r="D1212" s="225" t="s">
        <v>597</v>
      </c>
      <c r="E1212" s="225" t="s">
        <v>614</v>
      </c>
    </row>
    <row r="1213" spans="2:5" ht="15.75" thickBot="1">
      <c r="B1213" s="225" t="s">
        <v>2408</v>
      </c>
      <c r="C1213" s="226">
        <v>500495</v>
      </c>
      <c r="D1213" s="225" t="s">
        <v>2409</v>
      </c>
      <c r="E1213" s="225" t="s">
        <v>675</v>
      </c>
    </row>
    <row r="1214" spans="2:5" ht="15.75" thickBot="1">
      <c r="B1214" s="225" t="s">
        <v>2410</v>
      </c>
      <c r="C1214" s="226">
        <v>531259</v>
      </c>
      <c r="D1214" s="225" t="s">
        <v>597</v>
      </c>
      <c r="E1214" s="225" t="s">
        <v>2199</v>
      </c>
    </row>
    <row r="1215" spans="2:5" ht="15.75" thickBot="1">
      <c r="B1215" s="225" t="s">
        <v>2411</v>
      </c>
      <c r="C1215" s="226">
        <v>514118</v>
      </c>
      <c r="D1215" s="225" t="s">
        <v>597</v>
      </c>
      <c r="E1215" s="225" t="s">
        <v>612</v>
      </c>
    </row>
    <row r="1216" spans="2:5" ht="15.75" thickBot="1">
      <c r="B1216" s="225" t="s">
        <v>2412</v>
      </c>
      <c r="C1216" s="226">
        <v>514118</v>
      </c>
      <c r="D1216" s="225" t="s">
        <v>597</v>
      </c>
      <c r="E1216" s="225" t="s">
        <v>612</v>
      </c>
    </row>
    <row r="1217" spans="2:5" ht="15.75" thickBot="1">
      <c r="B1217" s="225" t="s">
        <v>2413</v>
      </c>
      <c r="C1217" s="226">
        <v>532787</v>
      </c>
      <c r="D1217" s="225" t="s">
        <v>2414</v>
      </c>
      <c r="E1217" s="225" t="s">
        <v>2415</v>
      </c>
    </row>
    <row r="1218" spans="2:5" ht="15.75" thickBot="1">
      <c r="B1218" s="225" t="s">
        <v>2416</v>
      </c>
      <c r="C1218" s="226">
        <v>533149</v>
      </c>
      <c r="D1218" s="225" t="s">
        <v>597</v>
      </c>
      <c r="E1218" s="225" t="s">
        <v>580</v>
      </c>
    </row>
    <row r="1219" spans="2:5" ht="15.75" thickBot="1">
      <c r="B1219" s="225" t="s">
        <v>2417</v>
      </c>
      <c r="C1219" s="226">
        <v>533704</v>
      </c>
      <c r="D1219" s="225" t="s">
        <v>2418</v>
      </c>
      <c r="E1219" s="225" t="s">
        <v>1844</v>
      </c>
    </row>
    <row r="1220" spans="2:5" ht="15.75" thickBot="1">
      <c r="B1220" s="225" t="s">
        <v>2419</v>
      </c>
      <c r="C1220" s="226">
        <v>500135</v>
      </c>
      <c r="D1220" s="225" t="s">
        <v>2420</v>
      </c>
      <c r="E1220" s="225" t="s">
        <v>792</v>
      </c>
    </row>
    <row r="1221" spans="2:5" ht="15.75" thickBot="1">
      <c r="B1221" s="225" t="s">
        <v>2421</v>
      </c>
      <c r="C1221" s="226">
        <v>534927</v>
      </c>
      <c r="D1221" s="225" t="s">
        <v>597</v>
      </c>
      <c r="E1221" s="225" t="s">
        <v>795</v>
      </c>
    </row>
    <row r="1222" spans="2:5" ht="15.75" thickBot="1">
      <c r="B1222" s="225" t="s">
        <v>2422</v>
      </c>
      <c r="C1222" s="226">
        <v>500136</v>
      </c>
      <c r="D1222" s="225" t="s">
        <v>2423</v>
      </c>
      <c r="E1222" s="225" t="s">
        <v>645</v>
      </c>
    </row>
    <row r="1223" spans="2:5" ht="15.75" thickBot="1">
      <c r="B1223" s="225" t="s">
        <v>2424</v>
      </c>
      <c r="C1223" s="226">
        <v>537707</v>
      </c>
      <c r="D1223" s="225" t="s">
        <v>597</v>
      </c>
      <c r="E1223" s="225" t="s">
        <v>683</v>
      </c>
    </row>
    <row r="1224" spans="2:5" ht="15.75" thickBot="1">
      <c r="B1224" s="225" t="s">
        <v>2425</v>
      </c>
      <c r="C1224" s="226">
        <v>521137</v>
      </c>
      <c r="D1224" s="225" t="s">
        <v>597</v>
      </c>
      <c r="E1224" s="225" t="s">
        <v>612</v>
      </c>
    </row>
    <row r="1225" spans="2:5" ht="15.75" thickBot="1">
      <c r="B1225" s="225" t="s">
        <v>2426</v>
      </c>
      <c r="C1225" s="226">
        <v>530929</v>
      </c>
      <c r="D1225" s="225" t="s">
        <v>597</v>
      </c>
      <c r="E1225" s="225" t="s">
        <v>619</v>
      </c>
    </row>
    <row r="1226" spans="2:5" ht="15.75" thickBot="1">
      <c r="B1226" s="225" t="s">
        <v>2427</v>
      </c>
      <c r="C1226" s="226">
        <v>532823</v>
      </c>
      <c r="D1226" s="225" t="s">
        <v>2428</v>
      </c>
      <c r="E1226" s="225" t="s">
        <v>874</v>
      </c>
    </row>
    <row r="1227" spans="2:5" ht="15.75" thickBot="1">
      <c r="B1227" s="225" t="s">
        <v>2429</v>
      </c>
      <c r="C1227" s="225" t="s">
        <v>597</v>
      </c>
      <c r="D1227" s="225" t="s">
        <v>2430</v>
      </c>
      <c r="E1227" s="225" t="s">
        <v>608</v>
      </c>
    </row>
    <row r="1228" spans="2:5" ht="15.75" thickBot="1">
      <c r="B1228" s="225" t="s">
        <v>2431</v>
      </c>
      <c r="C1228" s="226">
        <v>533109</v>
      </c>
      <c r="D1228" s="225" t="s">
        <v>2432</v>
      </c>
      <c r="E1228" s="225" t="s">
        <v>694</v>
      </c>
    </row>
    <row r="1229" spans="2:5" ht="15.75" thickBot="1">
      <c r="B1229" s="225" t="s">
        <v>2433</v>
      </c>
      <c r="C1229" s="226">
        <v>521014</v>
      </c>
      <c r="D1229" s="225" t="s">
        <v>597</v>
      </c>
      <c r="E1229" s="225" t="s">
        <v>612</v>
      </c>
    </row>
    <row r="1230" spans="2:5" ht="15.75" thickBot="1">
      <c r="B1230" s="225" t="s">
        <v>2434</v>
      </c>
      <c r="C1230" s="225" t="s">
        <v>597</v>
      </c>
      <c r="D1230" s="225" t="s">
        <v>2435</v>
      </c>
      <c r="E1230" s="225" t="s">
        <v>612</v>
      </c>
    </row>
    <row r="1231" spans="2:5" ht="15.75" thickBot="1">
      <c r="B1231" s="225" t="s">
        <v>2436</v>
      </c>
      <c r="C1231" s="226">
        <v>542668</v>
      </c>
      <c r="D1231" s="225" t="s">
        <v>2437</v>
      </c>
      <c r="E1231" s="225" t="s">
        <v>1018</v>
      </c>
    </row>
    <row r="1232" spans="2:5" ht="15.75" thickBot="1">
      <c r="B1232" s="225" t="s">
        <v>2438</v>
      </c>
      <c r="C1232" s="226">
        <v>531508</v>
      </c>
      <c r="D1232" s="225" t="s">
        <v>2439</v>
      </c>
      <c r="E1232" s="225" t="s">
        <v>1143</v>
      </c>
    </row>
    <row r="1233" spans="2:5" ht="15.75" thickBot="1">
      <c r="B1233" s="225" t="s">
        <v>2440</v>
      </c>
      <c r="C1233" s="226">
        <v>531508</v>
      </c>
      <c r="D1233" s="225" t="s">
        <v>2439</v>
      </c>
      <c r="E1233" s="225" t="s">
        <v>1143</v>
      </c>
    </row>
    <row r="1234" spans="2:5" ht="15.75" thickBot="1">
      <c r="B1234" s="225" t="s">
        <v>2441</v>
      </c>
      <c r="C1234" s="226">
        <v>508906</v>
      </c>
      <c r="D1234" s="225" t="s">
        <v>2442</v>
      </c>
      <c r="E1234" s="225" t="s">
        <v>610</v>
      </c>
    </row>
    <row r="1235" spans="2:5" ht="15.75" thickBot="1">
      <c r="B1235" s="225" t="s">
        <v>2443</v>
      </c>
      <c r="C1235" s="226">
        <v>532684</v>
      </c>
      <c r="D1235" s="225" t="s">
        <v>2444</v>
      </c>
      <c r="E1235" s="225" t="s">
        <v>1517</v>
      </c>
    </row>
    <row r="1236" spans="2:5" ht="15.75" thickBot="1">
      <c r="B1236" s="225" t="s">
        <v>2445</v>
      </c>
      <c r="C1236" s="226">
        <v>524790</v>
      </c>
      <c r="D1236" s="225" t="s">
        <v>597</v>
      </c>
      <c r="E1236" s="225" t="s">
        <v>635</v>
      </c>
    </row>
    <row r="1237" spans="2:5" ht="15.75" thickBot="1">
      <c r="B1237" s="225" t="s">
        <v>2446</v>
      </c>
      <c r="C1237" s="226">
        <v>514060</v>
      </c>
      <c r="D1237" s="225" t="s">
        <v>597</v>
      </c>
      <c r="E1237" s="225" t="s">
        <v>612</v>
      </c>
    </row>
    <row r="1238" spans="2:5" ht="15.75" thickBot="1">
      <c r="B1238" s="225" t="s">
        <v>2447</v>
      </c>
      <c r="C1238" s="226">
        <v>514358</v>
      </c>
      <c r="D1238" s="225" t="s">
        <v>597</v>
      </c>
      <c r="E1238" s="225" t="s">
        <v>612</v>
      </c>
    </row>
    <row r="1239" spans="2:5" ht="15.75" thickBot="1">
      <c r="B1239" s="225" t="s">
        <v>2448</v>
      </c>
      <c r="C1239" s="226">
        <v>532511</v>
      </c>
      <c r="D1239" s="225" t="s">
        <v>2449</v>
      </c>
      <c r="E1239" s="225" t="s">
        <v>741</v>
      </c>
    </row>
    <row r="1240" spans="2:5" ht="15.75" thickBot="1">
      <c r="B1240" s="225" t="s">
        <v>2450</v>
      </c>
      <c r="C1240" s="226">
        <v>500650</v>
      </c>
      <c r="D1240" s="225" t="s">
        <v>2451</v>
      </c>
      <c r="E1240" s="225" t="s">
        <v>757</v>
      </c>
    </row>
    <row r="1241" spans="2:5" ht="15.75" thickBot="1">
      <c r="B1241" s="225" t="s">
        <v>2452</v>
      </c>
      <c r="C1241" s="226">
        <v>533090</v>
      </c>
      <c r="D1241" s="225" t="s">
        <v>2453</v>
      </c>
      <c r="E1241" s="225" t="s">
        <v>927</v>
      </c>
    </row>
    <row r="1242" spans="2:5" ht="15.75" thickBot="1">
      <c r="B1242" s="225" t="s">
        <v>2454</v>
      </c>
      <c r="C1242" s="226">
        <v>500086</v>
      </c>
      <c r="D1242" s="225" t="s">
        <v>2455</v>
      </c>
      <c r="E1242" s="225" t="s">
        <v>952</v>
      </c>
    </row>
    <row r="1243" spans="2:5" ht="15.75" thickBot="1">
      <c r="B1243" s="225" t="s">
        <v>2456</v>
      </c>
      <c r="C1243" s="225" t="s">
        <v>597</v>
      </c>
      <c r="D1243" s="225" t="s">
        <v>2457</v>
      </c>
      <c r="E1243" s="225" t="s">
        <v>952</v>
      </c>
    </row>
    <row r="1244" spans="2:5" ht="15.75" thickBot="1">
      <c r="B1244" s="225" t="s">
        <v>2458</v>
      </c>
      <c r="C1244" s="226">
        <v>530571</v>
      </c>
      <c r="D1244" s="225" t="s">
        <v>597</v>
      </c>
      <c r="E1244" s="225" t="s">
        <v>1018</v>
      </c>
    </row>
    <row r="1245" spans="2:5" ht="15.75" thickBot="1">
      <c r="B1245" s="225" t="s">
        <v>2459</v>
      </c>
      <c r="C1245" s="226">
        <v>526614</v>
      </c>
      <c r="D1245" s="225" t="s">
        <v>597</v>
      </c>
      <c r="E1245" s="225" t="s">
        <v>1517</v>
      </c>
    </row>
    <row r="1246" spans="2:5" ht="15.75" thickBot="1">
      <c r="B1246" s="225" t="s">
        <v>2460</v>
      </c>
      <c r="C1246" s="226">
        <v>539552</v>
      </c>
      <c r="D1246" s="225" t="s">
        <v>597</v>
      </c>
      <c r="E1246" s="225" t="s">
        <v>614</v>
      </c>
    </row>
    <row r="1247" spans="2:5" ht="15.75" thickBot="1">
      <c r="B1247" s="225" t="s">
        <v>2461</v>
      </c>
      <c r="C1247" s="226">
        <v>532656</v>
      </c>
      <c r="D1247" s="225" t="s">
        <v>597</v>
      </c>
      <c r="E1247" s="225" t="s">
        <v>629</v>
      </c>
    </row>
    <row r="1248" spans="2:5" ht="15.75" thickBot="1">
      <c r="B1248" s="225" t="s">
        <v>2462</v>
      </c>
      <c r="C1248" s="226">
        <v>514474</v>
      </c>
      <c r="D1248" s="225" t="s">
        <v>597</v>
      </c>
      <c r="E1248" s="225" t="s">
        <v>612</v>
      </c>
    </row>
    <row r="1249" spans="2:5" ht="15.75" thickBot="1">
      <c r="B1249" s="225" t="s">
        <v>2463</v>
      </c>
      <c r="C1249" s="226">
        <v>530117</v>
      </c>
      <c r="D1249" s="225" t="s">
        <v>2464</v>
      </c>
      <c r="E1249" s="225" t="s">
        <v>757</v>
      </c>
    </row>
    <row r="1250" spans="2:5" ht="15.75" thickBot="1">
      <c r="B1250" s="225" t="s">
        <v>2465</v>
      </c>
      <c r="C1250" s="226">
        <v>530079</v>
      </c>
      <c r="D1250" s="225" t="s">
        <v>597</v>
      </c>
      <c r="E1250" s="225" t="s">
        <v>612</v>
      </c>
    </row>
    <row r="1251" spans="2:5" ht="15.75" thickBot="1">
      <c r="B1251" s="225" t="s">
        <v>2466</v>
      </c>
      <c r="C1251" s="226">
        <v>532666</v>
      </c>
      <c r="D1251" s="225" t="s">
        <v>2467</v>
      </c>
      <c r="E1251" s="225" t="s">
        <v>583</v>
      </c>
    </row>
    <row r="1252" spans="2:5" ht="15.75" thickBot="1">
      <c r="B1252" s="225" t="s">
        <v>2468</v>
      </c>
      <c r="C1252" s="226">
        <v>531599</v>
      </c>
      <c r="D1252" s="225" t="s">
        <v>2469</v>
      </c>
      <c r="E1252" s="225" t="s">
        <v>635</v>
      </c>
    </row>
    <row r="1253" spans="2:5" ht="15.75" thickBot="1">
      <c r="B1253" s="225" t="s">
        <v>2470</v>
      </c>
      <c r="C1253" s="226">
        <v>505744</v>
      </c>
      <c r="D1253" s="225" t="s">
        <v>2471</v>
      </c>
      <c r="E1253" s="225" t="s">
        <v>952</v>
      </c>
    </row>
    <row r="1254" spans="2:5" ht="15.75" thickBot="1">
      <c r="B1254" s="225" t="s">
        <v>2472</v>
      </c>
      <c r="C1254" s="226">
        <v>505744</v>
      </c>
      <c r="D1254" s="225" t="s">
        <v>2471</v>
      </c>
      <c r="E1254" s="225" t="s">
        <v>952</v>
      </c>
    </row>
    <row r="1255" spans="2:5" ht="15.75" thickBot="1">
      <c r="B1255" s="225" t="s">
        <v>2473</v>
      </c>
      <c r="C1255" s="225" t="s">
        <v>597</v>
      </c>
      <c r="D1255" s="225" t="s">
        <v>2474</v>
      </c>
      <c r="E1255" s="225" t="s">
        <v>608</v>
      </c>
    </row>
    <row r="1256" spans="2:5" ht="15.75" thickBot="1">
      <c r="B1256" s="225" t="s">
        <v>2475</v>
      </c>
      <c r="C1256" s="226">
        <v>526689</v>
      </c>
      <c r="D1256" s="225" t="s">
        <v>597</v>
      </c>
      <c r="E1256" s="225" t="s">
        <v>717</v>
      </c>
    </row>
    <row r="1257" spans="2:5" ht="15.75" thickBot="1">
      <c r="B1257" s="225" t="s">
        <v>2476</v>
      </c>
      <c r="C1257" s="226">
        <v>500141</v>
      </c>
      <c r="D1257" s="225" t="s">
        <v>597</v>
      </c>
      <c r="E1257" s="225" t="s">
        <v>629</v>
      </c>
    </row>
    <row r="1258" spans="2:5" ht="15.75" thickBot="1">
      <c r="B1258" s="225" t="s">
        <v>2477</v>
      </c>
      <c r="C1258" s="226">
        <v>590024</v>
      </c>
      <c r="D1258" s="225" t="s">
        <v>2478</v>
      </c>
      <c r="E1258" s="225" t="s">
        <v>1105</v>
      </c>
    </row>
    <row r="1259" spans="2:5" ht="15.75" thickBot="1">
      <c r="B1259" s="225" t="s">
        <v>2479</v>
      </c>
      <c r="C1259" s="226">
        <v>533896</v>
      </c>
      <c r="D1259" s="225" t="s">
        <v>597</v>
      </c>
      <c r="E1259" s="225" t="s">
        <v>635</v>
      </c>
    </row>
    <row r="1260" spans="2:5" ht="15.75" thickBot="1">
      <c r="B1260" s="225" t="s">
        <v>2480</v>
      </c>
      <c r="C1260" s="226">
        <v>500142</v>
      </c>
      <c r="D1260" s="225" t="s">
        <v>597</v>
      </c>
      <c r="E1260" s="225" t="s">
        <v>614</v>
      </c>
    </row>
    <row r="1261" spans="2:5" ht="15.75" thickBot="1">
      <c r="B1261" s="225" t="s">
        <v>2481</v>
      </c>
      <c r="C1261" s="226">
        <v>507910</v>
      </c>
      <c r="D1261" s="225" t="s">
        <v>597</v>
      </c>
      <c r="E1261" s="225" t="s">
        <v>717</v>
      </c>
    </row>
    <row r="1262" spans="2:5" ht="15.75" thickBot="1">
      <c r="B1262" s="225" t="s">
        <v>2482</v>
      </c>
      <c r="C1262" s="226">
        <v>507910</v>
      </c>
      <c r="D1262" s="225" t="s">
        <v>597</v>
      </c>
      <c r="E1262" s="225" t="s">
        <v>717</v>
      </c>
    </row>
    <row r="1263" spans="2:5" ht="15.75" thickBot="1">
      <c r="B1263" s="225" t="s">
        <v>2483</v>
      </c>
      <c r="C1263" s="226">
        <v>532768</v>
      </c>
      <c r="D1263" s="225" t="s">
        <v>2484</v>
      </c>
      <c r="E1263" s="225" t="s">
        <v>952</v>
      </c>
    </row>
    <row r="1264" spans="2:5" ht="15.75" thickBot="1">
      <c r="B1264" s="225" t="s">
        <v>2485</v>
      </c>
      <c r="C1264" s="226">
        <v>526227</v>
      </c>
      <c r="D1264" s="225" t="s">
        <v>2486</v>
      </c>
      <c r="E1264" s="225" t="s">
        <v>612</v>
      </c>
    </row>
    <row r="1265" spans="2:5" ht="15.75" thickBot="1">
      <c r="B1265" s="225" t="s">
        <v>2487</v>
      </c>
      <c r="C1265" s="226">
        <v>532022</v>
      </c>
      <c r="D1265" s="225" t="s">
        <v>597</v>
      </c>
      <c r="E1265" s="225" t="s">
        <v>612</v>
      </c>
    </row>
    <row r="1266" spans="2:5" ht="15.75" thickBot="1">
      <c r="B1266" s="225" t="s">
        <v>2488</v>
      </c>
      <c r="C1266" s="226">
        <v>526227</v>
      </c>
      <c r="D1266" s="225" t="s">
        <v>2486</v>
      </c>
      <c r="E1266" s="225" t="s">
        <v>612</v>
      </c>
    </row>
    <row r="1267" spans="2:5" ht="15.75" thickBot="1">
      <c r="B1267" s="225" t="s">
        <v>2489</v>
      </c>
      <c r="C1267" s="226">
        <v>539098</v>
      </c>
      <c r="D1267" s="225" t="s">
        <v>597</v>
      </c>
      <c r="E1267" s="225" t="s">
        <v>622</v>
      </c>
    </row>
    <row r="1268" spans="2:5" ht="15.75" thickBot="1">
      <c r="B1268" s="225" t="s">
        <v>2490</v>
      </c>
      <c r="C1268" s="226">
        <v>541557</v>
      </c>
      <c r="D1268" s="225" t="s">
        <v>2491</v>
      </c>
      <c r="E1268" s="225" t="s">
        <v>757</v>
      </c>
    </row>
    <row r="1269" spans="2:5" ht="15.75" thickBot="1">
      <c r="B1269" s="225" t="s">
        <v>2492</v>
      </c>
      <c r="C1269" s="226">
        <v>517264</v>
      </c>
      <c r="D1269" s="225" t="s">
        <v>2493</v>
      </c>
      <c r="E1269" s="225" t="s">
        <v>1139</v>
      </c>
    </row>
    <row r="1270" spans="2:5" ht="15.75" thickBot="1">
      <c r="B1270" s="225" t="s">
        <v>2494</v>
      </c>
      <c r="C1270" s="226">
        <v>533333</v>
      </c>
      <c r="D1270" s="225" t="s">
        <v>2495</v>
      </c>
      <c r="E1270" s="225" t="s">
        <v>757</v>
      </c>
    </row>
    <row r="1271" spans="2:5" ht="15.75" thickBot="1">
      <c r="B1271" s="225" t="s">
        <v>2496</v>
      </c>
      <c r="C1271" s="226">
        <v>508954</v>
      </c>
      <c r="D1271" s="225" t="s">
        <v>597</v>
      </c>
      <c r="E1271" s="225" t="s">
        <v>614</v>
      </c>
    </row>
    <row r="1272" spans="2:5" ht="15.75" thickBot="1">
      <c r="B1272" s="225" t="s">
        <v>2497</v>
      </c>
      <c r="C1272" s="226">
        <v>500144</v>
      </c>
      <c r="D1272" s="225" t="s">
        <v>2498</v>
      </c>
      <c r="E1272" s="225" t="s">
        <v>895</v>
      </c>
    </row>
    <row r="1273" spans="2:5" ht="15.75" thickBot="1">
      <c r="B1273" s="225" t="s">
        <v>2499</v>
      </c>
      <c r="C1273" s="226">
        <v>500940</v>
      </c>
      <c r="D1273" s="225" t="s">
        <v>2500</v>
      </c>
      <c r="E1273" s="225" t="s">
        <v>717</v>
      </c>
    </row>
    <row r="1274" spans="2:5" ht="15.75" thickBot="1">
      <c r="B1274" s="225" t="s">
        <v>2501</v>
      </c>
      <c r="C1274" s="226">
        <v>511122</v>
      </c>
      <c r="D1274" s="225" t="s">
        <v>597</v>
      </c>
      <c r="E1274" s="225" t="s">
        <v>614</v>
      </c>
    </row>
    <row r="1275" spans="2:5" ht="15.75" thickBot="1">
      <c r="B1275" s="225" t="s">
        <v>2502</v>
      </c>
      <c r="C1275" s="226">
        <v>511122</v>
      </c>
      <c r="D1275" s="225" t="s">
        <v>597</v>
      </c>
      <c r="E1275" s="225" t="s">
        <v>614</v>
      </c>
    </row>
    <row r="1276" spans="2:5" ht="15.75" thickBot="1">
      <c r="B1276" s="225" t="s">
        <v>2503</v>
      </c>
      <c r="C1276" s="226">
        <v>532379</v>
      </c>
      <c r="D1276" s="225" t="s">
        <v>597</v>
      </c>
      <c r="E1276" s="225" t="s">
        <v>690</v>
      </c>
    </row>
    <row r="1277" spans="2:5" ht="15.75" thickBot="1">
      <c r="B1277" s="225" t="s">
        <v>2504</v>
      </c>
      <c r="C1277" s="226">
        <v>532809</v>
      </c>
      <c r="D1277" s="225" t="s">
        <v>2505</v>
      </c>
      <c r="E1277" s="225" t="s">
        <v>927</v>
      </c>
    </row>
    <row r="1278" spans="2:5" ht="15.75" thickBot="1">
      <c r="B1278" s="225" t="s">
        <v>2506</v>
      </c>
      <c r="C1278" s="226">
        <v>524743</v>
      </c>
      <c r="D1278" s="225" t="s">
        <v>597</v>
      </c>
      <c r="E1278" s="225" t="s">
        <v>645</v>
      </c>
    </row>
    <row r="1279" spans="2:5" ht="15.75" thickBot="1">
      <c r="B1279" s="225" t="s">
        <v>2507</v>
      </c>
      <c r="C1279" s="225" t="s">
        <v>597</v>
      </c>
      <c r="D1279" s="225" t="s">
        <v>2508</v>
      </c>
      <c r="E1279" s="225" t="s">
        <v>608</v>
      </c>
    </row>
    <row r="1280" spans="2:5" ht="15.75" thickBot="1">
      <c r="B1280" s="225" t="s">
        <v>2509</v>
      </c>
      <c r="C1280" s="226">
        <v>530885</v>
      </c>
      <c r="D1280" s="225" t="s">
        <v>597</v>
      </c>
      <c r="E1280" s="225" t="s">
        <v>583</v>
      </c>
    </row>
    <row r="1281" spans="2:5" ht="15.75" thickBot="1">
      <c r="B1281" s="225" t="s">
        <v>2510</v>
      </c>
      <c r="C1281" s="226">
        <v>536751</v>
      </c>
      <c r="D1281" s="225" t="s">
        <v>597</v>
      </c>
      <c r="E1281" s="225" t="s">
        <v>580</v>
      </c>
    </row>
    <row r="1282" spans="2:5" ht="15.75" thickBot="1">
      <c r="B1282" s="225" t="s">
        <v>2511</v>
      </c>
      <c r="C1282" s="226">
        <v>523672</v>
      </c>
      <c r="D1282" s="225" t="s">
        <v>597</v>
      </c>
      <c r="E1282" s="225" t="s">
        <v>795</v>
      </c>
    </row>
    <row r="1283" spans="2:5" ht="15.75" thickBot="1">
      <c r="B1283" s="225" t="s">
        <v>2512</v>
      </c>
      <c r="C1283" s="226">
        <v>533638</v>
      </c>
      <c r="D1283" s="225" t="s">
        <v>2513</v>
      </c>
      <c r="E1283" s="225" t="s">
        <v>717</v>
      </c>
    </row>
    <row r="1284" spans="2:5" ht="15.75" thickBot="1">
      <c r="B1284" s="225" t="s">
        <v>2514</v>
      </c>
      <c r="C1284" s="226">
        <v>540267</v>
      </c>
      <c r="D1284" s="225" t="s">
        <v>597</v>
      </c>
      <c r="E1284" s="225" t="s">
        <v>619</v>
      </c>
    </row>
    <row r="1285" spans="2:5" ht="15.75" thickBot="1">
      <c r="B1285" s="225" t="s">
        <v>2515</v>
      </c>
      <c r="C1285" s="226">
        <v>530705</v>
      </c>
      <c r="D1285" s="225" t="s">
        <v>597</v>
      </c>
      <c r="E1285" s="225" t="s">
        <v>612</v>
      </c>
    </row>
    <row r="1286" spans="2:5" ht="15.75" thickBot="1">
      <c r="B1286" s="225" t="s">
        <v>2516</v>
      </c>
      <c r="C1286" s="226">
        <v>532518</v>
      </c>
      <c r="D1286" s="225" t="s">
        <v>597</v>
      </c>
      <c r="E1286" s="225" t="s">
        <v>617</v>
      </c>
    </row>
    <row r="1287" spans="2:5" ht="15.75" thickBot="1">
      <c r="B1287" s="225" t="s">
        <v>2517</v>
      </c>
      <c r="C1287" s="226">
        <v>522017</v>
      </c>
      <c r="D1287" s="225" t="s">
        <v>597</v>
      </c>
      <c r="E1287" s="225" t="s">
        <v>895</v>
      </c>
    </row>
    <row r="1288" spans="2:5" ht="15.75" thickBot="1">
      <c r="B1288" s="225" t="s">
        <v>2518</v>
      </c>
      <c r="C1288" s="226">
        <v>534757</v>
      </c>
      <c r="D1288" s="225" t="s">
        <v>597</v>
      </c>
      <c r="E1288" s="225" t="s">
        <v>614</v>
      </c>
    </row>
    <row r="1289" spans="2:5" ht="15.75" thickBot="1">
      <c r="B1289" s="225" t="s">
        <v>2519</v>
      </c>
      <c r="C1289" s="225" t="s">
        <v>597</v>
      </c>
      <c r="D1289" s="225" t="s">
        <v>2520</v>
      </c>
      <c r="E1289" s="225" t="s">
        <v>608</v>
      </c>
    </row>
    <row r="1290" spans="2:5" ht="15.75" thickBot="1">
      <c r="B1290" s="225" t="s">
        <v>2521</v>
      </c>
      <c r="C1290" s="226">
        <v>540945</v>
      </c>
      <c r="D1290" s="225" t="s">
        <v>597</v>
      </c>
      <c r="E1290" s="225" t="s">
        <v>681</v>
      </c>
    </row>
    <row r="1291" spans="2:5" ht="15.75" thickBot="1">
      <c r="B1291" s="225" t="s">
        <v>2522</v>
      </c>
      <c r="C1291" s="226">
        <v>503831</v>
      </c>
      <c r="D1291" s="225" t="s">
        <v>597</v>
      </c>
      <c r="E1291" s="225" t="s">
        <v>798</v>
      </c>
    </row>
    <row r="1292" spans="2:5" ht="15.75" thickBot="1">
      <c r="B1292" s="225" t="s">
        <v>2523</v>
      </c>
      <c r="C1292" s="226">
        <v>507552</v>
      </c>
      <c r="D1292" s="225" t="s">
        <v>597</v>
      </c>
      <c r="E1292" s="225" t="s">
        <v>677</v>
      </c>
    </row>
    <row r="1293" spans="2:5" ht="15.75" thickBot="1">
      <c r="B1293" s="225" t="s">
        <v>2524</v>
      </c>
      <c r="C1293" s="226">
        <v>502865</v>
      </c>
      <c r="D1293" s="225" t="s">
        <v>597</v>
      </c>
      <c r="E1293" s="225" t="s">
        <v>605</v>
      </c>
    </row>
    <row r="1294" spans="2:5" ht="15.75" thickBot="1">
      <c r="B1294" s="225" t="s">
        <v>2525</v>
      </c>
      <c r="C1294" s="226">
        <v>500033</v>
      </c>
      <c r="D1294" s="225" t="s">
        <v>597</v>
      </c>
      <c r="E1294" s="225" t="s">
        <v>2526</v>
      </c>
    </row>
    <row r="1295" spans="2:5" ht="15.75" thickBot="1">
      <c r="B1295" s="225" t="s">
        <v>2527</v>
      </c>
      <c r="C1295" s="226">
        <v>532843</v>
      </c>
      <c r="D1295" s="225" t="s">
        <v>2528</v>
      </c>
      <c r="E1295" s="225" t="s">
        <v>1067</v>
      </c>
    </row>
    <row r="1296" spans="2:5" ht="15.75" thickBot="1">
      <c r="B1296" s="225" t="s">
        <v>2529</v>
      </c>
      <c r="C1296" s="226">
        <v>523696</v>
      </c>
      <c r="D1296" s="225" t="s">
        <v>597</v>
      </c>
      <c r="E1296" s="225" t="s">
        <v>786</v>
      </c>
    </row>
    <row r="1297" spans="2:5" ht="15.75" thickBot="1">
      <c r="B1297" s="225" t="s">
        <v>2530</v>
      </c>
      <c r="C1297" s="226">
        <v>530213</v>
      </c>
      <c r="D1297" s="225" t="s">
        <v>597</v>
      </c>
      <c r="E1297" s="225" t="s">
        <v>619</v>
      </c>
    </row>
    <row r="1298" spans="2:5" ht="15.75" thickBot="1">
      <c r="B1298" s="225" t="s">
        <v>2531</v>
      </c>
      <c r="C1298" s="226">
        <v>500150</v>
      </c>
      <c r="D1298" s="225" t="s">
        <v>2532</v>
      </c>
      <c r="E1298" s="225" t="s">
        <v>645</v>
      </c>
    </row>
    <row r="1299" spans="2:5" ht="15.75" thickBot="1">
      <c r="B1299" s="225" t="s">
        <v>2533</v>
      </c>
      <c r="C1299" s="226">
        <v>500150</v>
      </c>
      <c r="D1299" s="225" t="s">
        <v>2532</v>
      </c>
      <c r="E1299" s="225" t="s">
        <v>645</v>
      </c>
    </row>
    <row r="1300" spans="2:5" ht="15.75" thickBot="1">
      <c r="B1300" s="225" t="s">
        <v>2534</v>
      </c>
      <c r="C1300" s="226">
        <v>513579</v>
      </c>
      <c r="D1300" s="225" t="s">
        <v>597</v>
      </c>
      <c r="E1300" s="225" t="s">
        <v>1275</v>
      </c>
    </row>
    <row r="1301" spans="2:5" ht="15.75" thickBot="1">
      <c r="B1301" s="225" t="s">
        <v>2535</v>
      </c>
      <c r="C1301" s="225" t="s">
        <v>597</v>
      </c>
      <c r="D1301" s="225" t="s">
        <v>2536</v>
      </c>
      <c r="E1301" s="225" t="s">
        <v>608</v>
      </c>
    </row>
    <row r="1302" spans="2:5" ht="15.75" thickBot="1">
      <c r="B1302" s="225" t="s">
        <v>2537</v>
      </c>
      <c r="C1302" s="226">
        <v>532403</v>
      </c>
      <c r="D1302" s="225" t="s">
        <v>597</v>
      </c>
      <c r="E1302" s="225" t="s">
        <v>690</v>
      </c>
    </row>
    <row r="1303" spans="2:5" ht="15.75" thickBot="1">
      <c r="B1303" s="225" t="s">
        <v>2538</v>
      </c>
      <c r="C1303" s="226">
        <v>540190</v>
      </c>
      <c r="D1303" s="225" t="s">
        <v>597</v>
      </c>
      <c r="E1303" s="225" t="s">
        <v>619</v>
      </c>
    </row>
    <row r="1304" spans="2:5" ht="15.75" thickBot="1">
      <c r="B1304" s="225" t="s">
        <v>2539</v>
      </c>
      <c r="C1304" s="226">
        <v>539839</v>
      </c>
      <c r="D1304" s="225" t="s">
        <v>597</v>
      </c>
      <c r="E1304" s="225" t="s">
        <v>614</v>
      </c>
    </row>
    <row r="1305" spans="2:5" ht="15.75" thickBot="1">
      <c r="B1305" s="225" t="s">
        <v>2540</v>
      </c>
      <c r="C1305" s="226">
        <v>539032</v>
      </c>
      <c r="D1305" s="225" t="s">
        <v>2541</v>
      </c>
      <c r="E1305" s="225" t="s">
        <v>963</v>
      </c>
    </row>
    <row r="1306" spans="2:5" ht="15.75" thickBot="1">
      <c r="B1306" s="225" t="s">
        <v>2542</v>
      </c>
      <c r="C1306" s="226">
        <v>539730</v>
      </c>
      <c r="D1306" s="225" t="s">
        <v>597</v>
      </c>
      <c r="E1306" s="225" t="s">
        <v>635</v>
      </c>
    </row>
    <row r="1307" spans="2:5" ht="15.75" thickBot="1">
      <c r="B1307" s="225" t="s">
        <v>2543</v>
      </c>
      <c r="C1307" s="226">
        <v>530077</v>
      </c>
      <c r="D1307" s="225" t="s">
        <v>597</v>
      </c>
      <c r="E1307" s="225" t="s">
        <v>795</v>
      </c>
    </row>
    <row r="1308" spans="2:5" ht="15.75" thickBot="1">
      <c r="B1308" s="225" t="s">
        <v>2544</v>
      </c>
      <c r="C1308" s="226">
        <v>508980</v>
      </c>
      <c r="D1308" s="225" t="s">
        <v>597</v>
      </c>
      <c r="E1308" s="225" t="s">
        <v>1018</v>
      </c>
    </row>
    <row r="1309" spans="2:5" ht="15.75" thickBot="1">
      <c r="B1309" s="225" t="s">
        <v>2545</v>
      </c>
      <c r="C1309" s="226">
        <v>522195</v>
      </c>
      <c r="D1309" s="225" t="s">
        <v>597</v>
      </c>
      <c r="E1309" s="225" t="s">
        <v>952</v>
      </c>
    </row>
    <row r="1310" spans="2:5" ht="15.75" thickBot="1">
      <c r="B1310" s="225" t="s">
        <v>2546</v>
      </c>
      <c r="C1310" s="226">
        <v>521167</v>
      </c>
      <c r="D1310" s="225" t="s">
        <v>2547</v>
      </c>
      <c r="E1310" s="225" t="s">
        <v>1153</v>
      </c>
    </row>
    <row r="1311" spans="2:5" ht="15.75" thickBot="1">
      <c r="B1311" s="225" t="s">
        <v>2548</v>
      </c>
      <c r="C1311" s="226">
        <v>532042</v>
      </c>
      <c r="D1311" s="225" t="s">
        <v>597</v>
      </c>
      <c r="E1311" s="225" t="s">
        <v>669</v>
      </c>
    </row>
    <row r="1312" spans="2:5" ht="15.75" thickBot="1">
      <c r="B1312" s="225" t="s">
        <v>2549</v>
      </c>
      <c r="C1312" s="226">
        <v>533213</v>
      </c>
      <c r="D1312" s="225" t="s">
        <v>597</v>
      </c>
      <c r="E1312" s="225" t="s">
        <v>580</v>
      </c>
    </row>
    <row r="1313" spans="2:5" ht="15.75" thickBot="1">
      <c r="B1313" s="225" t="s">
        <v>2550</v>
      </c>
      <c r="C1313" s="226">
        <v>538568</v>
      </c>
      <c r="D1313" s="225" t="s">
        <v>597</v>
      </c>
      <c r="E1313" s="225" t="s">
        <v>619</v>
      </c>
    </row>
    <row r="1314" spans="2:5" ht="15.75" thickBot="1">
      <c r="B1314" s="225" t="s">
        <v>2551</v>
      </c>
      <c r="C1314" s="226">
        <v>539169</v>
      </c>
      <c r="D1314" s="225" t="s">
        <v>597</v>
      </c>
      <c r="E1314" s="225" t="s">
        <v>583</v>
      </c>
    </row>
    <row r="1315" spans="2:5" ht="15.75" thickBot="1">
      <c r="B1315" s="225" t="s">
        <v>2552</v>
      </c>
      <c r="C1315" s="226">
        <v>533400</v>
      </c>
      <c r="D1315" s="225" t="s">
        <v>2553</v>
      </c>
      <c r="E1315" s="225" t="s">
        <v>657</v>
      </c>
    </row>
    <row r="1316" spans="2:5" ht="15.75" thickBot="1">
      <c r="B1316" s="225" t="s">
        <v>2554</v>
      </c>
      <c r="C1316" s="226">
        <v>523574</v>
      </c>
      <c r="D1316" s="225" t="s">
        <v>2555</v>
      </c>
      <c r="E1316" s="225" t="s">
        <v>766</v>
      </c>
    </row>
    <row r="1317" spans="2:5" ht="15.75" thickBot="1">
      <c r="B1317" s="225" t="s">
        <v>2554</v>
      </c>
      <c r="C1317" s="226">
        <v>570002</v>
      </c>
      <c r="D1317" s="225" t="s">
        <v>2556</v>
      </c>
      <c r="E1317" s="225" t="s">
        <v>766</v>
      </c>
    </row>
    <row r="1318" spans="2:5" ht="15.75" thickBot="1">
      <c r="B1318" s="225" t="s">
        <v>2557</v>
      </c>
      <c r="C1318" s="226">
        <v>536507</v>
      </c>
      <c r="D1318" s="225" t="s">
        <v>2558</v>
      </c>
      <c r="E1318" s="225" t="s">
        <v>766</v>
      </c>
    </row>
    <row r="1319" spans="2:5" ht="15.75" thickBot="1">
      <c r="B1319" s="225" t="s">
        <v>2559</v>
      </c>
      <c r="C1319" s="226">
        <v>533296</v>
      </c>
      <c r="D1319" s="225" t="s">
        <v>2560</v>
      </c>
      <c r="E1319" s="225" t="s">
        <v>766</v>
      </c>
    </row>
    <row r="1320" spans="2:5" ht="15.75" thickBot="1">
      <c r="B1320" s="225" t="s">
        <v>2561</v>
      </c>
      <c r="C1320" s="226">
        <v>540064</v>
      </c>
      <c r="D1320" s="225" t="s">
        <v>2562</v>
      </c>
      <c r="E1320" s="225" t="s">
        <v>766</v>
      </c>
    </row>
    <row r="1321" spans="2:5" ht="15.75" thickBot="1">
      <c r="B1321" s="225" t="s">
        <v>2563</v>
      </c>
      <c r="C1321" s="226">
        <v>540798</v>
      </c>
      <c r="D1321" s="225" t="s">
        <v>2564</v>
      </c>
      <c r="E1321" s="225" t="s">
        <v>918</v>
      </c>
    </row>
    <row r="1322" spans="2:5" ht="15.75" thickBot="1">
      <c r="B1322" s="225" t="s">
        <v>2565</v>
      </c>
      <c r="C1322" s="226">
        <v>523113</v>
      </c>
      <c r="D1322" s="225" t="s">
        <v>597</v>
      </c>
      <c r="E1322" s="225" t="s">
        <v>614</v>
      </c>
    </row>
    <row r="1323" spans="2:5" ht="15.75" thickBot="1">
      <c r="B1323" s="225" t="s">
        <v>2566</v>
      </c>
      <c r="C1323" s="226">
        <v>534063</v>
      </c>
      <c r="D1323" s="225" t="s">
        <v>597</v>
      </c>
      <c r="E1323" s="225" t="s">
        <v>580</v>
      </c>
    </row>
    <row r="1324" spans="2:5" ht="15.75" thickBot="1">
      <c r="B1324" s="225" t="s">
        <v>2567</v>
      </c>
      <c r="C1324" s="226">
        <v>504346</v>
      </c>
      <c r="D1324" s="225" t="s">
        <v>597</v>
      </c>
      <c r="E1324" s="225" t="s">
        <v>580</v>
      </c>
    </row>
    <row r="1325" spans="2:5" ht="15.75" thickBot="1">
      <c r="B1325" s="225" t="s">
        <v>2568</v>
      </c>
      <c r="C1325" s="226">
        <v>505250</v>
      </c>
      <c r="D1325" s="225" t="s">
        <v>597</v>
      </c>
      <c r="E1325" s="225" t="s">
        <v>605</v>
      </c>
    </row>
    <row r="1326" spans="2:5" ht="15.75" thickBot="1">
      <c r="B1326" s="225" t="s">
        <v>2569</v>
      </c>
      <c r="C1326" s="226">
        <v>540614</v>
      </c>
      <c r="D1326" s="225" t="s">
        <v>597</v>
      </c>
      <c r="E1326" s="225" t="s">
        <v>640</v>
      </c>
    </row>
    <row r="1327" spans="2:5" ht="15.75" thickBot="1">
      <c r="B1327" s="225" t="s">
        <v>2570</v>
      </c>
      <c r="C1327" s="226">
        <v>531758</v>
      </c>
      <c r="D1327" s="225" t="s">
        <v>597</v>
      </c>
      <c r="E1327" s="225" t="s">
        <v>614</v>
      </c>
    </row>
    <row r="1328" spans="2:5" ht="15.75" thickBot="1">
      <c r="B1328" s="225" t="s">
        <v>2571</v>
      </c>
      <c r="C1328" s="226">
        <v>513059</v>
      </c>
      <c r="D1328" s="225" t="s">
        <v>597</v>
      </c>
      <c r="E1328" s="225" t="s">
        <v>952</v>
      </c>
    </row>
    <row r="1329" spans="2:5" ht="15.75" thickBot="1">
      <c r="B1329" s="225" t="s">
        <v>2572</v>
      </c>
      <c r="C1329" s="226">
        <v>542666</v>
      </c>
      <c r="D1329" s="225" t="s">
        <v>2573</v>
      </c>
      <c r="E1329" s="225" t="s">
        <v>2574</v>
      </c>
    </row>
    <row r="1330" spans="2:5" ht="15.75" thickBot="1">
      <c r="B1330" s="225" t="s">
        <v>2575</v>
      </c>
      <c r="C1330" s="226">
        <v>505714</v>
      </c>
      <c r="D1330" s="225" t="s">
        <v>2576</v>
      </c>
      <c r="E1330" s="225" t="s">
        <v>952</v>
      </c>
    </row>
    <row r="1331" spans="2:5" ht="15.75" thickBot="1">
      <c r="B1331" s="225" t="s">
        <v>2577</v>
      </c>
      <c r="C1331" s="226">
        <v>505714</v>
      </c>
      <c r="D1331" s="225" t="s">
        <v>2576</v>
      </c>
      <c r="E1331" s="225" t="s">
        <v>952</v>
      </c>
    </row>
    <row r="1332" spans="2:5" ht="15.75" thickBot="1">
      <c r="B1332" s="225" t="s">
        <v>2578</v>
      </c>
      <c r="C1332" s="226">
        <v>524624</v>
      </c>
      <c r="D1332" s="225" t="s">
        <v>2579</v>
      </c>
      <c r="E1332" s="225" t="s">
        <v>2580</v>
      </c>
    </row>
    <row r="1333" spans="2:5" ht="15.75" thickBot="1">
      <c r="B1333" s="225" t="s">
        <v>2581</v>
      </c>
      <c r="C1333" s="226">
        <v>531196</v>
      </c>
      <c r="D1333" s="225" t="s">
        <v>597</v>
      </c>
      <c r="E1333" s="225" t="s">
        <v>619</v>
      </c>
    </row>
    <row r="1334" spans="2:5" ht="15.75" thickBot="1">
      <c r="B1334" s="225" t="s">
        <v>2582</v>
      </c>
      <c r="C1334" s="226">
        <v>531196</v>
      </c>
      <c r="D1334" s="225" t="s">
        <v>597</v>
      </c>
      <c r="E1334" s="225" t="s">
        <v>619</v>
      </c>
    </row>
    <row r="1335" spans="2:5" ht="15.75" thickBot="1">
      <c r="B1335" s="225" t="s">
        <v>2583</v>
      </c>
      <c r="C1335" s="226">
        <v>532155</v>
      </c>
      <c r="D1335" s="225" t="s">
        <v>2584</v>
      </c>
      <c r="E1335" s="225" t="s">
        <v>622</v>
      </c>
    </row>
    <row r="1336" spans="2:5" ht="15.75" thickBot="1">
      <c r="B1336" s="225" t="s">
        <v>2585</v>
      </c>
      <c r="C1336" s="226">
        <v>532155</v>
      </c>
      <c r="D1336" s="225" t="s">
        <v>2584</v>
      </c>
      <c r="E1336" s="225" t="s">
        <v>622</v>
      </c>
    </row>
    <row r="1337" spans="2:5" ht="15.75" thickBot="1">
      <c r="B1337" s="225" t="s">
        <v>2586</v>
      </c>
      <c r="C1337" s="226">
        <v>538609</v>
      </c>
      <c r="D1337" s="225" t="s">
        <v>597</v>
      </c>
      <c r="E1337" s="225" t="s">
        <v>580</v>
      </c>
    </row>
    <row r="1338" spans="2:5" ht="15.75" thickBot="1">
      <c r="B1338" s="225" t="s">
        <v>2587</v>
      </c>
      <c r="C1338" s="226">
        <v>505711</v>
      </c>
      <c r="D1338" s="225" t="s">
        <v>597</v>
      </c>
      <c r="E1338" s="225" t="s">
        <v>952</v>
      </c>
    </row>
    <row r="1339" spans="2:5" ht="15.75" thickBot="1">
      <c r="B1339" s="225" t="s">
        <v>2588</v>
      </c>
      <c r="C1339" s="226">
        <v>539228</v>
      </c>
      <c r="D1339" s="225" t="s">
        <v>597</v>
      </c>
      <c r="E1339" s="225" t="s">
        <v>2589</v>
      </c>
    </row>
    <row r="1340" spans="2:5" ht="15.75" thickBot="1">
      <c r="B1340" s="225" t="s">
        <v>2590</v>
      </c>
      <c r="C1340" s="226">
        <v>538881</v>
      </c>
      <c r="D1340" s="225" t="s">
        <v>597</v>
      </c>
      <c r="E1340" s="225" t="s">
        <v>614</v>
      </c>
    </row>
    <row r="1341" spans="2:5" ht="15.75" thickBot="1">
      <c r="B1341" s="225" t="s">
        <v>2591</v>
      </c>
      <c r="C1341" s="226">
        <v>504697</v>
      </c>
      <c r="D1341" s="225" t="s">
        <v>597</v>
      </c>
      <c r="E1341" s="225" t="s">
        <v>895</v>
      </c>
    </row>
    <row r="1342" spans="2:5" ht="15.75" thickBot="1">
      <c r="B1342" s="225" t="s">
        <v>2592</v>
      </c>
      <c r="C1342" s="226">
        <v>531911</v>
      </c>
      <c r="D1342" s="225" t="s">
        <v>597</v>
      </c>
      <c r="E1342" s="225" t="s">
        <v>605</v>
      </c>
    </row>
    <row r="1343" spans="2:5" ht="15.75" thickBot="1">
      <c r="B1343" s="225" t="s">
        <v>2593</v>
      </c>
      <c r="C1343" s="226">
        <v>526073</v>
      </c>
      <c r="D1343" s="225" t="s">
        <v>597</v>
      </c>
      <c r="E1343" s="225" t="s">
        <v>782</v>
      </c>
    </row>
    <row r="1344" spans="2:5" ht="15.75" thickBot="1">
      <c r="B1344" s="225" t="s">
        <v>2594</v>
      </c>
      <c r="C1344" s="226">
        <v>506186</v>
      </c>
      <c r="D1344" s="225" t="s">
        <v>597</v>
      </c>
      <c r="E1344" s="225" t="s">
        <v>600</v>
      </c>
    </row>
    <row r="1345" spans="2:5" ht="15.75" thickBot="1">
      <c r="B1345" s="225" t="s">
        <v>2595</v>
      </c>
      <c r="C1345" s="226">
        <v>540935</v>
      </c>
      <c r="D1345" s="225" t="s">
        <v>2596</v>
      </c>
      <c r="E1345" s="225" t="s">
        <v>757</v>
      </c>
    </row>
    <row r="1346" spans="2:5" ht="15.75" thickBot="1">
      <c r="B1346" s="225" t="s">
        <v>2597</v>
      </c>
      <c r="C1346" s="226">
        <v>533265</v>
      </c>
      <c r="D1346" s="225" t="s">
        <v>2598</v>
      </c>
      <c r="E1346" s="225" t="s">
        <v>629</v>
      </c>
    </row>
    <row r="1347" spans="2:5" ht="15.75" thickBot="1">
      <c r="B1347" s="225" t="s">
        <v>2599</v>
      </c>
      <c r="C1347" s="226">
        <v>532726</v>
      </c>
      <c r="D1347" s="225" t="s">
        <v>2600</v>
      </c>
      <c r="E1347" s="225" t="s">
        <v>629</v>
      </c>
    </row>
    <row r="1348" spans="2:5" ht="15.75" thickBot="1">
      <c r="B1348" s="225" t="s">
        <v>2601</v>
      </c>
      <c r="C1348" s="226">
        <v>531902</v>
      </c>
      <c r="D1348" s="225" t="s">
        <v>2602</v>
      </c>
      <c r="E1348" s="225" t="s">
        <v>683</v>
      </c>
    </row>
    <row r="1349" spans="2:5" ht="15.75" thickBot="1">
      <c r="B1349" s="225" t="s">
        <v>2603</v>
      </c>
      <c r="C1349" s="226">
        <v>532959</v>
      </c>
      <c r="D1349" s="225" t="s">
        <v>2604</v>
      </c>
      <c r="E1349" s="225" t="s">
        <v>995</v>
      </c>
    </row>
    <row r="1350" spans="2:5" ht="15.75" thickBot="1">
      <c r="B1350" s="225" t="s">
        <v>2605</v>
      </c>
      <c r="C1350" s="226">
        <v>513108</v>
      </c>
      <c r="D1350" s="225" t="s">
        <v>2606</v>
      </c>
      <c r="E1350" s="225" t="s">
        <v>920</v>
      </c>
    </row>
    <row r="1351" spans="2:5" ht="15.75" thickBot="1">
      <c r="B1351" s="225" t="s">
        <v>2607</v>
      </c>
      <c r="C1351" s="226">
        <v>500153</v>
      </c>
      <c r="D1351" s="225" t="s">
        <v>597</v>
      </c>
      <c r="E1351" s="225" t="s">
        <v>645</v>
      </c>
    </row>
    <row r="1352" spans="2:5" ht="15.75" thickBot="1">
      <c r="B1352" s="225" t="s">
        <v>2608</v>
      </c>
      <c r="C1352" s="226">
        <v>541703</v>
      </c>
      <c r="D1352" s="225" t="s">
        <v>597</v>
      </c>
      <c r="E1352" s="225" t="s">
        <v>598</v>
      </c>
    </row>
    <row r="1353" spans="2:5" ht="15.75" thickBot="1">
      <c r="B1353" s="225" t="s">
        <v>2609</v>
      </c>
      <c r="C1353" s="226">
        <v>541703</v>
      </c>
      <c r="D1353" s="225" t="s">
        <v>597</v>
      </c>
      <c r="E1353" s="225" t="s">
        <v>598</v>
      </c>
    </row>
    <row r="1354" spans="2:5" ht="15.75" thickBot="1">
      <c r="B1354" s="225" t="s">
        <v>2610</v>
      </c>
      <c r="C1354" s="226">
        <v>504397</v>
      </c>
      <c r="D1354" s="225" t="s">
        <v>597</v>
      </c>
      <c r="E1354" s="225" t="s">
        <v>1018</v>
      </c>
    </row>
    <row r="1355" spans="2:5" ht="15.75" thickBot="1">
      <c r="B1355" s="225" t="s">
        <v>2611</v>
      </c>
      <c r="C1355" s="226">
        <v>526367</v>
      </c>
      <c r="D1355" s="225" t="s">
        <v>2612</v>
      </c>
      <c r="E1355" s="225" t="s">
        <v>683</v>
      </c>
    </row>
    <row r="1356" spans="2:5" ht="15.75" thickBot="1">
      <c r="B1356" s="225" t="s">
        <v>2613</v>
      </c>
      <c r="C1356" s="226">
        <v>514167</v>
      </c>
      <c r="D1356" s="225" t="s">
        <v>2614</v>
      </c>
      <c r="E1356" s="225" t="s">
        <v>1018</v>
      </c>
    </row>
    <row r="1357" spans="2:5" ht="15.75" thickBot="1">
      <c r="B1357" s="225" t="s">
        <v>2615</v>
      </c>
      <c r="C1357" s="225" t="s">
        <v>597</v>
      </c>
      <c r="D1357" s="225" t="s">
        <v>2616</v>
      </c>
      <c r="E1357" s="225" t="s">
        <v>608</v>
      </c>
    </row>
    <row r="1358" spans="2:5" ht="15.75" thickBot="1">
      <c r="B1358" s="225" t="s">
        <v>2617</v>
      </c>
      <c r="C1358" s="226">
        <v>531813</v>
      </c>
      <c r="D1358" s="225" t="s">
        <v>597</v>
      </c>
      <c r="E1358" s="225" t="s">
        <v>591</v>
      </c>
    </row>
    <row r="1359" spans="2:5" ht="15.75" thickBot="1">
      <c r="B1359" s="225" t="s">
        <v>2618</v>
      </c>
      <c r="C1359" s="226">
        <v>531813</v>
      </c>
      <c r="D1359" s="225" t="s">
        <v>597</v>
      </c>
      <c r="E1359" s="225" t="s">
        <v>591</v>
      </c>
    </row>
    <row r="1360" spans="2:5" ht="15.75" thickBot="1">
      <c r="B1360" s="225" t="s">
        <v>2619</v>
      </c>
      <c r="C1360" s="226">
        <v>539680</v>
      </c>
      <c r="D1360" s="225" t="s">
        <v>597</v>
      </c>
      <c r="E1360" s="225" t="s">
        <v>635</v>
      </c>
    </row>
    <row r="1361" spans="2:5" ht="15.75" thickBot="1">
      <c r="B1361" s="225" t="s">
        <v>2620</v>
      </c>
      <c r="C1361" s="226">
        <v>540647</v>
      </c>
      <c r="D1361" s="225" t="s">
        <v>2621</v>
      </c>
      <c r="E1361" s="225" t="s">
        <v>617</v>
      </c>
    </row>
    <row r="1362" spans="2:5" ht="15.75" thickBot="1">
      <c r="B1362" s="225" t="s">
        <v>2622</v>
      </c>
      <c r="C1362" s="226">
        <v>521176</v>
      </c>
      <c r="D1362" s="225" t="s">
        <v>2623</v>
      </c>
      <c r="E1362" s="225" t="s">
        <v>612</v>
      </c>
    </row>
    <row r="1363" spans="2:5" ht="15.75" thickBot="1">
      <c r="B1363" s="225" t="s">
        <v>2624</v>
      </c>
      <c r="C1363" s="226">
        <v>512443</v>
      </c>
      <c r="D1363" s="225" t="s">
        <v>597</v>
      </c>
      <c r="E1363" s="225" t="s">
        <v>619</v>
      </c>
    </row>
    <row r="1364" spans="2:5" ht="15.75" thickBot="1">
      <c r="B1364" s="225" t="s">
        <v>2625</v>
      </c>
      <c r="C1364" s="226">
        <v>539492</v>
      </c>
      <c r="D1364" s="225" t="s">
        <v>597</v>
      </c>
      <c r="E1364" s="225" t="s">
        <v>614</v>
      </c>
    </row>
    <row r="1365" spans="2:5" ht="15.75" thickBot="1">
      <c r="B1365" s="225" t="s">
        <v>2626</v>
      </c>
      <c r="C1365" s="226">
        <v>542011</v>
      </c>
      <c r="D1365" s="225" t="s">
        <v>2627</v>
      </c>
      <c r="E1365" s="225" t="s">
        <v>675</v>
      </c>
    </row>
    <row r="1366" spans="2:5" ht="15.75" thickBot="1">
      <c r="B1366" s="225" t="s">
        <v>2628</v>
      </c>
      <c r="C1366" s="226">
        <v>500155</v>
      </c>
      <c r="D1366" s="225" t="s">
        <v>2629</v>
      </c>
      <c r="E1366" s="225" t="s">
        <v>612</v>
      </c>
    </row>
    <row r="1367" spans="2:5" ht="15.75" thickBot="1">
      <c r="B1367" s="225" t="s">
        <v>2630</v>
      </c>
      <c r="C1367" s="226">
        <v>530615</v>
      </c>
      <c r="D1367" s="225" t="s">
        <v>597</v>
      </c>
      <c r="E1367" s="225" t="s">
        <v>629</v>
      </c>
    </row>
    <row r="1368" spans="2:5" ht="15.75" thickBot="1">
      <c r="B1368" s="225" t="s">
        <v>2631</v>
      </c>
      <c r="C1368" s="226">
        <v>526727</v>
      </c>
      <c r="D1368" s="225" t="s">
        <v>597</v>
      </c>
      <c r="E1368" s="225" t="s">
        <v>995</v>
      </c>
    </row>
    <row r="1369" spans="2:5" ht="15.75" thickBot="1">
      <c r="B1369" s="225" t="s">
        <v>2632</v>
      </c>
      <c r="C1369" s="226">
        <v>512493</v>
      </c>
      <c r="D1369" s="225" t="s">
        <v>597</v>
      </c>
      <c r="E1369" s="225" t="s">
        <v>580</v>
      </c>
    </row>
    <row r="1370" spans="2:5" ht="15.75" thickBot="1">
      <c r="B1370" s="225" t="s">
        <v>2633</v>
      </c>
      <c r="C1370" s="226">
        <v>530161</v>
      </c>
      <c r="D1370" s="225" t="s">
        <v>597</v>
      </c>
      <c r="E1370" s="225" t="s">
        <v>619</v>
      </c>
    </row>
    <row r="1371" spans="2:5" ht="15.75" thickBot="1">
      <c r="B1371" s="225" t="s">
        <v>2634</v>
      </c>
      <c r="C1371" s="226">
        <v>541276</v>
      </c>
      <c r="D1371" s="225" t="s">
        <v>597</v>
      </c>
      <c r="E1371" s="225" t="s">
        <v>619</v>
      </c>
    </row>
    <row r="1372" spans="2:5" ht="15.75" thickBot="1">
      <c r="B1372" s="225" t="s">
        <v>2635</v>
      </c>
      <c r="C1372" s="226">
        <v>509563</v>
      </c>
      <c r="D1372" s="225" t="s">
        <v>597</v>
      </c>
      <c r="E1372" s="225" t="s">
        <v>612</v>
      </c>
    </row>
    <row r="1373" spans="2:5" ht="15.75" thickBot="1">
      <c r="B1373" s="225" t="s">
        <v>2636</v>
      </c>
      <c r="C1373" s="226">
        <v>500655</v>
      </c>
      <c r="D1373" s="225" t="s">
        <v>597</v>
      </c>
      <c r="E1373" s="225" t="s">
        <v>645</v>
      </c>
    </row>
    <row r="1374" spans="2:5" ht="15.75" thickBot="1">
      <c r="B1374" s="225" t="s">
        <v>2637</v>
      </c>
      <c r="C1374" s="226">
        <v>514400</v>
      </c>
      <c r="D1374" s="225" t="s">
        <v>597</v>
      </c>
      <c r="E1374" s="225" t="s">
        <v>619</v>
      </c>
    </row>
    <row r="1375" spans="2:5" ht="15.75" thickBot="1">
      <c r="B1375" s="225" t="s">
        <v>2638</v>
      </c>
      <c r="C1375" s="226">
        <v>509557</v>
      </c>
      <c r="D1375" s="225" t="s">
        <v>2639</v>
      </c>
      <c r="E1375" s="225" t="s">
        <v>612</v>
      </c>
    </row>
    <row r="1376" spans="2:5" ht="15.75" thickBot="1">
      <c r="B1376" s="225" t="s">
        <v>2640</v>
      </c>
      <c r="C1376" s="226">
        <v>532622</v>
      </c>
      <c r="D1376" s="225" t="s">
        <v>2641</v>
      </c>
      <c r="E1376" s="225" t="s">
        <v>918</v>
      </c>
    </row>
    <row r="1377" spans="2:5" ht="15.75" thickBot="1">
      <c r="B1377" s="225" t="s">
        <v>2642</v>
      </c>
      <c r="C1377" s="226">
        <v>532345</v>
      </c>
      <c r="D1377" s="225" t="s">
        <v>2643</v>
      </c>
      <c r="E1377" s="225" t="s">
        <v>918</v>
      </c>
    </row>
    <row r="1378" spans="2:5" ht="15.75" thickBot="1">
      <c r="B1378" s="225" t="s">
        <v>2644</v>
      </c>
      <c r="C1378" s="226">
        <v>539515</v>
      </c>
      <c r="D1378" s="225" t="s">
        <v>597</v>
      </c>
      <c r="E1378" s="225" t="s">
        <v>619</v>
      </c>
    </row>
    <row r="1379" spans="2:5" ht="15.75" thickBot="1">
      <c r="B1379" s="225" t="s">
        <v>2645</v>
      </c>
      <c r="C1379" s="226">
        <v>540613</v>
      </c>
      <c r="D1379" s="225" t="s">
        <v>597</v>
      </c>
      <c r="E1379" s="225" t="s">
        <v>619</v>
      </c>
    </row>
    <row r="1380" spans="2:5" ht="15.75" thickBot="1">
      <c r="B1380" s="225" t="s">
        <v>2646</v>
      </c>
      <c r="C1380" s="226">
        <v>540936</v>
      </c>
      <c r="D1380" s="225" t="s">
        <v>597</v>
      </c>
      <c r="E1380" s="225" t="s">
        <v>619</v>
      </c>
    </row>
    <row r="1381" spans="2:5" ht="15.75" thickBot="1">
      <c r="B1381" s="225" t="s">
        <v>2647</v>
      </c>
      <c r="C1381" s="226">
        <v>524564</v>
      </c>
      <c r="D1381" s="225" t="s">
        <v>597</v>
      </c>
      <c r="E1381" s="225" t="s">
        <v>645</v>
      </c>
    </row>
    <row r="1382" spans="2:5" ht="15.75" thickBot="1">
      <c r="B1382" s="225" t="s">
        <v>2648</v>
      </c>
      <c r="C1382" s="226">
        <v>541546</v>
      </c>
      <c r="D1382" s="225" t="s">
        <v>2649</v>
      </c>
      <c r="E1382" s="225" t="s">
        <v>995</v>
      </c>
    </row>
    <row r="1383" spans="2:5" ht="15.75" thickBot="1">
      <c r="B1383" s="225" t="s">
        <v>2650</v>
      </c>
      <c r="C1383" s="226">
        <v>532767</v>
      </c>
      <c r="D1383" s="225" t="s">
        <v>2651</v>
      </c>
      <c r="E1383" s="225" t="s">
        <v>995</v>
      </c>
    </row>
    <row r="1384" spans="2:5" ht="15.75" thickBot="1">
      <c r="B1384" s="225" t="s">
        <v>2652</v>
      </c>
      <c r="C1384" s="226">
        <v>532183</v>
      </c>
      <c r="D1384" s="225" t="s">
        <v>597</v>
      </c>
      <c r="E1384" s="225" t="s">
        <v>1296</v>
      </c>
    </row>
    <row r="1385" spans="2:5" ht="15.75" thickBot="1">
      <c r="B1385" s="225" t="s">
        <v>2653</v>
      </c>
      <c r="C1385" s="226">
        <v>539009</v>
      </c>
      <c r="D1385" s="225" t="s">
        <v>597</v>
      </c>
      <c r="E1385" s="225" t="s">
        <v>995</v>
      </c>
    </row>
    <row r="1386" spans="2:5" ht="15.75" thickBot="1">
      <c r="B1386" s="225" t="s">
        <v>2654</v>
      </c>
      <c r="C1386" s="226">
        <v>538319</v>
      </c>
      <c r="D1386" s="225" t="s">
        <v>597</v>
      </c>
      <c r="E1386" s="225" t="s">
        <v>580</v>
      </c>
    </row>
    <row r="1387" spans="2:5" ht="15.75" thickBot="1">
      <c r="B1387" s="225" t="s">
        <v>2655</v>
      </c>
      <c r="C1387" s="226">
        <v>535917</v>
      </c>
      <c r="D1387" s="225" t="s">
        <v>597</v>
      </c>
      <c r="E1387" s="225" t="s">
        <v>580</v>
      </c>
    </row>
    <row r="1388" spans="2:5" ht="15.75" thickBot="1">
      <c r="B1388" s="225" t="s">
        <v>2656</v>
      </c>
      <c r="C1388" s="226">
        <v>535431</v>
      </c>
      <c r="D1388" s="225" t="s">
        <v>597</v>
      </c>
      <c r="E1388" s="225" t="s">
        <v>580</v>
      </c>
    </row>
    <row r="1389" spans="2:5" ht="15.75" thickBot="1">
      <c r="B1389" s="225" t="s">
        <v>2657</v>
      </c>
      <c r="C1389" s="226">
        <v>530855</v>
      </c>
      <c r="D1389" s="225" t="s">
        <v>597</v>
      </c>
      <c r="E1389" s="225" t="s">
        <v>614</v>
      </c>
    </row>
    <row r="1390" spans="2:5" ht="15.75" thickBot="1">
      <c r="B1390" s="225" t="s">
        <v>2658</v>
      </c>
      <c r="C1390" s="226">
        <v>532309</v>
      </c>
      <c r="D1390" s="225" t="s">
        <v>2659</v>
      </c>
      <c r="E1390" s="225" t="s">
        <v>640</v>
      </c>
    </row>
    <row r="1391" spans="2:5" ht="15.75" thickBot="1">
      <c r="B1391" s="225" t="s">
        <v>2660</v>
      </c>
      <c r="C1391" s="226">
        <v>532309</v>
      </c>
      <c r="D1391" s="225" t="s">
        <v>2659</v>
      </c>
      <c r="E1391" s="225" t="s">
        <v>640</v>
      </c>
    </row>
    <row r="1392" spans="2:5" ht="15.75" thickBot="1">
      <c r="B1392" s="225" t="s">
        <v>2661</v>
      </c>
      <c r="C1392" s="226">
        <v>522275</v>
      </c>
      <c r="D1392" s="225" t="s">
        <v>2662</v>
      </c>
      <c r="E1392" s="225" t="s">
        <v>736</v>
      </c>
    </row>
    <row r="1393" spans="2:5" ht="15.75" thickBot="1">
      <c r="B1393" s="225" t="s">
        <v>2663</v>
      </c>
      <c r="C1393" s="226">
        <v>522275</v>
      </c>
      <c r="D1393" s="225" t="s">
        <v>2662</v>
      </c>
      <c r="E1393" s="225" t="s">
        <v>736</v>
      </c>
    </row>
    <row r="1394" spans="2:5" ht="15.75" thickBot="1">
      <c r="B1394" s="225" t="s">
        <v>2664</v>
      </c>
      <c r="C1394" s="226">
        <v>504028</v>
      </c>
      <c r="D1394" s="225" t="s">
        <v>597</v>
      </c>
      <c r="E1394" s="225" t="s">
        <v>782</v>
      </c>
    </row>
    <row r="1395" spans="2:5" ht="15.75" thickBot="1">
      <c r="B1395" s="225" t="s">
        <v>2665</v>
      </c>
      <c r="C1395" s="226">
        <v>532764</v>
      </c>
      <c r="D1395" s="225" t="s">
        <v>2666</v>
      </c>
      <c r="E1395" s="225" t="s">
        <v>683</v>
      </c>
    </row>
    <row r="1396" spans="2:5" ht="15.75" thickBot="1">
      <c r="B1396" s="225" t="s">
        <v>2667</v>
      </c>
      <c r="C1396" s="226">
        <v>530389</v>
      </c>
      <c r="D1396" s="225" t="s">
        <v>597</v>
      </c>
      <c r="E1396" s="225" t="s">
        <v>617</v>
      </c>
    </row>
    <row r="1397" spans="2:5" ht="15.75" thickBot="1">
      <c r="B1397" s="225" t="s">
        <v>2668</v>
      </c>
      <c r="C1397" s="225" t="s">
        <v>597</v>
      </c>
      <c r="D1397" s="225" t="s">
        <v>2669</v>
      </c>
      <c r="E1397" s="225" t="s">
        <v>608</v>
      </c>
    </row>
    <row r="1398" spans="2:5" ht="15.75" thickBot="1">
      <c r="B1398" s="225" t="s">
        <v>2670</v>
      </c>
      <c r="C1398" s="226">
        <v>539486</v>
      </c>
      <c r="D1398" s="225" t="s">
        <v>597</v>
      </c>
      <c r="E1398" s="225" t="s">
        <v>614</v>
      </c>
    </row>
    <row r="1399" spans="2:5" ht="15.75" thickBot="1">
      <c r="B1399" s="225" t="s">
        <v>2671</v>
      </c>
      <c r="C1399" s="226">
        <v>521133</v>
      </c>
      <c r="D1399" s="225" t="s">
        <v>597</v>
      </c>
      <c r="E1399" s="225" t="s">
        <v>612</v>
      </c>
    </row>
    <row r="1400" spans="2:5" ht="15.75" thickBot="1">
      <c r="B1400" s="225" t="s">
        <v>2672</v>
      </c>
      <c r="C1400" s="226">
        <v>521133</v>
      </c>
      <c r="D1400" s="225" t="s">
        <v>597</v>
      </c>
      <c r="E1400" s="225" t="s">
        <v>612</v>
      </c>
    </row>
    <row r="1401" spans="2:5" ht="15.75" thickBot="1">
      <c r="B1401" s="225" t="s">
        <v>2673</v>
      </c>
      <c r="C1401" s="226">
        <v>532318</v>
      </c>
      <c r="D1401" s="225" t="s">
        <v>2674</v>
      </c>
      <c r="E1401" s="225" t="s">
        <v>2223</v>
      </c>
    </row>
    <row r="1402" spans="2:5" ht="15.75" thickBot="1">
      <c r="B1402" s="225" t="s">
        <v>2675</v>
      </c>
      <c r="C1402" s="226">
        <v>531137</v>
      </c>
      <c r="D1402" s="225" t="s">
        <v>597</v>
      </c>
      <c r="E1402" s="225" t="s">
        <v>1018</v>
      </c>
    </row>
    <row r="1403" spans="2:5" ht="15.75" thickBot="1">
      <c r="B1403" s="225" t="s">
        <v>2676</v>
      </c>
      <c r="C1403" s="226">
        <v>541999</v>
      </c>
      <c r="D1403" s="225" t="s">
        <v>597</v>
      </c>
      <c r="E1403" s="225" t="s">
        <v>795</v>
      </c>
    </row>
    <row r="1404" spans="2:5" ht="15.75" thickBot="1">
      <c r="B1404" s="225" t="s">
        <v>2677</v>
      </c>
      <c r="C1404" s="226">
        <v>540755</v>
      </c>
      <c r="D1404" s="225" t="s">
        <v>2678</v>
      </c>
      <c r="E1404" s="225" t="s">
        <v>2679</v>
      </c>
    </row>
    <row r="1405" spans="2:5" ht="15.75" thickBot="1">
      <c r="B1405" s="225" t="s">
        <v>2680</v>
      </c>
      <c r="C1405" s="226">
        <v>539407</v>
      </c>
      <c r="D1405" s="225" t="s">
        <v>597</v>
      </c>
      <c r="E1405" s="225" t="s">
        <v>995</v>
      </c>
    </row>
    <row r="1406" spans="2:5" ht="15.75" thickBot="1">
      <c r="B1406" s="225" t="s">
        <v>2681</v>
      </c>
      <c r="C1406" s="226">
        <v>514336</v>
      </c>
      <c r="D1406" s="225" t="s">
        <v>597</v>
      </c>
      <c r="E1406" s="225" t="s">
        <v>935</v>
      </c>
    </row>
    <row r="1407" spans="2:5" ht="15.75" thickBot="1">
      <c r="B1407" s="225" t="s">
        <v>2682</v>
      </c>
      <c r="C1407" s="226">
        <v>514336</v>
      </c>
      <c r="D1407" s="225" t="s">
        <v>597</v>
      </c>
      <c r="E1407" s="225" t="s">
        <v>935</v>
      </c>
    </row>
    <row r="1408" spans="2:5" ht="15.75" thickBot="1">
      <c r="B1408" s="225" t="s">
        <v>2683</v>
      </c>
      <c r="C1408" s="226">
        <v>506109</v>
      </c>
      <c r="D1408" s="225" t="s">
        <v>2684</v>
      </c>
      <c r="E1408" s="225" t="s">
        <v>690</v>
      </c>
    </row>
    <row r="1409" spans="2:5" ht="15.75" thickBot="1">
      <c r="B1409" s="225" t="s">
        <v>2685</v>
      </c>
      <c r="C1409" s="226">
        <v>531739</v>
      </c>
      <c r="D1409" s="225" t="s">
        <v>597</v>
      </c>
      <c r="E1409" s="225" t="s">
        <v>635</v>
      </c>
    </row>
    <row r="1410" spans="2:5" ht="15.75" thickBot="1">
      <c r="B1410" s="225" t="s">
        <v>2686</v>
      </c>
      <c r="C1410" s="226">
        <v>539206</v>
      </c>
      <c r="D1410" s="225" t="s">
        <v>597</v>
      </c>
      <c r="E1410" s="225" t="s">
        <v>935</v>
      </c>
    </row>
    <row r="1411" spans="2:5" ht="15.75" thickBot="1">
      <c r="B1411" s="225" t="s">
        <v>2687</v>
      </c>
      <c r="C1411" s="226">
        <v>538961</v>
      </c>
      <c r="D1411" s="225" t="s">
        <v>2688</v>
      </c>
      <c r="E1411" s="225" t="s">
        <v>591</v>
      </c>
    </row>
    <row r="1412" spans="2:5" ht="15.75" thickBot="1">
      <c r="B1412" s="225" t="s">
        <v>2689</v>
      </c>
      <c r="C1412" s="226">
        <v>530343</v>
      </c>
      <c r="D1412" s="225" t="s">
        <v>2690</v>
      </c>
      <c r="E1412" s="225" t="s">
        <v>895</v>
      </c>
    </row>
    <row r="1413" spans="2:5" ht="15.75" thickBot="1">
      <c r="B1413" s="225" t="s">
        <v>2691</v>
      </c>
      <c r="C1413" s="226">
        <v>532285</v>
      </c>
      <c r="D1413" s="225" t="s">
        <v>2692</v>
      </c>
      <c r="E1413" s="225" t="s">
        <v>580</v>
      </c>
    </row>
    <row r="1414" spans="2:5" ht="15.75" thickBot="1">
      <c r="B1414" s="225" t="s">
        <v>2693</v>
      </c>
      <c r="C1414" s="226">
        <v>500171</v>
      </c>
      <c r="D1414" s="225" t="s">
        <v>2694</v>
      </c>
      <c r="E1414" s="225" t="s">
        <v>645</v>
      </c>
    </row>
    <row r="1415" spans="2:5" ht="15.75" thickBot="1">
      <c r="B1415" s="225" t="s">
        <v>2695</v>
      </c>
      <c r="C1415" s="226">
        <v>533048</v>
      </c>
      <c r="D1415" s="225" t="s">
        <v>2696</v>
      </c>
      <c r="E1415" s="225" t="s">
        <v>995</v>
      </c>
    </row>
    <row r="1416" spans="2:5" ht="15.75" thickBot="1">
      <c r="B1416" s="225" t="s">
        <v>2697</v>
      </c>
      <c r="C1416" s="226">
        <v>511676</v>
      </c>
      <c r="D1416" s="225" t="s">
        <v>2698</v>
      </c>
      <c r="E1416" s="225" t="s">
        <v>655</v>
      </c>
    </row>
    <row r="1417" spans="2:5" ht="15.75" thickBot="1">
      <c r="B1417" s="225" t="s">
        <v>2699</v>
      </c>
      <c r="C1417" s="226">
        <v>538788</v>
      </c>
      <c r="D1417" s="225" t="s">
        <v>597</v>
      </c>
      <c r="E1417" s="225" t="s">
        <v>614</v>
      </c>
    </row>
    <row r="1418" spans="2:5" ht="15.75" thickBot="1">
      <c r="B1418" s="225" t="s">
        <v>2700</v>
      </c>
      <c r="C1418" s="226">
        <v>532716</v>
      </c>
      <c r="D1418" s="225" t="s">
        <v>2701</v>
      </c>
      <c r="E1418" s="225" t="s">
        <v>586</v>
      </c>
    </row>
    <row r="1419" spans="2:5" ht="15.75" thickBot="1">
      <c r="B1419" s="225" t="s">
        <v>2702</v>
      </c>
      <c r="C1419" s="226">
        <v>507815</v>
      </c>
      <c r="D1419" s="225" t="s">
        <v>2703</v>
      </c>
      <c r="E1419" s="225" t="s">
        <v>779</v>
      </c>
    </row>
    <row r="1420" spans="2:5" ht="15.75" thickBot="1">
      <c r="B1420" s="225" t="s">
        <v>2704</v>
      </c>
      <c r="C1420" s="226">
        <v>507815</v>
      </c>
      <c r="D1420" s="225" t="s">
        <v>2703</v>
      </c>
      <c r="E1420" s="225" t="s">
        <v>779</v>
      </c>
    </row>
    <row r="1421" spans="2:5" ht="15.75" thickBot="1">
      <c r="B1421" s="225" t="s">
        <v>2705</v>
      </c>
      <c r="C1421" s="226">
        <v>531744</v>
      </c>
      <c r="D1421" s="225" t="s">
        <v>597</v>
      </c>
      <c r="E1421" s="225" t="s">
        <v>619</v>
      </c>
    </row>
    <row r="1422" spans="2:5" ht="15.75" thickBot="1">
      <c r="B1422" s="225" t="s">
        <v>2706</v>
      </c>
      <c r="C1422" s="226">
        <v>590025</v>
      </c>
      <c r="D1422" s="225" t="s">
        <v>2707</v>
      </c>
      <c r="E1422" s="225" t="s">
        <v>612</v>
      </c>
    </row>
    <row r="1423" spans="2:5" ht="15.75" thickBot="1">
      <c r="B1423" s="225" t="s">
        <v>2708</v>
      </c>
      <c r="C1423" s="226">
        <v>507506</v>
      </c>
      <c r="D1423" s="225" t="s">
        <v>597</v>
      </c>
      <c r="E1423" s="225" t="s">
        <v>1296</v>
      </c>
    </row>
    <row r="1424" spans="2:5" ht="15.75" thickBot="1">
      <c r="B1424" s="225" t="s">
        <v>2709</v>
      </c>
      <c r="C1424" s="225" t="s">
        <v>597</v>
      </c>
      <c r="D1424" s="225" t="s">
        <v>2710</v>
      </c>
      <c r="E1424" s="225" t="s">
        <v>608</v>
      </c>
    </row>
    <row r="1425" spans="2:5" ht="15.75" thickBot="1">
      <c r="B1425" s="225" t="s">
        <v>2711</v>
      </c>
      <c r="C1425" s="226">
        <v>539013</v>
      </c>
      <c r="D1425" s="225" t="s">
        <v>597</v>
      </c>
      <c r="E1425" s="225" t="s">
        <v>736</v>
      </c>
    </row>
    <row r="1426" spans="2:5" ht="15.75" thickBot="1">
      <c r="B1426" s="225" t="s">
        <v>2712</v>
      </c>
      <c r="C1426" s="226">
        <v>533212</v>
      </c>
      <c r="D1426" s="225" t="s">
        <v>597</v>
      </c>
      <c r="E1426" s="225" t="s">
        <v>786</v>
      </c>
    </row>
    <row r="1427" spans="2:5" ht="15.75" thickBot="1">
      <c r="B1427" s="225" t="s">
        <v>2713</v>
      </c>
      <c r="C1427" s="225" t="s">
        <v>597</v>
      </c>
      <c r="D1427" s="225" t="s">
        <v>2714</v>
      </c>
      <c r="E1427" s="225" t="s">
        <v>688</v>
      </c>
    </row>
    <row r="1428" spans="2:5" ht="15.75" thickBot="1">
      <c r="B1428" s="225" t="s">
        <v>2715</v>
      </c>
      <c r="C1428" s="226">
        <v>531199</v>
      </c>
      <c r="D1428" s="225" t="s">
        <v>597</v>
      </c>
      <c r="E1428" s="225" t="s">
        <v>614</v>
      </c>
    </row>
    <row r="1429" spans="2:5" ht="15.75" thickBot="1">
      <c r="B1429" s="225" t="s">
        <v>2716</v>
      </c>
      <c r="C1429" s="226">
        <v>500676</v>
      </c>
      <c r="D1429" s="225" t="s">
        <v>2717</v>
      </c>
      <c r="E1429" s="225" t="s">
        <v>657</v>
      </c>
    </row>
    <row r="1430" spans="2:5" ht="15.75" thickBot="1">
      <c r="B1430" s="225" t="s">
        <v>2718</v>
      </c>
      <c r="C1430" s="226">
        <v>500660</v>
      </c>
      <c r="D1430" s="225" t="s">
        <v>2719</v>
      </c>
      <c r="E1430" s="225" t="s">
        <v>635</v>
      </c>
    </row>
    <row r="1431" spans="2:5" ht="15.75" thickBot="1">
      <c r="B1431" s="225" t="s">
        <v>2720</v>
      </c>
      <c r="C1431" s="226">
        <v>542477</v>
      </c>
      <c r="D1431" s="225" t="s">
        <v>2721</v>
      </c>
      <c r="E1431" s="225" t="s">
        <v>963</v>
      </c>
    </row>
    <row r="1432" spans="2:5" ht="15.75" thickBot="1">
      <c r="B1432" s="225" t="s">
        <v>2722</v>
      </c>
      <c r="C1432" s="226">
        <v>532296</v>
      </c>
      <c r="D1432" s="225" t="s">
        <v>2723</v>
      </c>
      <c r="E1432" s="225" t="s">
        <v>635</v>
      </c>
    </row>
    <row r="1433" spans="2:5" ht="15.75" thickBot="1">
      <c r="B1433" s="225" t="s">
        <v>2724</v>
      </c>
      <c r="C1433" s="226">
        <v>513528</v>
      </c>
      <c r="D1433" s="225" t="s">
        <v>597</v>
      </c>
      <c r="E1433" s="225" t="s">
        <v>1125</v>
      </c>
    </row>
    <row r="1434" spans="2:5" ht="15.75" thickBot="1">
      <c r="B1434" s="225" t="s">
        <v>2725</v>
      </c>
      <c r="C1434" s="226">
        <v>530263</v>
      </c>
      <c r="D1434" s="225" t="s">
        <v>597</v>
      </c>
      <c r="E1434" s="225" t="s">
        <v>614</v>
      </c>
    </row>
    <row r="1435" spans="2:5" ht="15.75" thickBot="1">
      <c r="B1435" s="225" t="s">
        <v>2726</v>
      </c>
      <c r="C1435" s="225" t="s">
        <v>597</v>
      </c>
      <c r="D1435" s="225" t="s">
        <v>2727</v>
      </c>
      <c r="E1435" s="225" t="s">
        <v>608</v>
      </c>
    </row>
    <row r="1436" spans="2:5" ht="15.75" thickBot="1">
      <c r="B1436" s="225" t="s">
        <v>2728</v>
      </c>
      <c r="C1436" s="226">
        <v>531463</v>
      </c>
      <c r="D1436" s="225" t="s">
        <v>597</v>
      </c>
      <c r="E1436" s="225" t="s">
        <v>1018</v>
      </c>
    </row>
    <row r="1437" spans="2:5" ht="15.75" thickBot="1">
      <c r="B1437" s="225" t="s">
        <v>2729</v>
      </c>
      <c r="C1437" s="226">
        <v>531479</v>
      </c>
      <c r="D1437" s="225" t="s">
        <v>597</v>
      </c>
      <c r="E1437" s="225" t="s">
        <v>683</v>
      </c>
    </row>
    <row r="1438" spans="2:5" ht="15.75" thickBot="1">
      <c r="B1438" s="225" t="s">
        <v>2730</v>
      </c>
      <c r="C1438" s="226">
        <v>501848</v>
      </c>
      <c r="D1438" s="225" t="s">
        <v>2731</v>
      </c>
      <c r="E1438" s="225" t="s">
        <v>1844</v>
      </c>
    </row>
    <row r="1439" spans="2:5" ht="15.75" thickBot="1">
      <c r="B1439" s="225" t="s">
        <v>2732</v>
      </c>
      <c r="C1439" s="226">
        <v>532773</v>
      </c>
      <c r="D1439" s="225" t="s">
        <v>2733</v>
      </c>
      <c r="E1439" s="225" t="s">
        <v>2734</v>
      </c>
    </row>
    <row r="1440" spans="2:5" ht="15.75" thickBot="1">
      <c r="B1440" s="225" t="s">
        <v>2735</v>
      </c>
      <c r="C1440" s="226">
        <v>540654</v>
      </c>
      <c r="D1440" s="225" t="s">
        <v>597</v>
      </c>
      <c r="E1440" s="225" t="s">
        <v>583</v>
      </c>
    </row>
    <row r="1441" spans="2:5" ht="15.75" thickBot="1">
      <c r="B1441" s="225" t="s">
        <v>2736</v>
      </c>
      <c r="C1441" s="226">
        <v>540266</v>
      </c>
      <c r="D1441" s="225" t="s">
        <v>597</v>
      </c>
      <c r="E1441" s="225" t="s">
        <v>619</v>
      </c>
    </row>
    <row r="1442" spans="2:5" ht="15.75" thickBot="1">
      <c r="B1442" s="225" t="s">
        <v>2737</v>
      </c>
      <c r="C1442" s="225" t="s">
        <v>597</v>
      </c>
      <c r="D1442" s="225" t="s">
        <v>2738</v>
      </c>
      <c r="E1442" s="225" t="s">
        <v>608</v>
      </c>
    </row>
    <row r="1443" spans="2:5" ht="15.75" thickBot="1">
      <c r="B1443" s="225" t="s">
        <v>2739</v>
      </c>
      <c r="C1443" s="225" t="s">
        <v>597</v>
      </c>
      <c r="D1443" s="225" t="s">
        <v>2740</v>
      </c>
      <c r="E1443" s="225" t="s">
        <v>608</v>
      </c>
    </row>
    <row r="1444" spans="2:5" ht="15.75" thickBot="1">
      <c r="B1444" s="225" t="s">
        <v>2741</v>
      </c>
      <c r="C1444" s="225" t="s">
        <v>597</v>
      </c>
      <c r="D1444" s="225" t="s">
        <v>2740</v>
      </c>
      <c r="E1444" s="225" t="s">
        <v>608</v>
      </c>
    </row>
    <row r="1445" spans="2:5" ht="15.75" thickBot="1">
      <c r="B1445" s="225" t="s">
        <v>2742</v>
      </c>
      <c r="C1445" s="226">
        <v>526025</v>
      </c>
      <c r="D1445" s="225" t="s">
        <v>597</v>
      </c>
      <c r="E1445" s="225" t="s">
        <v>612</v>
      </c>
    </row>
    <row r="1446" spans="2:5" ht="15.75" thickBot="1">
      <c r="B1446" s="225" t="s">
        <v>2743</v>
      </c>
      <c r="C1446" s="226">
        <v>531904</v>
      </c>
      <c r="D1446" s="225" t="s">
        <v>2744</v>
      </c>
      <c r="E1446" s="225" t="s">
        <v>963</v>
      </c>
    </row>
    <row r="1447" spans="2:5" ht="15.75" thickBot="1">
      <c r="B1447" s="225" t="s">
        <v>2745</v>
      </c>
      <c r="C1447" s="226">
        <v>533104</v>
      </c>
      <c r="D1447" s="225" t="s">
        <v>2746</v>
      </c>
      <c r="E1447" s="225" t="s">
        <v>1229</v>
      </c>
    </row>
    <row r="1448" spans="2:5" ht="15.75" thickBot="1">
      <c r="B1448" s="225" t="s">
        <v>2747</v>
      </c>
      <c r="C1448" s="226">
        <v>542351</v>
      </c>
      <c r="D1448" s="225" t="s">
        <v>2748</v>
      </c>
      <c r="E1448" s="225" t="s">
        <v>2749</v>
      </c>
    </row>
    <row r="1449" spans="2:5" ht="15.75" thickBot="1">
      <c r="B1449" s="225" t="s">
        <v>2750</v>
      </c>
      <c r="C1449" s="226">
        <v>507488</v>
      </c>
      <c r="D1449" s="225" t="s">
        <v>2751</v>
      </c>
      <c r="E1449" s="225" t="s">
        <v>1229</v>
      </c>
    </row>
    <row r="1450" spans="2:5" ht="15.75" thickBot="1">
      <c r="B1450" s="225" t="s">
        <v>2752</v>
      </c>
      <c r="C1450" s="226">
        <v>505255</v>
      </c>
      <c r="D1450" s="225" t="s">
        <v>2753</v>
      </c>
      <c r="E1450" s="225" t="s">
        <v>605</v>
      </c>
    </row>
    <row r="1451" spans="2:5" ht="15.75" thickBot="1">
      <c r="B1451" s="225" t="s">
        <v>2754</v>
      </c>
      <c r="C1451" s="226">
        <v>532754</v>
      </c>
      <c r="D1451" s="225" t="s">
        <v>2755</v>
      </c>
      <c r="E1451" s="225" t="s">
        <v>736</v>
      </c>
    </row>
    <row r="1452" spans="2:5" ht="15.75" thickBot="1">
      <c r="B1452" s="225" t="s">
        <v>2756</v>
      </c>
      <c r="C1452" s="226">
        <v>540124</v>
      </c>
      <c r="D1452" s="225" t="s">
        <v>2757</v>
      </c>
      <c r="E1452" s="225" t="s">
        <v>952</v>
      </c>
    </row>
    <row r="1453" spans="2:5" ht="15.75" thickBot="1">
      <c r="B1453" s="225" t="s">
        <v>2758</v>
      </c>
      <c r="C1453" s="226">
        <v>509567</v>
      </c>
      <c r="D1453" s="225" t="s">
        <v>2759</v>
      </c>
      <c r="E1453" s="225" t="s">
        <v>1526</v>
      </c>
    </row>
    <row r="1454" spans="2:5" ht="15.75" thickBot="1">
      <c r="B1454" s="225" t="s">
        <v>2760</v>
      </c>
      <c r="C1454" s="226">
        <v>506480</v>
      </c>
      <c r="D1454" s="225" t="s">
        <v>2761</v>
      </c>
      <c r="E1454" s="225" t="s">
        <v>807</v>
      </c>
    </row>
    <row r="1455" spans="2:5" ht="15.75" thickBot="1">
      <c r="B1455" s="225" t="s">
        <v>2762</v>
      </c>
      <c r="C1455" s="226">
        <v>530317</v>
      </c>
      <c r="D1455" s="225" t="s">
        <v>597</v>
      </c>
      <c r="E1455" s="225" t="s">
        <v>635</v>
      </c>
    </row>
    <row r="1456" spans="2:5" ht="15.75" thickBot="1">
      <c r="B1456" s="225" t="s">
        <v>2763</v>
      </c>
      <c r="C1456" s="226">
        <v>532734</v>
      </c>
      <c r="D1456" s="225" t="s">
        <v>2764</v>
      </c>
      <c r="E1456" s="225" t="s">
        <v>629</v>
      </c>
    </row>
    <row r="1457" spans="2:5" ht="15.75" thickBot="1">
      <c r="B1457" s="225" t="s">
        <v>2765</v>
      </c>
      <c r="C1457" s="226">
        <v>500163</v>
      </c>
      <c r="D1457" s="225" t="s">
        <v>2766</v>
      </c>
      <c r="E1457" s="225" t="s">
        <v>2767</v>
      </c>
    </row>
    <row r="1458" spans="2:5" ht="15.75" thickBot="1">
      <c r="B1458" s="225" t="s">
        <v>2768</v>
      </c>
      <c r="C1458" s="226">
        <v>500163</v>
      </c>
      <c r="D1458" s="225" t="s">
        <v>2766</v>
      </c>
      <c r="E1458" s="225" t="s">
        <v>2767</v>
      </c>
    </row>
    <row r="1459" spans="2:5" ht="15.75" thickBot="1">
      <c r="B1459" s="225" t="s">
        <v>2769</v>
      </c>
      <c r="C1459" s="225" t="s">
        <v>597</v>
      </c>
      <c r="D1459" s="225" t="s">
        <v>2770</v>
      </c>
      <c r="E1459" s="225" t="s">
        <v>608</v>
      </c>
    </row>
    <row r="1460" spans="2:5" ht="15.75" thickBot="1">
      <c r="B1460" s="225" t="s">
        <v>2771</v>
      </c>
      <c r="C1460" s="226">
        <v>540743</v>
      </c>
      <c r="D1460" s="225" t="s">
        <v>2772</v>
      </c>
      <c r="E1460" s="225" t="s">
        <v>795</v>
      </c>
    </row>
    <row r="1461" spans="2:5" ht="15.75" thickBot="1">
      <c r="B1461" s="225" t="s">
        <v>2773</v>
      </c>
      <c r="C1461" s="226">
        <v>532424</v>
      </c>
      <c r="D1461" s="225" t="s">
        <v>2774</v>
      </c>
      <c r="E1461" s="225" t="s">
        <v>779</v>
      </c>
    </row>
    <row r="1462" spans="2:5" ht="15.75" thickBot="1">
      <c r="B1462" s="225" t="s">
        <v>2775</v>
      </c>
      <c r="C1462" s="226">
        <v>500164</v>
      </c>
      <c r="D1462" s="225" t="s">
        <v>2776</v>
      </c>
      <c r="E1462" s="225" t="s">
        <v>645</v>
      </c>
    </row>
    <row r="1463" spans="2:5" ht="15.75" thickBot="1">
      <c r="B1463" s="225" t="s">
        <v>2777</v>
      </c>
      <c r="C1463" s="226">
        <v>533150</v>
      </c>
      <c r="D1463" s="225" t="s">
        <v>2778</v>
      </c>
      <c r="E1463" s="225" t="s">
        <v>683</v>
      </c>
    </row>
    <row r="1464" spans="2:5" ht="15.75" thickBot="1">
      <c r="B1464" s="225" t="s">
        <v>2779</v>
      </c>
      <c r="C1464" s="226">
        <v>538787</v>
      </c>
      <c r="D1464" s="225" t="s">
        <v>597</v>
      </c>
      <c r="E1464" s="225" t="s">
        <v>614</v>
      </c>
    </row>
    <row r="1465" spans="2:5" ht="15.75" thickBot="1">
      <c r="B1465" s="225" t="s">
        <v>2780</v>
      </c>
      <c r="C1465" s="226">
        <v>533189</v>
      </c>
      <c r="D1465" s="225" t="s">
        <v>2781</v>
      </c>
      <c r="E1465" s="225" t="s">
        <v>711</v>
      </c>
    </row>
    <row r="1466" spans="2:5" ht="15.75" thickBot="1">
      <c r="B1466" s="225" t="s">
        <v>2782</v>
      </c>
      <c r="C1466" s="226">
        <v>531600</v>
      </c>
      <c r="D1466" s="225" t="s">
        <v>597</v>
      </c>
      <c r="E1466" s="225" t="s">
        <v>580</v>
      </c>
    </row>
    <row r="1467" spans="2:5" ht="15.75" thickBot="1">
      <c r="B1467" s="225" t="s">
        <v>2783</v>
      </c>
      <c r="C1467" s="226">
        <v>532957</v>
      </c>
      <c r="D1467" s="225" t="s">
        <v>597</v>
      </c>
      <c r="E1467" s="225" t="s">
        <v>612</v>
      </c>
    </row>
    <row r="1468" spans="2:5" ht="15.75" thickBot="1">
      <c r="B1468" s="225" t="s">
        <v>2784</v>
      </c>
      <c r="C1468" s="226">
        <v>532630</v>
      </c>
      <c r="D1468" s="225" t="s">
        <v>2785</v>
      </c>
      <c r="E1468" s="225" t="s">
        <v>711</v>
      </c>
    </row>
    <row r="1469" spans="2:5" ht="15.75" thickBot="1">
      <c r="B1469" s="225" t="s">
        <v>2786</v>
      </c>
      <c r="C1469" s="226">
        <v>539725</v>
      </c>
      <c r="D1469" s="225" t="s">
        <v>2787</v>
      </c>
      <c r="E1469" s="225" t="s">
        <v>846</v>
      </c>
    </row>
    <row r="1470" spans="2:5" ht="15.75" thickBot="1">
      <c r="B1470" s="225" t="s">
        <v>2788</v>
      </c>
      <c r="C1470" s="226">
        <v>532980</v>
      </c>
      <c r="D1470" s="225" t="s">
        <v>2789</v>
      </c>
      <c r="E1470" s="225" t="s">
        <v>846</v>
      </c>
    </row>
    <row r="1471" spans="2:5" ht="15.75" thickBot="1">
      <c r="B1471" s="225" t="s">
        <v>2790</v>
      </c>
      <c r="C1471" s="226">
        <v>780012</v>
      </c>
      <c r="D1471" s="225" t="s">
        <v>597</v>
      </c>
      <c r="E1471" s="225" t="s">
        <v>688</v>
      </c>
    </row>
    <row r="1472" spans="2:5" ht="15.75" thickBot="1">
      <c r="B1472" s="225" t="s">
        <v>2791</v>
      </c>
      <c r="C1472" s="226">
        <v>538542</v>
      </c>
      <c r="D1472" s="225" t="s">
        <v>597</v>
      </c>
      <c r="E1472" s="225" t="s">
        <v>657</v>
      </c>
    </row>
    <row r="1473" spans="2:5" ht="15.75" thickBot="1">
      <c r="B1473" s="225" t="s">
        <v>2792</v>
      </c>
      <c r="C1473" s="226">
        <v>538180</v>
      </c>
      <c r="D1473" s="225" t="s">
        <v>2793</v>
      </c>
      <c r="E1473" s="225" t="s">
        <v>617</v>
      </c>
    </row>
    <row r="1474" spans="2:5" ht="15.75" thickBot="1">
      <c r="B1474" s="225" t="s">
        <v>2794</v>
      </c>
      <c r="C1474" s="226">
        <v>505576</v>
      </c>
      <c r="D1474" s="225" t="s">
        <v>597</v>
      </c>
      <c r="E1474" s="225" t="s">
        <v>614</v>
      </c>
    </row>
    <row r="1475" spans="2:5" ht="15.75" thickBot="1">
      <c r="B1475" s="225" t="s">
        <v>2795</v>
      </c>
      <c r="C1475" s="226">
        <v>531928</v>
      </c>
      <c r="D1475" s="225" t="s">
        <v>597</v>
      </c>
      <c r="E1475" s="225" t="s">
        <v>874</v>
      </c>
    </row>
    <row r="1476" spans="2:5" ht="15.75" thickBot="1">
      <c r="B1476" s="225" t="s">
        <v>2796</v>
      </c>
      <c r="C1476" s="226">
        <v>540062</v>
      </c>
      <c r="D1476" s="225" t="s">
        <v>597</v>
      </c>
      <c r="E1476" s="225" t="s">
        <v>702</v>
      </c>
    </row>
    <row r="1477" spans="2:5" ht="15.75" thickBot="1">
      <c r="B1477" s="225" t="s">
        <v>2797</v>
      </c>
      <c r="C1477" s="226">
        <v>530579</v>
      </c>
      <c r="D1477" s="225" t="s">
        <v>597</v>
      </c>
      <c r="E1477" s="225" t="s">
        <v>614</v>
      </c>
    </row>
    <row r="1478" spans="2:5" ht="15.75" thickBot="1">
      <c r="B1478" s="225" t="s">
        <v>2798</v>
      </c>
      <c r="C1478" s="226">
        <v>500151</v>
      </c>
      <c r="D1478" s="225" t="s">
        <v>2799</v>
      </c>
      <c r="E1478" s="225" t="s">
        <v>2767</v>
      </c>
    </row>
    <row r="1479" spans="2:5" ht="15.75" thickBot="1">
      <c r="B1479" s="225" t="s">
        <v>2800</v>
      </c>
      <c r="C1479" s="226">
        <v>526729</v>
      </c>
      <c r="D1479" s="225" t="s">
        <v>2801</v>
      </c>
      <c r="E1479" s="225" t="s">
        <v>711</v>
      </c>
    </row>
    <row r="1480" spans="2:5" ht="15.75" thickBot="1">
      <c r="B1480" s="225" t="s">
        <v>2802</v>
      </c>
      <c r="C1480" s="225" t="s">
        <v>597</v>
      </c>
      <c r="D1480" s="225" t="s">
        <v>2803</v>
      </c>
      <c r="E1480" s="225" t="s">
        <v>608</v>
      </c>
    </row>
    <row r="1481" spans="2:5" ht="15.75" thickBot="1">
      <c r="B1481" s="225" t="s">
        <v>2804</v>
      </c>
      <c r="C1481" s="226">
        <v>531439</v>
      </c>
      <c r="D1481" s="225" t="s">
        <v>2805</v>
      </c>
      <c r="E1481" s="225" t="s">
        <v>583</v>
      </c>
    </row>
    <row r="1482" spans="2:5" ht="15.75" thickBot="1">
      <c r="B1482" s="225" t="s">
        <v>2806</v>
      </c>
      <c r="C1482" s="226">
        <v>531360</v>
      </c>
      <c r="D1482" s="225" t="s">
        <v>597</v>
      </c>
      <c r="E1482" s="225" t="s">
        <v>1018</v>
      </c>
    </row>
    <row r="1483" spans="2:5" ht="15.75" thickBot="1">
      <c r="B1483" s="225" t="s">
        <v>2807</v>
      </c>
      <c r="C1483" s="226">
        <v>513309</v>
      </c>
      <c r="D1483" s="225" t="s">
        <v>597</v>
      </c>
      <c r="E1483" s="225" t="s">
        <v>902</v>
      </c>
    </row>
    <row r="1484" spans="2:5" ht="15.75" thickBot="1">
      <c r="B1484" s="225" t="s">
        <v>2808</v>
      </c>
      <c r="C1484" s="226">
        <v>523676</v>
      </c>
      <c r="D1484" s="225" t="s">
        <v>597</v>
      </c>
      <c r="E1484" s="225" t="s">
        <v>711</v>
      </c>
    </row>
    <row r="1485" spans="2:5" ht="15.75" thickBot="1">
      <c r="B1485" s="225" t="s">
        <v>2809</v>
      </c>
      <c r="C1485" s="226">
        <v>530655</v>
      </c>
      <c r="D1485" s="225" t="s">
        <v>2810</v>
      </c>
      <c r="E1485" s="225" t="s">
        <v>920</v>
      </c>
    </row>
    <row r="1486" spans="2:5" ht="15.75" thickBot="1">
      <c r="B1486" s="225" t="s">
        <v>2811</v>
      </c>
      <c r="C1486" s="226">
        <v>530655</v>
      </c>
      <c r="D1486" s="225" t="s">
        <v>2810</v>
      </c>
      <c r="E1486" s="225" t="s">
        <v>920</v>
      </c>
    </row>
    <row r="1487" spans="2:5" ht="15.75" thickBot="1">
      <c r="B1487" s="225" t="s">
        <v>2812</v>
      </c>
      <c r="C1487" s="226">
        <v>500166</v>
      </c>
      <c r="D1487" s="225" t="s">
        <v>597</v>
      </c>
      <c r="E1487" s="225" t="s">
        <v>1004</v>
      </c>
    </row>
    <row r="1488" spans="2:5" ht="15.75" thickBot="1">
      <c r="B1488" s="225" t="s">
        <v>2813</v>
      </c>
      <c r="C1488" s="226">
        <v>500168</v>
      </c>
      <c r="D1488" s="225" t="s">
        <v>597</v>
      </c>
      <c r="E1488" s="225" t="s">
        <v>1077</v>
      </c>
    </row>
    <row r="1489" spans="2:5" ht="15.75" thickBot="1">
      <c r="B1489" s="225" t="s">
        <v>2814</v>
      </c>
      <c r="C1489" s="226">
        <v>500168</v>
      </c>
      <c r="D1489" s="225" t="s">
        <v>597</v>
      </c>
      <c r="E1489" s="225" t="s">
        <v>1077</v>
      </c>
    </row>
    <row r="1490" spans="2:5" ht="15.75" thickBot="1">
      <c r="B1490" s="225" t="s">
        <v>2815</v>
      </c>
      <c r="C1490" s="226">
        <v>531913</v>
      </c>
      <c r="D1490" s="225" t="s">
        <v>597</v>
      </c>
      <c r="E1490" s="225" t="s">
        <v>920</v>
      </c>
    </row>
    <row r="1491" spans="2:5" ht="15.75" thickBot="1">
      <c r="B1491" s="225" t="s">
        <v>2816</v>
      </c>
      <c r="C1491" s="226">
        <v>526717</v>
      </c>
      <c r="D1491" s="225" t="s">
        <v>597</v>
      </c>
      <c r="E1491" s="225" t="s">
        <v>792</v>
      </c>
    </row>
    <row r="1492" spans="2:5" ht="15.75" thickBot="1">
      <c r="B1492" s="225" t="s">
        <v>2817</v>
      </c>
      <c r="C1492" s="226">
        <v>531608</v>
      </c>
      <c r="D1492" s="225" t="s">
        <v>597</v>
      </c>
      <c r="E1492" s="225" t="s">
        <v>1643</v>
      </c>
    </row>
    <row r="1493" spans="2:5" ht="15.75" thickBot="1">
      <c r="B1493" s="225" t="s">
        <v>2818</v>
      </c>
      <c r="C1493" s="226">
        <v>531111</v>
      </c>
      <c r="D1493" s="225" t="s">
        <v>597</v>
      </c>
      <c r="E1493" s="225" t="s">
        <v>1643</v>
      </c>
    </row>
    <row r="1494" spans="2:5" ht="15.75" thickBot="1">
      <c r="B1494" s="225" t="s">
        <v>2819</v>
      </c>
      <c r="C1494" s="226">
        <v>531111</v>
      </c>
      <c r="D1494" s="225" t="s">
        <v>597</v>
      </c>
      <c r="E1494" s="225" t="s">
        <v>1643</v>
      </c>
    </row>
    <row r="1495" spans="2:5" ht="15.75" thickBot="1">
      <c r="B1495" s="225" t="s">
        <v>2820</v>
      </c>
      <c r="C1495" s="226">
        <v>509148</v>
      </c>
      <c r="D1495" s="225" t="s">
        <v>597</v>
      </c>
      <c r="E1495" s="225" t="s">
        <v>1077</v>
      </c>
    </row>
    <row r="1496" spans="2:5" ht="15.75" thickBot="1">
      <c r="B1496" s="225" t="s">
        <v>2821</v>
      </c>
      <c r="C1496" s="226">
        <v>530709</v>
      </c>
      <c r="D1496" s="225" t="s">
        <v>597</v>
      </c>
      <c r="E1496" s="225" t="s">
        <v>614</v>
      </c>
    </row>
    <row r="1497" spans="2:5" ht="15.75" thickBot="1">
      <c r="B1497" s="225" t="s">
        <v>2822</v>
      </c>
      <c r="C1497" s="226">
        <v>530663</v>
      </c>
      <c r="D1497" s="225" t="s">
        <v>597</v>
      </c>
      <c r="E1497" s="225" t="s">
        <v>580</v>
      </c>
    </row>
    <row r="1498" spans="2:5" ht="15.75" thickBot="1">
      <c r="B1498" s="225" t="s">
        <v>2823</v>
      </c>
      <c r="C1498" s="226">
        <v>532543</v>
      </c>
      <c r="D1498" s="225" t="s">
        <v>2824</v>
      </c>
      <c r="E1498" s="225" t="s">
        <v>807</v>
      </c>
    </row>
    <row r="1499" spans="2:5" ht="15.75" thickBot="1">
      <c r="B1499" s="225" t="s">
        <v>2825</v>
      </c>
      <c r="C1499" s="226">
        <v>533761</v>
      </c>
      <c r="D1499" s="225" t="s">
        <v>2826</v>
      </c>
      <c r="E1499" s="225" t="s">
        <v>995</v>
      </c>
    </row>
    <row r="1500" spans="2:5" ht="15.75" thickBot="1">
      <c r="B1500" s="225" t="s">
        <v>2827</v>
      </c>
      <c r="C1500" s="226">
        <v>780002</v>
      </c>
      <c r="D1500" s="225" t="s">
        <v>597</v>
      </c>
      <c r="E1500" s="225" t="s">
        <v>688</v>
      </c>
    </row>
    <row r="1501" spans="2:5" ht="15.75" thickBot="1">
      <c r="B1501" s="225" t="s">
        <v>2828</v>
      </c>
      <c r="C1501" s="226">
        <v>590126</v>
      </c>
      <c r="D1501" s="225" t="s">
        <v>597</v>
      </c>
      <c r="E1501" s="225" t="s">
        <v>2199</v>
      </c>
    </row>
    <row r="1502" spans="2:5" ht="15.75" thickBot="1">
      <c r="B1502" s="225" t="s">
        <v>2829</v>
      </c>
      <c r="C1502" s="226">
        <v>539235</v>
      </c>
      <c r="D1502" s="225" t="s">
        <v>597</v>
      </c>
      <c r="E1502" s="225" t="s">
        <v>1004</v>
      </c>
    </row>
    <row r="1503" spans="2:5" ht="15.75" thickBot="1">
      <c r="B1503" s="225" t="s">
        <v>2830</v>
      </c>
      <c r="C1503" s="226">
        <v>532482</v>
      </c>
      <c r="D1503" s="225" t="s">
        <v>2831</v>
      </c>
      <c r="E1503" s="225" t="s">
        <v>635</v>
      </c>
    </row>
    <row r="1504" spans="2:5" ht="15.75" thickBot="1">
      <c r="B1504" s="225" t="s">
        <v>2832</v>
      </c>
      <c r="C1504" s="226">
        <v>532482</v>
      </c>
      <c r="D1504" s="225" t="s">
        <v>2831</v>
      </c>
      <c r="E1504" s="225" t="s">
        <v>635</v>
      </c>
    </row>
    <row r="1505" spans="2:5" ht="15.75" thickBot="1">
      <c r="B1505" s="225" t="s">
        <v>2833</v>
      </c>
      <c r="C1505" s="226">
        <v>509488</v>
      </c>
      <c r="D1505" s="225" t="s">
        <v>2834</v>
      </c>
      <c r="E1505" s="225" t="s">
        <v>782</v>
      </c>
    </row>
    <row r="1506" spans="2:5" ht="15.75" thickBot="1">
      <c r="B1506" s="225" t="s">
        <v>2835</v>
      </c>
      <c r="C1506" s="226">
        <v>509488</v>
      </c>
      <c r="D1506" s="225" t="s">
        <v>2834</v>
      </c>
      <c r="E1506" s="225" t="s">
        <v>782</v>
      </c>
    </row>
    <row r="1507" spans="2:5" ht="15.75" thickBot="1">
      <c r="B1507" s="225" t="s">
        <v>2836</v>
      </c>
      <c r="C1507" s="226">
        <v>500300</v>
      </c>
      <c r="D1507" s="225" t="s">
        <v>2837</v>
      </c>
      <c r="E1507" s="225" t="s">
        <v>610</v>
      </c>
    </row>
    <row r="1508" spans="2:5" ht="15.75" thickBot="1">
      <c r="B1508" s="225" t="s">
        <v>2838</v>
      </c>
      <c r="C1508" s="226">
        <v>526751</v>
      </c>
      <c r="D1508" s="225" t="s">
        <v>597</v>
      </c>
      <c r="E1508" s="225" t="s">
        <v>591</v>
      </c>
    </row>
    <row r="1509" spans="2:5" ht="15.75" thickBot="1">
      <c r="B1509" s="225" t="s">
        <v>2839</v>
      </c>
      <c r="C1509" s="226">
        <v>505710</v>
      </c>
      <c r="D1509" s="225" t="s">
        <v>597</v>
      </c>
      <c r="E1509" s="225" t="s">
        <v>645</v>
      </c>
    </row>
    <row r="1510" spans="2:5" ht="15.75" thickBot="1">
      <c r="B1510" s="225" t="s">
        <v>2840</v>
      </c>
      <c r="C1510" s="226">
        <v>505710</v>
      </c>
      <c r="D1510" s="225" t="s">
        <v>597</v>
      </c>
      <c r="E1510" s="225" t="s">
        <v>645</v>
      </c>
    </row>
    <row r="1511" spans="2:5" ht="15.75" thickBot="1">
      <c r="B1511" s="225" t="s">
        <v>2841</v>
      </c>
      <c r="C1511" s="226">
        <v>509546</v>
      </c>
      <c r="D1511" s="225" t="s">
        <v>597</v>
      </c>
      <c r="E1511" s="225" t="s">
        <v>798</v>
      </c>
    </row>
    <row r="1512" spans="2:5" ht="15.75" thickBot="1">
      <c r="B1512" s="225" t="s">
        <v>2842</v>
      </c>
      <c r="C1512" s="226">
        <v>533282</v>
      </c>
      <c r="D1512" s="225" t="s">
        <v>2843</v>
      </c>
      <c r="E1512" s="225" t="s">
        <v>2844</v>
      </c>
    </row>
    <row r="1513" spans="2:5" ht="15.75" thickBot="1">
      <c r="B1513" s="225" t="s">
        <v>2845</v>
      </c>
      <c r="C1513" s="226">
        <v>533282</v>
      </c>
      <c r="D1513" s="225" t="s">
        <v>2843</v>
      </c>
      <c r="E1513" s="225" t="s">
        <v>2844</v>
      </c>
    </row>
    <row r="1514" spans="2:5" ht="15.75" thickBot="1">
      <c r="B1514" s="225" t="s">
        <v>2846</v>
      </c>
      <c r="C1514" s="226">
        <v>532015</v>
      </c>
      <c r="D1514" s="225" t="s">
        <v>597</v>
      </c>
      <c r="E1514" s="225" t="s">
        <v>612</v>
      </c>
    </row>
    <row r="1515" spans="2:5" ht="15.75" thickBot="1">
      <c r="B1515" s="225" t="s">
        <v>2847</v>
      </c>
      <c r="C1515" s="226">
        <v>532015</v>
      </c>
      <c r="D1515" s="225" t="s">
        <v>597</v>
      </c>
      <c r="E1515" s="225" t="s">
        <v>612</v>
      </c>
    </row>
    <row r="1516" spans="2:5" ht="15.75" thickBot="1">
      <c r="B1516" s="225" t="s">
        <v>2848</v>
      </c>
      <c r="C1516" s="226">
        <v>501455</v>
      </c>
      <c r="D1516" s="225" t="s">
        <v>2849</v>
      </c>
      <c r="E1516" s="225" t="s">
        <v>605</v>
      </c>
    </row>
    <row r="1517" spans="2:5" ht="15.75" thickBot="1">
      <c r="B1517" s="225" t="s">
        <v>2850</v>
      </c>
      <c r="C1517" s="226">
        <v>531737</v>
      </c>
      <c r="D1517" s="225" t="s">
        <v>597</v>
      </c>
      <c r="E1517" s="225" t="s">
        <v>1018</v>
      </c>
    </row>
    <row r="1518" spans="2:5" ht="15.75" thickBot="1">
      <c r="B1518" s="225" t="s">
        <v>2851</v>
      </c>
      <c r="C1518" s="226">
        <v>538979</v>
      </c>
      <c r="D1518" s="225" t="s">
        <v>2852</v>
      </c>
      <c r="E1518" s="225" t="s">
        <v>874</v>
      </c>
    </row>
    <row r="1519" spans="2:5" ht="15.75" thickBot="1">
      <c r="B1519" s="225" t="s">
        <v>2853</v>
      </c>
      <c r="C1519" s="226">
        <v>526797</v>
      </c>
      <c r="D1519" s="225" t="s">
        <v>2854</v>
      </c>
      <c r="E1519" s="225" t="s">
        <v>1092</v>
      </c>
    </row>
    <row r="1520" spans="2:5" ht="15.75" thickBot="1">
      <c r="B1520" s="225" t="s">
        <v>2855</v>
      </c>
      <c r="C1520" s="225" t="s">
        <v>597</v>
      </c>
      <c r="D1520" s="225" t="s">
        <v>2856</v>
      </c>
      <c r="E1520" s="225" t="s">
        <v>608</v>
      </c>
    </row>
    <row r="1521" spans="2:5" ht="15.75" thickBot="1">
      <c r="B1521" s="225" t="s">
        <v>2857</v>
      </c>
      <c r="C1521" s="226">
        <v>508918</v>
      </c>
      <c r="D1521" s="225" t="s">
        <v>597</v>
      </c>
      <c r="E1521" s="225" t="s">
        <v>702</v>
      </c>
    </row>
    <row r="1522" spans="2:5" ht="15.75" thickBot="1">
      <c r="B1522" s="225" t="s">
        <v>2858</v>
      </c>
      <c r="C1522" s="226">
        <v>506076</v>
      </c>
      <c r="D1522" s="225" t="s">
        <v>2859</v>
      </c>
      <c r="E1522" s="225" t="s">
        <v>1517</v>
      </c>
    </row>
    <row r="1523" spans="2:5" ht="15.75" thickBot="1">
      <c r="B1523" s="225" t="s">
        <v>2860</v>
      </c>
      <c r="C1523" s="226">
        <v>531449</v>
      </c>
      <c r="D1523" s="225" t="s">
        <v>597</v>
      </c>
      <c r="E1523" s="225" t="s">
        <v>795</v>
      </c>
    </row>
    <row r="1524" spans="2:5" ht="15.75" thickBot="1">
      <c r="B1524" s="225" t="s">
        <v>2861</v>
      </c>
      <c r="C1524" s="226">
        <v>501314</v>
      </c>
      <c r="D1524" s="225" t="s">
        <v>597</v>
      </c>
      <c r="E1524" s="225" t="s">
        <v>619</v>
      </c>
    </row>
    <row r="1525" spans="2:5" ht="15.75" thickBot="1">
      <c r="B1525" s="225" t="s">
        <v>2862</v>
      </c>
      <c r="C1525" s="226">
        <v>539522</v>
      </c>
      <c r="D1525" s="225" t="s">
        <v>597</v>
      </c>
      <c r="E1525" s="225" t="s">
        <v>1043</v>
      </c>
    </row>
    <row r="1526" spans="2:5" ht="15.75" thickBot="1">
      <c r="B1526" s="225" t="s">
        <v>2863</v>
      </c>
      <c r="C1526" s="226">
        <v>539522</v>
      </c>
      <c r="D1526" s="225" t="s">
        <v>597</v>
      </c>
      <c r="E1526" s="225" t="s">
        <v>1043</v>
      </c>
    </row>
    <row r="1527" spans="2:5" ht="15.75" thickBot="1">
      <c r="B1527" s="225" t="s">
        <v>2864</v>
      </c>
      <c r="C1527" s="226">
        <v>509152</v>
      </c>
      <c r="D1527" s="225" t="s">
        <v>2865</v>
      </c>
      <c r="E1527" s="225" t="s">
        <v>1077</v>
      </c>
    </row>
    <row r="1528" spans="2:5" ht="15.75" thickBot="1">
      <c r="B1528" s="225" t="s">
        <v>2866</v>
      </c>
      <c r="C1528" s="226">
        <v>511288</v>
      </c>
      <c r="D1528" s="225" t="s">
        <v>2867</v>
      </c>
      <c r="E1528" s="225" t="s">
        <v>655</v>
      </c>
    </row>
    <row r="1529" spans="2:5" ht="15.75" thickBot="1">
      <c r="B1529" s="225" t="s">
        <v>2868</v>
      </c>
      <c r="C1529" s="226">
        <v>511543</v>
      </c>
      <c r="D1529" s="225" t="s">
        <v>597</v>
      </c>
      <c r="E1529" s="225" t="s">
        <v>614</v>
      </c>
    </row>
    <row r="1530" spans="2:5" ht="15.75" thickBot="1">
      <c r="B1530" s="225" t="s">
        <v>2869</v>
      </c>
      <c r="C1530" s="226">
        <v>530605</v>
      </c>
      <c r="D1530" s="225" t="s">
        <v>597</v>
      </c>
      <c r="E1530" s="225" t="s">
        <v>612</v>
      </c>
    </row>
    <row r="1531" spans="2:5" ht="15.75" thickBot="1">
      <c r="B1531" s="225" t="s">
        <v>2870</v>
      </c>
      <c r="C1531" s="226">
        <v>530469</v>
      </c>
      <c r="D1531" s="225" t="s">
        <v>597</v>
      </c>
      <c r="E1531" s="225" t="s">
        <v>614</v>
      </c>
    </row>
    <row r="1532" spans="2:5" ht="15.75" thickBot="1">
      <c r="B1532" s="225" t="s">
        <v>2871</v>
      </c>
      <c r="C1532" s="226">
        <v>532951</v>
      </c>
      <c r="D1532" s="225" t="s">
        <v>2872</v>
      </c>
      <c r="E1532" s="225" t="s">
        <v>583</v>
      </c>
    </row>
    <row r="1533" spans="2:5" ht="15.75" thickBot="1">
      <c r="B1533" s="225" t="s">
        <v>2873</v>
      </c>
      <c r="C1533" s="226">
        <v>532139</v>
      </c>
      <c r="D1533" s="225" t="s">
        <v>597</v>
      </c>
      <c r="E1533" s="225" t="s">
        <v>927</v>
      </c>
    </row>
    <row r="1534" spans="2:5" ht="15.75" thickBot="1">
      <c r="B1534" s="225" t="s">
        <v>2874</v>
      </c>
      <c r="C1534" s="226">
        <v>532775</v>
      </c>
      <c r="D1534" s="225" t="s">
        <v>2875</v>
      </c>
      <c r="E1534" s="225" t="s">
        <v>743</v>
      </c>
    </row>
    <row r="1535" spans="2:5" ht="15.75" thickBot="1">
      <c r="B1535" s="225" t="s">
        <v>2876</v>
      </c>
      <c r="C1535" s="226">
        <v>500160</v>
      </c>
      <c r="D1535" s="225" t="s">
        <v>2877</v>
      </c>
      <c r="E1535" s="225" t="s">
        <v>1544</v>
      </c>
    </row>
    <row r="1536" spans="2:5" ht="15.75" thickBot="1">
      <c r="B1536" s="225" t="s">
        <v>2878</v>
      </c>
      <c r="C1536" s="226">
        <v>500170</v>
      </c>
      <c r="D1536" s="225" t="s">
        <v>2879</v>
      </c>
      <c r="E1536" s="225" t="s">
        <v>612</v>
      </c>
    </row>
    <row r="1537" spans="2:5" ht="15.75" thickBot="1">
      <c r="B1537" s="225" t="s">
        <v>2880</v>
      </c>
      <c r="C1537" s="226">
        <v>532744</v>
      </c>
      <c r="D1537" s="225" t="s">
        <v>2881</v>
      </c>
      <c r="E1537" s="225" t="s">
        <v>612</v>
      </c>
    </row>
    <row r="1538" spans="2:5" ht="15.75" thickBot="1">
      <c r="B1538" s="225" t="s">
        <v>2882</v>
      </c>
      <c r="C1538" s="226">
        <v>540602</v>
      </c>
      <c r="D1538" s="225" t="s">
        <v>2883</v>
      </c>
      <c r="E1538" s="225" t="s">
        <v>1544</v>
      </c>
    </row>
    <row r="1539" spans="2:5" ht="15.75" thickBot="1">
      <c r="B1539" s="225" t="s">
        <v>2884</v>
      </c>
      <c r="C1539" s="226">
        <v>539479</v>
      </c>
      <c r="D1539" s="225" t="s">
        <v>597</v>
      </c>
      <c r="E1539" s="225" t="s">
        <v>605</v>
      </c>
    </row>
    <row r="1540" spans="2:5" ht="15.75" thickBot="1">
      <c r="B1540" s="225" t="s">
        <v>2885</v>
      </c>
      <c r="C1540" s="226">
        <v>509079</v>
      </c>
      <c r="D1540" s="225" t="s">
        <v>2886</v>
      </c>
      <c r="E1540" s="225" t="s">
        <v>635</v>
      </c>
    </row>
    <row r="1541" spans="2:5" ht="15.75" thickBot="1">
      <c r="B1541" s="225" t="s">
        <v>2887</v>
      </c>
      <c r="C1541" s="226">
        <v>530001</v>
      </c>
      <c r="D1541" s="225" t="s">
        <v>2888</v>
      </c>
      <c r="E1541" s="225" t="s">
        <v>645</v>
      </c>
    </row>
    <row r="1542" spans="2:5" ht="15.75" thickBot="1">
      <c r="B1542" s="225" t="s">
        <v>2889</v>
      </c>
      <c r="C1542" s="226">
        <v>524226</v>
      </c>
      <c r="D1542" s="225" t="s">
        <v>2890</v>
      </c>
      <c r="E1542" s="225" t="s">
        <v>795</v>
      </c>
    </row>
    <row r="1543" spans="2:5" ht="15.75" thickBot="1">
      <c r="B1543" s="225" t="s">
        <v>2891</v>
      </c>
      <c r="C1543" s="226">
        <v>522217</v>
      </c>
      <c r="D1543" s="225" t="s">
        <v>2892</v>
      </c>
      <c r="E1543" s="225" t="s">
        <v>675</v>
      </c>
    </row>
    <row r="1544" spans="2:5" ht="15.75" thickBot="1">
      <c r="B1544" s="225" t="s">
        <v>2893</v>
      </c>
      <c r="C1544" s="226">
        <v>523768</v>
      </c>
      <c r="D1544" s="225" t="s">
        <v>597</v>
      </c>
      <c r="E1544" s="225" t="s">
        <v>1125</v>
      </c>
    </row>
    <row r="1545" spans="2:5" ht="15.75" thickBot="1">
      <c r="B1545" s="225" t="s">
        <v>2894</v>
      </c>
      <c r="C1545" s="226">
        <v>513507</v>
      </c>
      <c r="D1545" s="225" t="s">
        <v>597</v>
      </c>
      <c r="E1545" s="225" t="s">
        <v>920</v>
      </c>
    </row>
    <row r="1546" spans="2:5" ht="15.75" thickBot="1">
      <c r="B1546" s="225" t="s">
        <v>2895</v>
      </c>
      <c r="C1546" s="226">
        <v>514386</v>
      </c>
      <c r="D1546" s="225" t="s">
        <v>597</v>
      </c>
      <c r="E1546" s="225" t="s">
        <v>612</v>
      </c>
    </row>
    <row r="1547" spans="2:5" ht="15.75" thickBot="1">
      <c r="B1547" s="225" t="s">
        <v>2896</v>
      </c>
      <c r="C1547" s="226">
        <v>526965</v>
      </c>
      <c r="D1547" s="225" t="s">
        <v>597</v>
      </c>
      <c r="E1547" s="225" t="s">
        <v>792</v>
      </c>
    </row>
    <row r="1548" spans="2:5" ht="15.75" thickBot="1">
      <c r="B1548" s="225" t="s">
        <v>2897</v>
      </c>
      <c r="C1548" s="226">
        <v>511441</v>
      </c>
      <c r="D1548" s="225" t="s">
        <v>597</v>
      </c>
      <c r="E1548" s="225" t="s">
        <v>580</v>
      </c>
    </row>
    <row r="1549" spans="2:5" ht="15.75" thickBot="1">
      <c r="B1549" s="225" t="s">
        <v>2898</v>
      </c>
      <c r="C1549" s="226">
        <v>500173</v>
      </c>
      <c r="D1549" s="225" t="s">
        <v>2899</v>
      </c>
      <c r="E1549" s="225" t="s">
        <v>1633</v>
      </c>
    </row>
    <row r="1550" spans="2:5" ht="15.75" thickBot="1">
      <c r="B1550" s="225" t="s">
        <v>2900</v>
      </c>
      <c r="C1550" s="226">
        <v>531410</v>
      </c>
      <c r="D1550" s="225" t="s">
        <v>597</v>
      </c>
      <c r="E1550" s="225" t="s">
        <v>902</v>
      </c>
    </row>
    <row r="1551" spans="2:5" ht="15.75" thickBot="1">
      <c r="B1551" s="225" t="s">
        <v>2901</v>
      </c>
      <c r="C1551" s="226">
        <v>539336</v>
      </c>
      <c r="D1551" s="225" t="s">
        <v>2902</v>
      </c>
      <c r="E1551" s="225" t="s">
        <v>728</v>
      </c>
    </row>
    <row r="1552" spans="2:5" ht="15.75" thickBot="1">
      <c r="B1552" s="225" t="s">
        <v>2903</v>
      </c>
      <c r="C1552" s="226">
        <v>507960</v>
      </c>
      <c r="D1552" s="225" t="s">
        <v>597</v>
      </c>
      <c r="E1552" s="225" t="s">
        <v>798</v>
      </c>
    </row>
    <row r="1553" spans="2:5" ht="15.75" thickBot="1">
      <c r="B1553" s="225" t="s">
        <v>2904</v>
      </c>
      <c r="C1553" s="226">
        <v>540938</v>
      </c>
      <c r="D1553" s="225" t="s">
        <v>597</v>
      </c>
      <c r="E1553" s="225" t="s">
        <v>612</v>
      </c>
    </row>
    <row r="1554" spans="2:5" ht="15.75" thickBot="1">
      <c r="B1554" s="225" t="s">
        <v>2905</v>
      </c>
      <c r="C1554" s="226">
        <v>517300</v>
      </c>
      <c r="D1554" s="225" t="s">
        <v>2906</v>
      </c>
      <c r="E1554" s="225" t="s">
        <v>736</v>
      </c>
    </row>
    <row r="1555" spans="2:5" ht="15.75" thickBot="1">
      <c r="B1555" s="225" t="s">
        <v>2907</v>
      </c>
      <c r="C1555" s="226">
        <v>517372</v>
      </c>
      <c r="D1555" s="225" t="s">
        <v>597</v>
      </c>
      <c r="E1555" s="225" t="s">
        <v>1517</v>
      </c>
    </row>
    <row r="1556" spans="2:5" ht="15.75" thickBot="1">
      <c r="B1556" s="225" t="s">
        <v>2908</v>
      </c>
      <c r="C1556" s="226">
        <v>531341</v>
      </c>
      <c r="D1556" s="225" t="s">
        <v>597</v>
      </c>
      <c r="E1556" s="225" t="s">
        <v>614</v>
      </c>
    </row>
    <row r="1557" spans="2:5" ht="15.75" thickBot="1">
      <c r="B1557" s="225" t="s">
        <v>2909</v>
      </c>
      <c r="C1557" s="226">
        <v>500174</v>
      </c>
      <c r="D1557" s="225" t="s">
        <v>2910</v>
      </c>
      <c r="E1557" s="225" t="s">
        <v>614</v>
      </c>
    </row>
    <row r="1558" spans="2:5" ht="15.75" thickBot="1">
      <c r="B1558" s="225" t="s">
        <v>2911</v>
      </c>
      <c r="C1558" s="226">
        <v>524754</v>
      </c>
      <c r="D1558" s="225" t="s">
        <v>597</v>
      </c>
      <c r="E1558" s="225" t="s">
        <v>1562</v>
      </c>
    </row>
    <row r="1559" spans="2:5" ht="15.75" thickBot="1">
      <c r="B1559" s="225" t="s">
        <v>2912</v>
      </c>
      <c r="C1559" s="226">
        <v>531881</v>
      </c>
      <c r="D1559" s="225" t="s">
        <v>597</v>
      </c>
      <c r="E1559" s="225" t="s">
        <v>619</v>
      </c>
    </row>
    <row r="1560" spans="2:5" ht="15.75" thickBot="1">
      <c r="B1560" s="225" t="s">
        <v>2913</v>
      </c>
      <c r="C1560" s="226">
        <v>532181</v>
      </c>
      <c r="D1560" s="225" t="s">
        <v>2914</v>
      </c>
      <c r="E1560" s="225" t="s">
        <v>1275</v>
      </c>
    </row>
    <row r="1561" spans="2:5" ht="15.75" thickBot="1">
      <c r="B1561" s="225" t="s">
        <v>2915</v>
      </c>
      <c r="C1561" s="226">
        <v>500670</v>
      </c>
      <c r="D1561" s="225" t="s">
        <v>2916</v>
      </c>
      <c r="E1561" s="225" t="s">
        <v>1105</v>
      </c>
    </row>
    <row r="1562" spans="2:5" ht="15.75" thickBot="1">
      <c r="B1562" s="225" t="s">
        <v>2917</v>
      </c>
      <c r="C1562" s="226">
        <v>513536</v>
      </c>
      <c r="D1562" s="225" t="s">
        <v>597</v>
      </c>
      <c r="E1562" s="225" t="s">
        <v>660</v>
      </c>
    </row>
    <row r="1563" spans="2:5" ht="15.75" thickBot="1">
      <c r="B1563" s="225" t="s">
        <v>2918</v>
      </c>
      <c r="C1563" s="226">
        <v>506858</v>
      </c>
      <c r="D1563" s="225" t="s">
        <v>597</v>
      </c>
      <c r="E1563" s="225" t="s">
        <v>974</v>
      </c>
    </row>
    <row r="1564" spans="2:5" ht="15.75" thickBot="1">
      <c r="B1564" s="225" t="s">
        <v>2919</v>
      </c>
      <c r="C1564" s="226">
        <v>533248</v>
      </c>
      <c r="D1564" s="225" t="s">
        <v>2920</v>
      </c>
      <c r="E1564" s="225" t="s">
        <v>733</v>
      </c>
    </row>
    <row r="1565" spans="2:5" ht="15.75" thickBot="1">
      <c r="B1565" s="225" t="s">
        <v>2921</v>
      </c>
      <c r="C1565" s="226">
        <v>517288</v>
      </c>
      <c r="D1565" s="225" t="s">
        <v>597</v>
      </c>
      <c r="E1565" s="225" t="s">
        <v>895</v>
      </c>
    </row>
    <row r="1566" spans="2:5" ht="15.75" thickBot="1">
      <c r="B1566" s="225" t="s">
        <v>2922</v>
      </c>
      <c r="C1566" s="226">
        <v>523836</v>
      </c>
      <c r="D1566" s="225" t="s">
        <v>2923</v>
      </c>
      <c r="E1566" s="225" t="s">
        <v>792</v>
      </c>
    </row>
    <row r="1567" spans="2:5" ht="15.75" thickBot="1">
      <c r="B1567" s="225" t="s">
        <v>2924</v>
      </c>
      <c r="C1567" s="226">
        <v>518029</v>
      </c>
      <c r="D1567" s="225" t="s">
        <v>2925</v>
      </c>
      <c r="E1567" s="225" t="s">
        <v>610</v>
      </c>
    </row>
    <row r="1568" spans="2:5" ht="15.75" thickBot="1">
      <c r="B1568" s="225" t="s">
        <v>2926</v>
      </c>
      <c r="C1568" s="226">
        <v>500690</v>
      </c>
      <c r="D1568" s="225" t="s">
        <v>2927</v>
      </c>
      <c r="E1568" s="225" t="s">
        <v>1105</v>
      </c>
    </row>
    <row r="1569" spans="2:5" ht="15.75" thickBot="1">
      <c r="B1569" s="225" t="s">
        <v>2928</v>
      </c>
      <c r="C1569" s="226">
        <v>532160</v>
      </c>
      <c r="D1569" s="225" t="s">
        <v>597</v>
      </c>
      <c r="E1569" s="225" t="s">
        <v>2929</v>
      </c>
    </row>
    <row r="1570" spans="2:5" ht="15.75" thickBot="1">
      <c r="B1570" s="225" t="s">
        <v>2930</v>
      </c>
      <c r="C1570" s="226">
        <v>532702</v>
      </c>
      <c r="D1570" s="225" t="s">
        <v>2931</v>
      </c>
      <c r="E1570" s="225" t="s">
        <v>622</v>
      </c>
    </row>
    <row r="1571" spans="2:5" ht="15.75" thickBot="1">
      <c r="B1571" s="225" t="s">
        <v>2932</v>
      </c>
      <c r="C1571" s="226">
        <v>524314</v>
      </c>
      <c r="D1571" s="225" t="s">
        <v>597</v>
      </c>
      <c r="E1571" s="225" t="s">
        <v>635</v>
      </c>
    </row>
    <row r="1572" spans="2:5" ht="15.75" thickBot="1">
      <c r="B1572" s="225" t="s">
        <v>2933</v>
      </c>
      <c r="C1572" s="226">
        <v>506879</v>
      </c>
      <c r="D1572" s="225" t="s">
        <v>597</v>
      </c>
      <c r="E1572" s="225" t="s">
        <v>635</v>
      </c>
    </row>
    <row r="1573" spans="2:5" ht="15.75" thickBot="1">
      <c r="B1573" s="225" t="s">
        <v>2934</v>
      </c>
      <c r="C1573" s="226">
        <v>513337</v>
      </c>
      <c r="D1573" s="225" t="s">
        <v>597</v>
      </c>
      <c r="E1573" s="225" t="s">
        <v>717</v>
      </c>
    </row>
    <row r="1574" spans="2:5" ht="15.75" thickBot="1">
      <c r="B1574" s="225" t="s">
        <v>2935</v>
      </c>
      <c r="C1574" s="226">
        <v>506640</v>
      </c>
      <c r="D1574" s="225" t="s">
        <v>597</v>
      </c>
      <c r="E1574" s="225" t="s">
        <v>645</v>
      </c>
    </row>
    <row r="1575" spans="2:5" ht="15.75" thickBot="1">
      <c r="B1575" s="225" t="s">
        <v>2936</v>
      </c>
      <c r="C1575" s="226">
        <v>506640</v>
      </c>
      <c r="D1575" s="225" t="s">
        <v>597</v>
      </c>
      <c r="E1575" s="225" t="s">
        <v>645</v>
      </c>
    </row>
    <row r="1576" spans="2:5" ht="15.75" thickBot="1">
      <c r="B1576" s="225" t="s">
        <v>2937</v>
      </c>
      <c r="C1576" s="226">
        <v>538567</v>
      </c>
      <c r="D1576" s="225" t="s">
        <v>2938</v>
      </c>
      <c r="E1576" s="225" t="s">
        <v>807</v>
      </c>
    </row>
    <row r="1577" spans="2:5" ht="15.75" thickBot="1">
      <c r="B1577" s="225" t="s">
        <v>2939</v>
      </c>
      <c r="C1577" s="226">
        <v>538567</v>
      </c>
      <c r="D1577" s="225" t="s">
        <v>2938</v>
      </c>
      <c r="E1577" s="225" t="s">
        <v>807</v>
      </c>
    </row>
    <row r="1578" spans="2:5" ht="15.75" thickBot="1">
      <c r="B1578" s="225" t="s">
        <v>2940</v>
      </c>
      <c r="C1578" s="226">
        <v>532425</v>
      </c>
      <c r="D1578" s="225" t="s">
        <v>597</v>
      </c>
      <c r="E1578" s="225" t="s">
        <v>645</v>
      </c>
    </row>
    <row r="1579" spans="2:5" ht="15.75" thickBot="1">
      <c r="B1579" s="225" t="s">
        <v>2941</v>
      </c>
      <c r="C1579" s="226">
        <v>532457</v>
      </c>
      <c r="D1579" s="225" t="s">
        <v>2942</v>
      </c>
      <c r="E1579" s="225" t="s">
        <v>645</v>
      </c>
    </row>
    <row r="1580" spans="2:5" ht="15.75" thickBot="1">
      <c r="B1580" s="225" t="s">
        <v>2943</v>
      </c>
      <c r="C1580" s="226">
        <v>523277</v>
      </c>
      <c r="D1580" s="225" t="s">
        <v>597</v>
      </c>
      <c r="E1580" s="225" t="s">
        <v>600</v>
      </c>
    </row>
    <row r="1581" spans="2:5" ht="15.75" thickBot="1">
      <c r="B1581" s="225" t="s">
        <v>2944</v>
      </c>
      <c r="C1581" s="226">
        <v>532708</v>
      </c>
      <c r="D1581" s="225" t="s">
        <v>2945</v>
      </c>
      <c r="E1581" s="225" t="s">
        <v>736</v>
      </c>
    </row>
    <row r="1582" spans="2:5" ht="15.75" thickBot="1">
      <c r="B1582" s="225" t="s">
        <v>2946</v>
      </c>
      <c r="C1582" s="226">
        <v>530141</v>
      </c>
      <c r="D1582" s="225" t="s">
        <v>597</v>
      </c>
      <c r="E1582" s="225" t="s">
        <v>683</v>
      </c>
    </row>
    <row r="1583" spans="2:5" ht="15.75" thickBot="1">
      <c r="B1583" s="225" t="s">
        <v>2947</v>
      </c>
      <c r="C1583" s="226">
        <v>533275</v>
      </c>
      <c r="D1583" s="225" t="s">
        <v>2948</v>
      </c>
      <c r="E1583" s="225" t="s">
        <v>629</v>
      </c>
    </row>
    <row r="1584" spans="2:5" ht="15.75" thickBot="1">
      <c r="B1584" s="225" t="s">
        <v>2949</v>
      </c>
      <c r="C1584" s="226">
        <v>541019</v>
      </c>
      <c r="D1584" s="225" t="s">
        <v>2950</v>
      </c>
      <c r="E1584" s="225" t="s">
        <v>995</v>
      </c>
    </row>
    <row r="1585" spans="2:5" ht="15.75" thickBot="1">
      <c r="B1585" s="225" t="s">
        <v>2951</v>
      </c>
      <c r="C1585" s="226">
        <v>539337</v>
      </c>
      <c r="D1585" s="225" t="s">
        <v>597</v>
      </c>
      <c r="E1585" s="225" t="s">
        <v>792</v>
      </c>
    </row>
    <row r="1586" spans="2:5" ht="15.75" thickBot="1">
      <c r="B1586" s="225" t="s">
        <v>2952</v>
      </c>
      <c r="C1586" s="226">
        <v>502873</v>
      </c>
      <c r="D1586" s="225" t="s">
        <v>597</v>
      </c>
      <c r="E1586" s="225" t="s">
        <v>612</v>
      </c>
    </row>
    <row r="1587" spans="2:5" ht="15.75" thickBot="1">
      <c r="B1587" s="225" t="s">
        <v>2953</v>
      </c>
      <c r="C1587" s="226">
        <v>532145</v>
      </c>
      <c r="D1587" s="225" t="s">
        <v>597</v>
      </c>
      <c r="E1587" s="225" t="s">
        <v>798</v>
      </c>
    </row>
    <row r="1588" spans="2:5" ht="15.75" thickBot="1">
      <c r="B1588" s="225" t="s">
        <v>2954</v>
      </c>
      <c r="C1588" s="226">
        <v>532145</v>
      </c>
      <c r="D1588" s="225" t="s">
        <v>597</v>
      </c>
      <c r="E1588" s="225" t="s">
        <v>798</v>
      </c>
    </row>
    <row r="1589" spans="2:5" ht="15.75" thickBot="1">
      <c r="B1589" s="225" t="s">
        <v>2955</v>
      </c>
      <c r="C1589" s="226">
        <v>539854</v>
      </c>
      <c r="D1589" s="225" t="s">
        <v>597</v>
      </c>
      <c r="E1589" s="225" t="s">
        <v>795</v>
      </c>
    </row>
    <row r="1590" spans="2:5" ht="15.75" thickBot="1">
      <c r="B1590" s="225" t="s">
        <v>2956</v>
      </c>
      <c r="C1590" s="226">
        <v>515147</v>
      </c>
      <c r="D1590" s="225" t="s">
        <v>597</v>
      </c>
      <c r="E1590" s="225" t="s">
        <v>792</v>
      </c>
    </row>
    <row r="1591" spans="2:5" ht="15.75" thickBot="1">
      <c r="B1591" s="225" t="s">
        <v>2957</v>
      </c>
      <c r="C1591" s="226">
        <v>509597</v>
      </c>
      <c r="D1591" s="225" t="s">
        <v>597</v>
      </c>
      <c r="E1591" s="225" t="s">
        <v>757</v>
      </c>
    </row>
    <row r="1592" spans="2:5" ht="15.75" thickBot="1">
      <c r="B1592" s="225" t="s">
        <v>2958</v>
      </c>
      <c r="C1592" s="226">
        <v>531971</v>
      </c>
      <c r="D1592" s="225" t="s">
        <v>597</v>
      </c>
      <c r="E1592" s="225" t="s">
        <v>612</v>
      </c>
    </row>
    <row r="1593" spans="2:5" ht="15.75" thickBot="1">
      <c r="B1593" s="225" t="s">
        <v>2959</v>
      </c>
      <c r="C1593" s="226">
        <v>538081</v>
      </c>
      <c r="D1593" s="225" t="s">
        <v>597</v>
      </c>
      <c r="E1593" s="225" t="s">
        <v>612</v>
      </c>
    </row>
    <row r="1594" spans="2:5" ht="15.75" thickBot="1">
      <c r="B1594" s="225" t="s">
        <v>2960</v>
      </c>
      <c r="C1594" s="226">
        <v>512604</v>
      </c>
      <c r="D1594" s="225" t="s">
        <v>597</v>
      </c>
      <c r="E1594" s="225" t="s">
        <v>711</v>
      </c>
    </row>
    <row r="1595" spans="2:5" ht="15.75" thickBot="1">
      <c r="B1595" s="225" t="s">
        <v>2961</v>
      </c>
      <c r="C1595" s="226">
        <v>542682</v>
      </c>
      <c r="D1595" s="225" t="s">
        <v>2962</v>
      </c>
      <c r="E1595" s="225" t="s">
        <v>605</v>
      </c>
    </row>
    <row r="1596" spans="2:5" ht="15.75" thickBot="1">
      <c r="B1596" s="225" t="s">
        <v>2963</v>
      </c>
      <c r="C1596" s="226">
        <v>590043</v>
      </c>
      <c r="D1596" s="225" t="s">
        <v>2964</v>
      </c>
      <c r="E1596" s="225" t="s">
        <v>952</v>
      </c>
    </row>
    <row r="1597" spans="2:5" ht="15.75" thickBot="1">
      <c r="B1597" s="225" t="s">
        <v>2965</v>
      </c>
      <c r="C1597" s="226">
        <v>506024</v>
      </c>
      <c r="D1597" s="225" t="s">
        <v>597</v>
      </c>
      <c r="E1597" s="225" t="s">
        <v>629</v>
      </c>
    </row>
    <row r="1598" spans="2:5" ht="15.75" thickBot="1">
      <c r="B1598" s="225" t="s">
        <v>2966</v>
      </c>
      <c r="C1598" s="226">
        <v>526931</v>
      </c>
      <c r="D1598" s="225" t="s">
        <v>597</v>
      </c>
      <c r="E1598" s="225" t="s">
        <v>782</v>
      </c>
    </row>
    <row r="1599" spans="2:5" ht="15.75" thickBot="1">
      <c r="B1599" s="225" t="s">
        <v>2967</v>
      </c>
      <c r="C1599" s="226">
        <v>530055</v>
      </c>
      <c r="D1599" s="225" t="s">
        <v>597</v>
      </c>
      <c r="E1599" s="225" t="s">
        <v>1018</v>
      </c>
    </row>
    <row r="1600" spans="2:5" ht="15.75" thickBot="1">
      <c r="B1600" s="225" t="s">
        <v>2968</v>
      </c>
      <c r="C1600" s="226">
        <v>500467</v>
      </c>
      <c r="D1600" s="225" t="s">
        <v>2969</v>
      </c>
      <c r="E1600" s="225" t="s">
        <v>1077</v>
      </c>
    </row>
    <row r="1601" spans="2:5" ht="15.75" thickBot="1">
      <c r="B1601" s="225" t="s">
        <v>2970</v>
      </c>
      <c r="C1601" s="226">
        <v>532855</v>
      </c>
      <c r="D1601" s="225" t="s">
        <v>597</v>
      </c>
      <c r="E1601" s="225" t="s">
        <v>617</v>
      </c>
    </row>
    <row r="1602" spans="2:5" ht="15.75" thickBot="1">
      <c r="B1602" s="225" t="s">
        <v>2971</v>
      </c>
      <c r="C1602" s="226">
        <v>530927</v>
      </c>
      <c r="D1602" s="225" t="s">
        <v>597</v>
      </c>
      <c r="E1602" s="225" t="s">
        <v>2929</v>
      </c>
    </row>
    <row r="1603" spans="2:5" ht="15.75" thickBot="1">
      <c r="B1603" s="225" t="s">
        <v>2972</v>
      </c>
      <c r="C1603" s="226">
        <v>524080</v>
      </c>
      <c r="D1603" s="225" t="s">
        <v>597</v>
      </c>
      <c r="E1603" s="225" t="s">
        <v>645</v>
      </c>
    </row>
    <row r="1604" spans="2:5" ht="15.75" thickBot="1">
      <c r="B1604" s="225" t="s">
        <v>2973</v>
      </c>
      <c r="C1604" s="226">
        <v>780014</v>
      </c>
      <c r="D1604" s="225" t="s">
        <v>597</v>
      </c>
      <c r="E1604" s="225" t="s">
        <v>688</v>
      </c>
    </row>
    <row r="1605" spans="2:5" ht="15.75" thickBot="1">
      <c r="B1605" s="225" t="s">
        <v>2974</v>
      </c>
      <c r="C1605" s="226">
        <v>531387</v>
      </c>
      <c r="D1605" s="225" t="s">
        <v>597</v>
      </c>
      <c r="E1605" s="225" t="s">
        <v>614</v>
      </c>
    </row>
    <row r="1606" spans="2:5" ht="15.75" thickBot="1">
      <c r="B1606" s="225" t="s">
        <v>2975</v>
      </c>
      <c r="C1606" s="226">
        <v>509073</v>
      </c>
      <c r="D1606" s="225" t="s">
        <v>2976</v>
      </c>
      <c r="E1606" s="225" t="s">
        <v>2977</v>
      </c>
    </row>
    <row r="1607" spans="2:5" ht="15.75" thickBot="1">
      <c r="B1607" s="225" t="s">
        <v>2978</v>
      </c>
      <c r="C1607" s="226">
        <v>533162</v>
      </c>
      <c r="D1607" s="225" t="s">
        <v>2979</v>
      </c>
      <c r="E1607" s="225" t="s">
        <v>1336</v>
      </c>
    </row>
    <row r="1608" spans="2:5" ht="15.75" thickBot="1">
      <c r="B1608" s="225" t="s">
        <v>2980</v>
      </c>
      <c r="C1608" s="226">
        <v>531531</v>
      </c>
      <c r="D1608" s="225" t="s">
        <v>2981</v>
      </c>
      <c r="E1608" s="225" t="s">
        <v>657</v>
      </c>
    </row>
    <row r="1609" spans="2:5" ht="15.75" thickBot="1">
      <c r="B1609" s="225" t="s">
        <v>2982</v>
      </c>
      <c r="C1609" s="226">
        <v>517354</v>
      </c>
      <c r="D1609" s="225" t="s">
        <v>2983</v>
      </c>
      <c r="E1609" s="225" t="s">
        <v>895</v>
      </c>
    </row>
    <row r="1610" spans="2:5" ht="15.75" thickBot="1">
      <c r="B1610" s="225" t="s">
        <v>2984</v>
      </c>
      <c r="C1610" s="226">
        <v>517354</v>
      </c>
      <c r="D1610" s="225" t="s">
        <v>2983</v>
      </c>
      <c r="E1610" s="225" t="s">
        <v>895</v>
      </c>
    </row>
    <row r="1611" spans="2:5" ht="15.75" thickBot="1">
      <c r="B1611" s="225" t="s">
        <v>2985</v>
      </c>
      <c r="C1611" s="226">
        <v>539176</v>
      </c>
      <c r="D1611" s="225" t="s">
        <v>597</v>
      </c>
      <c r="E1611" s="225" t="s">
        <v>605</v>
      </c>
    </row>
    <row r="1612" spans="2:5" ht="15.75" thickBot="1">
      <c r="B1612" s="225" t="s">
        <v>2986</v>
      </c>
      <c r="C1612" s="226">
        <v>508486</v>
      </c>
      <c r="D1612" s="225" t="s">
        <v>597</v>
      </c>
      <c r="E1612" s="225" t="s">
        <v>1643</v>
      </c>
    </row>
    <row r="1613" spans="2:5" ht="15.75" thickBot="1">
      <c r="B1613" s="225" t="s">
        <v>2987</v>
      </c>
      <c r="C1613" s="226">
        <v>532467</v>
      </c>
      <c r="D1613" s="225" t="s">
        <v>597</v>
      </c>
      <c r="E1613" s="225" t="s">
        <v>600</v>
      </c>
    </row>
    <row r="1614" spans="2:5" ht="15.75" thickBot="1">
      <c r="B1614" s="225" t="s">
        <v>2988</v>
      </c>
      <c r="C1614" s="226">
        <v>532334</v>
      </c>
      <c r="D1614" s="225" t="s">
        <v>597</v>
      </c>
      <c r="E1614" s="225" t="s">
        <v>683</v>
      </c>
    </row>
    <row r="1615" spans="2:5" ht="15.75" thickBot="1">
      <c r="B1615" s="225" t="s">
        <v>2989</v>
      </c>
      <c r="C1615" s="226">
        <v>508956</v>
      </c>
      <c r="D1615" s="225" t="s">
        <v>597</v>
      </c>
      <c r="E1615" s="225" t="s">
        <v>614</v>
      </c>
    </row>
    <row r="1616" spans="2:5" ht="15.75" thickBot="1">
      <c r="B1616" s="225" t="s">
        <v>2990</v>
      </c>
      <c r="C1616" s="226">
        <v>532333</v>
      </c>
      <c r="D1616" s="225" t="s">
        <v>597</v>
      </c>
      <c r="E1616" s="225" t="s">
        <v>580</v>
      </c>
    </row>
    <row r="1617" spans="2:5" ht="15.75" thickBot="1">
      <c r="B1617" s="225" t="s">
        <v>2991</v>
      </c>
      <c r="C1617" s="226">
        <v>532216</v>
      </c>
      <c r="D1617" s="225" t="s">
        <v>2992</v>
      </c>
      <c r="E1617" s="225" t="s">
        <v>614</v>
      </c>
    </row>
    <row r="1618" spans="2:5" ht="15.75" thickBot="1">
      <c r="B1618" s="225" t="s">
        <v>2993</v>
      </c>
      <c r="C1618" s="226">
        <v>517271</v>
      </c>
      <c r="D1618" s="225" t="s">
        <v>2994</v>
      </c>
      <c r="E1618" s="225" t="s">
        <v>895</v>
      </c>
    </row>
    <row r="1619" spans="2:5" ht="15.75" thickBot="1">
      <c r="B1619" s="225" t="s">
        <v>2995</v>
      </c>
      <c r="C1619" s="226">
        <v>539224</v>
      </c>
      <c r="D1619" s="225" t="s">
        <v>597</v>
      </c>
      <c r="E1619" s="225" t="s">
        <v>586</v>
      </c>
    </row>
    <row r="1620" spans="2:5" ht="15.75" thickBot="1">
      <c r="B1620" s="225" t="s">
        <v>2996</v>
      </c>
      <c r="C1620" s="226">
        <v>500179</v>
      </c>
      <c r="D1620" s="225" t="s">
        <v>2997</v>
      </c>
      <c r="E1620" s="225" t="s">
        <v>922</v>
      </c>
    </row>
    <row r="1621" spans="2:5" ht="15.75" thickBot="1">
      <c r="B1621" s="225" t="s">
        <v>2998</v>
      </c>
      <c r="C1621" s="226">
        <v>532281</v>
      </c>
      <c r="D1621" s="225" t="s">
        <v>2999</v>
      </c>
      <c r="E1621" s="225" t="s">
        <v>583</v>
      </c>
    </row>
    <row r="1622" spans="2:5" ht="15.75" thickBot="1">
      <c r="B1622" s="225" t="s">
        <v>3000</v>
      </c>
      <c r="C1622" s="226">
        <v>541729</v>
      </c>
      <c r="D1622" s="225" t="s">
        <v>3001</v>
      </c>
      <c r="E1622" s="225" t="s">
        <v>3002</v>
      </c>
    </row>
    <row r="1623" spans="2:5" ht="15.75" thickBot="1">
      <c r="B1623" s="225" t="s">
        <v>3003</v>
      </c>
      <c r="C1623" s="226">
        <v>500180</v>
      </c>
      <c r="D1623" s="225" t="s">
        <v>3004</v>
      </c>
      <c r="E1623" s="225" t="s">
        <v>915</v>
      </c>
    </row>
    <row r="1624" spans="2:5" ht="15.75" thickBot="1">
      <c r="B1624" s="225" t="s">
        <v>3005</v>
      </c>
      <c r="C1624" s="226">
        <v>533230</v>
      </c>
      <c r="D1624" s="225" t="s">
        <v>3006</v>
      </c>
      <c r="E1624" s="225" t="s">
        <v>580</v>
      </c>
    </row>
    <row r="1625" spans="2:5" ht="15.75" thickBot="1">
      <c r="B1625" s="225" t="s">
        <v>3007</v>
      </c>
      <c r="C1625" s="226">
        <v>540777</v>
      </c>
      <c r="D1625" s="225" t="s">
        <v>3008</v>
      </c>
      <c r="E1625" s="225" t="s">
        <v>3009</v>
      </c>
    </row>
    <row r="1626" spans="2:5" ht="15.75" thickBot="1">
      <c r="B1626" s="225" t="s">
        <v>3010</v>
      </c>
      <c r="C1626" s="226">
        <v>539787</v>
      </c>
      <c r="D1626" s="225" t="s">
        <v>3011</v>
      </c>
      <c r="E1626" s="225" t="s">
        <v>1067</v>
      </c>
    </row>
    <row r="1627" spans="2:5" ht="15.75" thickBot="1">
      <c r="B1627" s="225" t="s">
        <v>3012</v>
      </c>
      <c r="C1627" s="226">
        <v>503689</v>
      </c>
      <c r="D1627" s="225" t="s">
        <v>597</v>
      </c>
      <c r="E1627" s="225" t="s">
        <v>1018</v>
      </c>
    </row>
    <row r="1628" spans="2:5" ht="15.75" thickBot="1">
      <c r="B1628" s="225" t="s">
        <v>3013</v>
      </c>
      <c r="C1628" s="225" t="s">
        <v>597</v>
      </c>
      <c r="D1628" s="225" t="s">
        <v>3014</v>
      </c>
      <c r="E1628" s="225" t="s">
        <v>608</v>
      </c>
    </row>
    <row r="1629" spans="2:5" ht="15.75" thickBot="1">
      <c r="B1629" s="225" t="s">
        <v>3015</v>
      </c>
      <c r="C1629" s="226">
        <v>526967</v>
      </c>
      <c r="D1629" s="225" t="s">
        <v>597</v>
      </c>
      <c r="E1629" s="225" t="s">
        <v>629</v>
      </c>
    </row>
    <row r="1630" spans="2:5" ht="15.75" thickBot="1">
      <c r="B1630" s="225" t="s">
        <v>3016</v>
      </c>
      <c r="C1630" s="226">
        <v>509631</v>
      </c>
      <c r="D1630" s="225" t="s">
        <v>3017</v>
      </c>
      <c r="E1630" s="225" t="s">
        <v>782</v>
      </c>
    </row>
    <row r="1631" spans="2:5" ht="15.75" thickBot="1">
      <c r="B1631" s="225" t="s">
        <v>3018</v>
      </c>
      <c r="C1631" s="226">
        <v>500292</v>
      </c>
      <c r="D1631" s="225" t="s">
        <v>3019</v>
      </c>
      <c r="E1631" s="225" t="s">
        <v>610</v>
      </c>
    </row>
    <row r="1632" spans="2:5" ht="15.75" thickBot="1">
      <c r="B1632" s="225" t="s">
        <v>3020</v>
      </c>
      <c r="C1632" s="226">
        <v>500292</v>
      </c>
      <c r="D1632" s="225" t="s">
        <v>3019</v>
      </c>
      <c r="E1632" s="225" t="s">
        <v>610</v>
      </c>
    </row>
    <row r="1633" spans="2:5" ht="15.75" thickBot="1">
      <c r="B1633" s="225" t="s">
        <v>3021</v>
      </c>
      <c r="C1633" s="226">
        <v>539174</v>
      </c>
      <c r="D1633" s="225" t="s">
        <v>3022</v>
      </c>
      <c r="E1633" s="225" t="s">
        <v>614</v>
      </c>
    </row>
    <row r="1634" spans="2:5" ht="15.75" thickBot="1">
      <c r="B1634" s="225" t="s">
        <v>3023</v>
      </c>
      <c r="C1634" s="226">
        <v>505520</v>
      </c>
      <c r="D1634" s="225" t="s">
        <v>597</v>
      </c>
      <c r="E1634" s="225" t="s">
        <v>1018</v>
      </c>
    </row>
    <row r="1635" spans="2:5" ht="15.75" thickBot="1">
      <c r="B1635" s="225" t="s">
        <v>3024</v>
      </c>
      <c r="C1635" s="226">
        <v>531178</v>
      </c>
      <c r="D1635" s="225" t="s">
        <v>597</v>
      </c>
      <c r="E1635" s="225" t="s">
        <v>619</v>
      </c>
    </row>
    <row r="1636" spans="2:5" ht="15.75" thickBot="1">
      <c r="B1636" s="225" t="s">
        <v>3025</v>
      </c>
      <c r="C1636" s="226">
        <v>524590</v>
      </c>
      <c r="D1636" s="225" t="s">
        <v>597</v>
      </c>
      <c r="E1636" s="225" t="s">
        <v>619</v>
      </c>
    </row>
    <row r="1637" spans="2:5" ht="15.75" thickBot="1">
      <c r="B1637" s="225" t="s">
        <v>3026</v>
      </c>
      <c r="C1637" s="226">
        <v>505720</v>
      </c>
      <c r="D1637" s="225" t="s">
        <v>3027</v>
      </c>
      <c r="E1637" s="225" t="s">
        <v>605</v>
      </c>
    </row>
    <row r="1638" spans="2:5" ht="15.75" thickBot="1">
      <c r="B1638" s="225" t="s">
        <v>3028</v>
      </c>
      <c r="C1638" s="226">
        <v>519552</v>
      </c>
      <c r="D1638" s="225" t="s">
        <v>3029</v>
      </c>
      <c r="E1638" s="225" t="s">
        <v>657</v>
      </c>
    </row>
    <row r="1639" spans="2:5" ht="15.75" thickBot="1">
      <c r="B1639" s="225" t="s">
        <v>3030</v>
      </c>
      <c r="C1639" s="226">
        <v>500182</v>
      </c>
      <c r="D1639" s="225" t="s">
        <v>3031</v>
      </c>
      <c r="E1639" s="225" t="s">
        <v>1255</v>
      </c>
    </row>
    <row r="1640" spans="2:5" ht="15.75" thickBot="1">
      <c r="B1640" s="225" t="s">
        <v>3032</v>
      </c>
      <c r="C1640" s="226">
        <v>524669</v>
      </c>
      <c r="D1640" s="225" t="s">
        <v>3033</v>
      </c>
      <c r="E1640" s="225" t="s">
        <v>635</v>
      </c>
    </row>
    <row r="1641" spans="2:5" ht="15.75" thickBot="1">
      <c r="B1641" s="225" t="s">
        <v>3034</v>
      </c>
      <c r="C1641" s="226">
        <v>534328</v>
      </c>
      <c r="D1641" s="225" t="s">
        <v>3035</v>
      </c>
      <c r="E1641" s="225" t="s">
        <v>619</v>
      </c>
    </row>
    <row r="1642" spans="2:5" ht="15.75" thickBot="1">
      <c r="B1642" s="225" t="s">
        <v>3036</v>
      </c>
      <c r="C1642" s="226">
        <v>532129</v>
      </c>
      <c r="D1642" s="225" t="s">
        <v>3037</v>
      </c>
      <c r="E1642" s="225" t="s">
        <v>583</v>
      </c>
    </row>
    <row r="1643" spans="2:5" ht="15.75" thickBot="1">
      <c r="B1643" s="225" t="s">
        <v>3038</v>
      </c>
      <c r="C1643" s="226">
        <v>504176</v>
      </c>
      <c r="D1643" s="225" t="s">
        <v>597</v>
      </c>
      <c r="E1643" s="225" t="s">
        <v>1143</v>
      </c>
    </row>
    <row r="1644" spans="2:5" ht="15.75" thickBot="1">
      <c r="B1644" s="225" t="s">
        <v>3039</v>
      </c>
      <c r="C1644" s="226">
        <v>504176</v>
      </c>
      <c r="D1644" s="225" t="s">
        <v>597</v>
      </c>
      <c r="E1644" s="225" t="s">
        <v>1143</v>
      </c>
    </row>
    <row r="1645" spans="2:5" ht="15.75" thickBot="1">
      <c r="B1645" s="225" t="s">
        <v>3040</v>
      </c>
      <c r="C1645" s="226">
        <v>517080</v>
      </c>
      <c r="D1645" s="225" t="s">
        <v>3041</v>
      </c>
      <c r="E1645" s="225" t="s">
        <v>995</v>
      </c>
    </row>
    <row r="1646" spans="2:5" ht="15.75" thickBot="1">
      <c r="B1646" s="225" t="s">
        <v>3042</v>
      </c>
      <c r="C1646" s="226">
        <v>531301</v>
      </c>
      <c r="D1646" s="225" t="s">
        <v>597</v>
      </c>
      <c r="E1646" s="225" t="s">
        <v>612</v>
      </c>
    </row>
    <row r="1647" spans="2:5" ht="15.75" thickBot="1">
      <c r="B1647" s="225" t="s">
        <v>3043</v>
      </c>
      <c r="C1647" s="226">
        <v>524735</v>
      </c>
      <c r="D1647" s="225" t="s">
        <v>3044</v>
      </c>
      <c r="E1647" s="225" t="s">
        <v>635</v>
      </c>
    </row>
    <row r="1648" spans="2:5" ht="15.75" thickBot="1">
      <c r="B1648" s="225" t="s">
        <v>3045</v>
      </c>
      <c r="C1648" s="226">
        <v>542332</v>
      </c>
      <c r="D1648" s="225" t="s">
        <v>3046</v>
      </c>
      <c r="E1648" s="225" t="s">
        <v>580</v>
      </c>
    </row>
    <row r="1649" spans="2:5" ht="15.75" thickBot="1">
      <c r="B1649" s="225" t="s">
        <v>3047</v>
      </c>
      <c r="C1649" s="226">
        <v>509675</v>
      </c>
      <c r="D1649" s="225" t="s">
        <v>3048</v>
      </c>
      <c r="E1649" s="225" t="s">
        <v>610</v>
      </c>
    </row>
    <row r="1650" spans="2:5" ht="15.75" thickBot="1">
      <c r="B1650" s="225" t="s">
        <v>3049</v>
      </c>
      <c r="C1650" s="226">
        <v>532847</v>
      </c>
      <c r="D1650" s="225" t="s">
        <v>3050</v>
      </c>
      <c r="E1650" s="225" t="s">
        <v>1517</v>
      </c>
    </row>
    <row r="1651" spans="2:5" ht="15.75" thickBot="1">
      <c r="B1651" s="225" t="s">
        <v>3051</v>
      </c>
      <c r="C1651" s="226">
        <v>505712</v>
      </c>
      <c r="D1651" s="225" t="s">
        <v>597</v>
      </c>
      <c r="E1651" s="225" t="s">
        <v>952</v>
      </c>
    </row>
    <row r="1652" spans="2:5" ht="15.75" thickBot="1">
      <c r="B1652" s="225" t="s">
        <v>3052</v>
      </c>
      <c r="C1652" s="226">
        <v>514010</v>
      </c>
      <c r="D1652" s="225" t="s">
        <v>597</v>
      </c>
      <c r="E1652" s="225" t="s">
        <v>612</v>
      </c>
    </row>
    <row r="1653" spans="2:5" ht="15.75" thickBot="1">
      <c r="B1653" s="225" t="s">
        <v>3053</v>
      </c>
      <c r="C1653" s="226">
        <v>500183</v>
      </c>
      <c r="D1653" s="225" t="s">
        <v>3054</v>
      </c>
      <c r="E1653" s="225" t="s">
        <v>867</v>
      </c>
    </row>
    <row r="1654" spans="2:5" ht="15.75" thickBot="1">
      <c r="B1654" s="225" t="s">
        <v>3055</v>
      </c>
      <c r="C1654" s="226">
        <v>500184</v>
      </c>
      <c r="D1654" s="225" t="s">
        <v>3056</v>
      </c>
      <c r="E1654" s="225" t="s">
        <v>757</v>
      </c>
    </row>
    <row r="1655" spans="2:5" ht="15.75" thickBot="1">
      <c r="B1655" s="225" t="s">
        <v>3057</v>
      </c>
      <c r="C1655" s="226">
        <v>526899</v>
      </c>
      <c r="D1655" s="225" t="s">
        <v>597</v>
      </c>
      <c r="E1655" s="225" t="s">
        <v>795</v>
      </c>
    </row>
    <row r="1656" spans="2:5" ht="15.75" thickBot="1">
      <c r="B1656" s="225" t="s">
        <v>3058</v>
      </c>
      <c r="C1656" s="226">
        <v>513723</v>
      </c>
      <c r="D1656" s="225" t="s">
        <v>597</v>
      </c>
      <c r="E1656" s="225" t="s">
        <v>1125</v>
      </c>
    </row>
    <row r="1657" spans="2:5" ht="15.75" thickBot="1">
      <c r="B1657" s="225" t="s">
        <v>3059</v>
      </c>
      <c r="C1657" s="226">
        <v>511169</v>
      </c>
      <c r="D1657" s="225" t="s">
        <v>597</v>
      </c>
      <c r="E1657" s="225" t="s">
        <v>614</v>
      </c>
    </row>
    <row r="1658" spans="2:5" ht="15.75" thickBot="1">
      <c r="B1658" s="225" t="s">
        <v>3060</v>
      </c>
      <c r="C1658" s="226">
        <v>514043</v>
      </c>
      <c r="D1658" s="225" t="s">
        <v>3061</v>
      </c>
      <c r="E1658" s="225" t="s">
        <v>612</v>
      </c>
    </row>
    <row r="1659" spans="2:5" ht="15.75" thickBot="1">
      <c r="B1659" s="225" t="s">
        <v>3062</v>
      </c>
      <c r="C1659" s="226">
        <v>531979</v>
      </c>
      <c r="D1659" s="225" t="s">
        <v>597</v>
      </c>
      <c r="E1659" s="225" t="s">
        <v>902</v>
      </c>
    </row>
    <row r="1660" spans="2:5" ht="15.75" thickBot="1">
      <c r="B1660" s="225" t="s">
        <v>3063</v>
      </c>
      <c r="C1660" s="226">
        <v>538652</v>
      </c>
      <c r="D1660" s="225" t="s">
        <v>597</v>
      </c>
      <c r="E1660" s="225" t="s">
        <v>619</v>
      </c>
    </row>
    <row r="1661" spans="2:5" ht="15.75" thickBot="1">
      <c r="B1661" s="225" t="s">
        <v>3064</v>
      </c>
      <c r="C1661" s="226">
        <v>504036</v>
      </c>
      <c r="D1661" s="225" t="s">
        <v>3065</v>
      </c>
      <c r="E1661" s="225" t="s">
        <v>1139</v>
      </c>
    </row>
    <row r="1662" spans="2:5" ht="15.75" thickBot="1">
      <c r="B1662" s="225" t="s">
        <v>3066</v>
      </c>
      <c r="C1662" s="226">
        <v>539114</v>
      </c>
      <c r="D1662" s="225" t="s">
        <v>597</v>
      </c>
      <c r="E1662" s="225" t="s">
        <v>614</v>
      </c>
    </row>
    <row r="1663" spans="2:5" ht="15.75" thickBot="1">
      <c r="B1663" s="225" t="s">
        <v>3067</v>
      </c>
      <c r="C1663" s="226">
        <v>503881</v>
      </c>
      <c r="D1663" s="225" t="s">
        <v>3068</v>
      </c>
      <c r="E1663" s="225" t="s">
        <v>612</v>
      </c>
    </row>
    <row r="1664" spans="2:5" ht="15.75" thickBot="1">
      <c r="B1664" s="225" t="s">
        <v>3069</v>
      </c>
      <c r="C1664" s="226">
        <v>500440</v>
      </c>
      <c r="D1664" s="225" t="s">
        <v>3070</v>
      </c>
      <c r="E1664" s="225" t="s">
        <v>902</v>
      </c>
    </row>
    <row r="1665" spans="2:5" ht="15.75" thickBot="1">
      <c r="B1665" s="225" t="s">
        <v>3071</v>
      </c>
      <c r="C1665" s="225" t="s">
        <v>597</v>
      </c>
      <c r="D1665" s="225" t="s">
        <v>3072</v>
      </c>
      <c r="E1665" s="225" t="s">
        <v>608</v>
      </c>
    </row>
    <row r="1666" spans="2:5" ht="15.75" thickBot="1">
      <c r="B1666" s="225" t="s">
        <v>3073</v>
      </c>
      <c r="C1666" s="226">
        <v>509895</v>
      </c>
      <c r="D1666" s="225" t="s">
        <v>597</v>
      </c>
      <c r="E1666" s="225" t="s">
        <v>612</v>
      </c>
    </row>
    <row r="1667" spans="2:5" ht="15.75" thickBot="1">
      <c r="B1667" s="225" t="s">
        <v>3074</v>
      </c>
      <c r="C1667" s="226">
        <v>532859</v>
      </c>
      <c r="D1667" s="225" t="s">
        <v>3075</v>
      </c>
      <c r="E1667" s="225" t="s">
        <v>927</v>
      </c>
    </row>
    <row r="1668" spans="2:5" ht="15.75" thickBot="1">
      <c r="B1668" s="225" t="s">
        <v>3076</v>
      </c>
      <c r="C1668" s="226">
        <v>500189</v>
      </c>
      <c r="D1668" s="225" t="s">
        <v>3077</v>
      </c>
      <c r="E1668" s="225" t="s">
        <v>1336</v>
      </c>
    </row>
    <row r="1669" spans="2:5" ht="15.75" thickBot="1">
      <c r="B1669" s="225" t="s">
        <v>3078</v>
      </c>
      <c r="C1669" s="226">
        <v>514428</v>
      </c>
      <c r="D1669" s="225" t="s">
        <v>597</v>
      </c>
      <c r="E1669" s="225" t="s">
        <v>717</v>
      </c>
    </row>
    <row r="1670" spans="2:5" ht="15.75" thickBot="1">
      <c r="B1670" s="225" t="s">
        <v>3079</v>
      </c>
      <c r="C1670" s="226">
        <v>541154</v>
      </c>
      <c r="D1670" s="225" t="s">
        <v>3080</v>
      </c>
      <c r="E1670" s="225" t="s">
        <v>3081</v>
      </c>
    </row>
    <row r="1671" spans="2:5" ht="15.75" thickBot="1">
      <c r="B1671" s="225" t="s">
        <v>3082</v>
      </c>
      <c r="C1671" s="226">
        <v>531918</v>
      </c>
      <c r="D1671" s="225" t="s">
        <v>597</v>
      </c>
      <c r="E1671" s="225" t="s">
        <v>619</v>
      </c>
    </row>
    <row r="1672" spans="2:5" ht="15.75" thickBot="1">
      <c r="B1672" s="225" t="s">
        <v>3083</v>
      </c>
      <c r="C1672" s="226">
        <v>532041</v>
      </c>
      <c r="D1672" s="225" t="s">
        <v>3084</v>
      </c>
      <c r="E1672" s="225" t="s">
        <v>690</v>
      </c>
    </row>
    <row r="1673" spans="2:5" ht="15.75" thickBot="1">
      <c r="B1673" s="225" t="s">
        <v>3085</v>
      </c>
      <c r="C1673" s="226">
        <v>509635</v>
      </c>
      <c r="D1673" s="225" t="s">
        <v>3086</v>
      </c>
      <c r="E1673" s="225" t="s">
        <v>952</v>
      </c>
    </row>
    <row r="1674" spans="2:5" ht="15.75" thickBot="1">
      <c r="B1674" s="225" t="s">
        <v>3087</v>
      </c>
      <c r="C1674" s="226">
        <v>500185</v>
      </c>
      <c r="D1674" s="225" t="s">
        <v>3088</v>
      </c>
      <c r="E1674" s="225" t="s">
        <v>995</v>
      </c>
    </row>
    <row r="1675" spans="2:5" ht="15.75" thickBot="1">
      <c r="B1675" s="225" t="s">
        <v>3089</v>
      </c>
      <c r="C1675" s="226">
        <v>513599</v>
      </c>
      <c r="D1675" s="225" t="s">
        <v>3090</v>
      </c>
      <c r="E1675" s="225" t="s">
        <v>671</v>
      </c>
    </row>
    <row r="1676" spans="2:5" ht="15.75" thickBot="1">
      <c r="B1676" s="225" t="s">
        <v>3091</v>
      </c>
      <c r="C1676" s="226">
        <v>505725</v>
      </c>
      <c r="D1676" s="225" t="s">
        <v>3092</v>
      </c>
      <c r="E1676" s="225" t="s">
        <v>782</v>
      </c>
    </row>
    <row r="1677" spans="2:5" ht="15.75" thickBot="1">
      <c r="B1677" s="225" t="s">
        <v>3093</v>
      </c>
      <c r="C1677" s="226">
        <v>524013</v>
      </c>
      <c r="D1677" s="225" t="s">
        <v>597</v>
      </c>
      <c r="E1677" s="225" t="s">
        <v>974</v>
      </c>
    </row>
    <row r="1678" spans="2:5" ht="15.75" thickBot="1">
      <c r="B1678" s="225" t="s">
        <v>3094</v>
      </c>
      <c r="C1678" s="226">
        <v>519126</v>
      </c>
      <c r="D1678" s="225" t="s">
        <v>597</v>
      </c>
      <c r="E1678" s="225" t="s">
        <v>657</v>
      </c>
    </row>
    <row r="1679" spans="2:5" ht="15.75" thickBot="1">
      <c r="B1679" s="225" t="s">
        <v>3095</v>
      </c>
      <c r="C1679" s="226">
        <v>505893</v>
      </c>
      <c r="D1679" s="225" t="s">
        <v>597</v>
      </c>
      <c r="E1679" s="225" t="s">
        <v>952</v>
      </c>
    </row>
    <row r="1680" spans="2:5" ht="15.75" thickBot="1">
      <c r="B1680" s="225" t="s">
        <v>3096</v>
      </c>
      <c r="C1680" s="226">
        <v>509650</v>
      </c>
      <c r="D1680" s="225" t="s">
        <v>597</v>
      </c>
      <c r="E1680" s="225" t="s">
        <v>655</v>
      </c>
    </row>
    <row r="1681" spans="2:5" ht="15.75" thickBot="1">
      <c r="B1681" s="225" t="s">
        <v>3097</v>
      </c>
      <c r="C1681" s="226">
        <v>533217</v>
      </c>
      <c r="D1681" s="225" t="s">
        <v>3098</v>
      </c>
      <c r="E1681" s="225" t="s">
        <v>1121</v>
      </c>
    </row>
    <row r="1682" spans="2:5" ht="15.75" thickBot="1">
      <c r="B1682" s="225" t="s">
        <v>3099</v>
      </c>
      <c r="C1682" s="226">
        <v>500500</v>
      </c>
      <c r="D1682" s="225" t="s">
        <v>3100</v>
      </c>
      <c r="E1682" s="225" t="s">
        <v>2526</v>
      </c>
    </row>
    <row r="1683" spans="2:5" ht="15.75" thickBot="1">
      <c r="B1683" s="225" t="s">
        <v>3101</v>
      </c>
      <c r="C1683" s="226">
        <v>500186</v>
      </c>
      <c r="D1683" s="225" t="s">
        <v>3102</v>
      </c>
      <c r="E1683" s="225" t="s">
        <v>660</v>
      </c>
    </row>
    <row r="1684" spans="2:5" ht="15.75" thickBot="1">
      <c r="B1684" s="225" t="s">
        <v>3103</v>
      </c>
      <c r="C1684" s="226">
        <v>500449</v>
      </c>
      <c r="D1684" s="225" t="s">
        <v>597</v>
      </c>
      <c r="E1684" s="225" t="s">
        <v>645</v>
      </c>
    </row>
    <row r="1685" spans="2:5" ht="15.75" thickBot="1">
      <c r="B1685" s="225" t="s">
        <v>3104</v>
      </c>
      <c r="C1685" s="226">
        <v>500104</v>
      </c>
      <c r="D1685" s="225" t="s">
        <v>3105</v>
      </c>
      <c r="E1685" s="225" t="s">
        <v>1526</v>
      </c>
    </row>
    <row r="1686" spans="2:5" ht="15.75" thickBot="1">
      <c r="B1686" s="225" t="s">
        <v>3106</v>
      </c>
      <c r="C1686" s="226">
        <v>530315</v>
      </c>
      <c r="D1686" s="225" t="s">
        <v>597</v>
      </c>
      <c r="E1686" s="225" t="s">
        <v>792</v>
      </c>
    </row>
    <row r="1687" spans="2:5" ht="15.75" thickBot="1">
      <c r="B1687" s="225" t="s">
        <v>3107</v>
      </c>
      <c r="C1687" s="226">
        <v>500696</v>
      </c>
      <c r="D1687" s="225" t="s">
        <v>3108</v>
      </c>
      <c r="E1687" s="225" t="s">
        <v>779</v>
      </c>
    </row>
    <row r="1688" spans="2:5" ht="15.75" thickBot="1">
      <c r="B1688" s="225" t="s">
        <v>3109</v>
      </c>
      <c r="C1688" s="226">
        <v>504713</v>
      </c>
      <c r="D1688" s="225" t="s">
        <v>597</v>
      </c>
      <c r="E1688" s="225" t="s">
        <v>1517</v>
      </c>
    </row>
    <row r="1689" spans="2:5" ht="15.75" thickBot="1">
      <c r="B1689" s="225" t="s">
        <v>3110</v>
      </c>
      <c r="C1689" s="226">
        <v>500188</v>
      </c>
      <c r="D1689" s="225" t="s">
        <v>3111</v>
      </c>
      <c r="E1689" s="225" t="s">
        <v>3112</v>
      </c>
    </row>
    <row r="1690" spans="2:5" ht="15.75" thickBot="1">
      <c r="B1690" s="225" t="s">
        <v>3113</v>
      </c>
      <c r="C1690" s="226">
        <v>515145</v>
      </c>
      <c r="D1690" s="225" t="s">
        <v>3114</v>
      </c>
      <c r="E1690" s="225" t="s">
        <v>792</v>
      </c>
    </row>
    <row r="1691" spans="2:5" ht="15.75" thickBot="1">
      <c r="B1691" s="225" t="s">
        <v>3115</v>
      </c>
      <c r="C1691" s="226">
        <v>513039</v>
      </c>
      <c r="D1691" s="225" t="s">
        <v>597</v>
      </c>
      <c r="E1691" s="225" t="s">
        <v>605</v>
      </c>
    </row>
    <row r="1692" spans="2:5" ht="15.75" thickBot="1">
      <c r="B1692" s="225" t="s">
        <v>3116</v>
      </c>
      <c r="C1692" s="226">
        <v>539984</v>
      </c>
      <c r="D1692" s="225" t="s">
        <v>597</v>
      </c>
      <c r="E1692" s="225" t="s">
        <v>1139</v>
      </c>
    </row>
    <row r="1693" spans="2:5" ht="15.75" thickBot="1">
      <c r="B1693" s="225" t="s">
        <v>3117</v>
      </c>
      <c r="C1693" s="226">
        <v>530853</v>
      </c>
      <c r="D1693" s="225" t="s">
        <v>597</v>
      </c>
      <c r="E1693" s="225" t="s">
        <v>2415</v>
      </c>
    </row>
    <row r="1694" spans="2:5" ht="15.75" thickBot="1">
      <c r="B1694" s="225" t="s">
        <v>3118</v>
      </c>
      <c r="C1694" s="226">
        <v>531743</v>
      </c>
      <c r="D1694" s="225" t="s">
        <v>597</v>
      </c>
      <c r="E1694" s="225" t="s">
        <v>619</v>
      </c>
    </row>
    <row r="1695" spans="2:5" ht="15.75" thickBot="1">
      <c r="B1695" s="225" t="s">
        <v>3119</v>
      </c>
      <c r="C1695" s="226">
        <v>590018</v>
      </c>
      <c r="D1695" s="225" t="s">
        <v>3120</v>
      </c>
      <c r="E1695" s="225" t="s">
        <v>629</v>
      </c>
    </row>
    <row r="1696" spans="2:5" ht="15.75" thickBot="1">
      <c r="B1696" s="225" t="s">
        <v>3121</v>
      </c>
      <c r="C1696" s="226">
        <v>521068</v>
      </c>
      <c r="D1696" s="225" t="s">
        <v>597</v>
      </c>
      <c r="E1696" s="225" t="s">
        <v>612</v>
      </c>
    </row>
    <row r="1697" spans="2:5" ht="15.75" thickBot="1">
      <c r="B1697" s="225" t="s">
        <v>3122</v>
      </c>
      <c r="C1697" s="226">
        <v>532359</v>
      </c>
      <c r="D1697" s="225" t="s">
        <v>597</v>
      </c>
      <c r="E1697" s="225" t="s">
        <v>690</v>
      </c>
    </row>
    <row r="1698" spans="2:5" ht="15.75" thickBot="1">
      <c r="B1698" s="225" t="s">
        <v>3123</v>
      </c>
      <c r="C1698" s="226">
        <v>526217</v>
      </c>
      <c r="D1698" s="225" t="s">
        <v>3124</v>
      </c>
      <c r="E1698" s="225" t="s">
        <v>792</v>
      </c>
    </row>
    <row r="1699" spans="2:5" ht="15.75" thickBot="1">
      <c r="B1699" s="225" t="s">
        <v>3125</v>
      </c>
      <c r="C1699" s="225" t="s">
        <v>597</v>
      </c>
      <c r="D1699" s="225" t="s">
        <v>3126</v>
      </c>
      <c r="E1699" s="225" t="s">
        <v>688</v>
      </c>
    </row>
    <row r="1700" spans="2:5" ht="15.75" thickBot="1">
      <c r="B1700" s="225" t="s">
        <v>3127</v>
      </c>
      <c r="C1700" s="226">
        <v>541627</v>
      </c>
      <c r="D1700" s="225" t="s">
        <v>3128</v>
      </c>
      <c r="E1700" s="225" t="s">
        <v>1965</v>
      </c>
    </row>
    <row r="1701" spans="2:5" ht="15.75" thickBot="1">
      <c r="B1701" s="225" t="s">
        <v>3129</v>
      </c>
      <c r="C1701" s="226">
        <v>531661</v>
      </c>
      <c r="D1701" s="225" t="s">
        <v>597</v>
      </c>
      <c r="E1701" s="225" t="s">
        <v>605</v>
      </c>
    </row>
    <row r="1702" spans="2:5" ht="15.75" thickBot="1">
      <c r="B1702" s="225" t="s">
        <v>3130</v>
      </c>
      <c r="C1702" s="226">
        <v>500191</v>
      </c>
      <c r="D1702" s="225" t="s">
        <v>3131</v>
      </c>
      <c r="E1702" s="225" t="s">
        <v>675</v>
      </c>
    </row>
    <row r="1703" spans="2:5" ht="15.75" thickBot="1">
      <c r="B1703" s="225" t="s">
        <v>3132</v>
      </c>
      <c r="C1703" s="226">
        <v>522064</v>
      </c>
      <c r="D1703" s="225" t="s">
        <v>3133</v>
      </c>
      <c r="E1703" s="225" t="s">
        <v>605</v>
      </c>
    </row>
    <row r="1704" spans="2:5" ht="15.75" thickBot="1">
      <c r="B1704" s="225" t="s">
        <v>3134</v>
      </c>
      <c r="C1704" s="226">
        <v>517174</v>
      </c>
      <c r="D1704" s="225" t="s">
        <v>3135</v>
      </c>
      <c r="E1704" s="225" t="s">
        <v>895</v>
      </c>
    </row>
    <row r="1705" spans="2:5" ht="15.75" thickBot="1">
      <c r="B1705" s="225" t="s">
        <v>3136</v>
      </c>
      <c r="C1705" s="226">
        <v>517174</v>
      </c>
      <c r="D1705" s="225" t="s">
        <v>3135</v>
      </c>
      <c r="E1705" s="225" t="s">
        <v>895</v>
      </c>
    </row>
    <row r="1706" spans="2:5" ht="15.75" thickBot="1">
      <c r="B1706" s="225" t="s">
        <v>3137</v>
      </c>
      <c r="C1706" s="226">
        <v>500193</v>
      </c>
      <c r="D1706" s="225" t="s">
        <v>3138</v>
      </c>
      <c r="E1706" s="225" t="s">
        <v>798</v>
      </c>
    </row>
    <row r="1707" spans="2:5" ht="15.75" thickBot="1">
      <c r="B1707" s="225" t="s">
        <v>3139</v>
      </c>
      <c r="C1707" s="226">
        <v>526683</v>
      </c>
      <c r="D1707" s="225" t="s">
        <v>3140</v>
      </c>
      <c r="E1707" s="225" t="s">
        <v>798</v>
      </c>
    </row>
    <row r="1708" spans="2:5" ht="15.75" thickBot="1">
      <c r="B1708" s="225" t="s">
        <v>3141</v>
      </c>
      <c r="C1708" s="226">
        <v>540530</v>
      </c>
      <c r="D1708" s="225" t="s">
        <v>3142</v>
      </c>
      <c r="E1708" s="225" t="s">
        <v>655</v>
      </c>
    </row>
    <row r="1709" spans="2:5" ht="15.75" thickBot="1">
      <c r="B1709" s="225" t="s">
        <v>3143</v>
      </c>
      <c r="C1709" s="226">
        <v>532873</v>
      </c>
      <c r="D1709" s="225" t="s">
        <v>3144</v>
      </c>
      <c r="E1709" s="225" t="s">
        <v>683</v>
      </c>
    </row>
    <row r="1710" spans="2:5" ht="15.75" thickBot="1">
      <c r="B1710" s="225" t="s">
        <v>3145</v>
      </c>
      <c r="C1710" s="226">
        <v>500010</v>
      </c>
      <c r="D1710" s="225" t="s">
        <v>3146</v>
      </c>
      <c r="E1710" s="225" t="s">
        <v>655</v>
      </c>
    </row>
    <row r="1711" spans="2:5" ht="15.75" thickBot="1">
      <c r="B1711" s="225" t="s">
        <v>3147</v>
      </c>
      <c r="C1711" s="226">
        <v>532761</v>
      </c>
      <c r="D1711" s="225" t="s">
        <v>3148</v>
      </c>
      <c r="E1711" s="225" t="s">
        <v>927</v>
      </c>
    </row>
    <row r="1712" spans="2:5" ht="15.75" thickBot="1">
      <c r="B1712" s="225" t="s">
        <v>3149</v>
      </c>
      <c r="C1712" s="226">
        <v>526761</v>
      </c>
      <c r="D1712" s="225" t="s">
        <v>597</v>
      </c>
      <c r="E1712" s="225" t="s">
        <v>798</v>
      </c>
    </row>
    <row r="1713" spans="2:5" ht="15.75" thickBot="1">
      <c r="B1713" s="225" t="s">
        <v>3150</v>
      </c>
      <c r="C1713" s="226">
        <v>535217</v>
      </c>
      <c r="D1713" s="225" t="s">
        <v>597</v>
      </c>
      <c r="E1713" s="225" t="s">
        <v>795</v>
      </c>
    </row>
    <row r="1714" spans="2:5" ht="15.75" thickBot="1">
      <c r="B1714" s="225" t="s">
        <v>3151</v>
      </c>
      <c r="C1714" s="226">
        <v>540136</v>
      </c>
      <c r="D1714" s="225" t="s">
        <v>3152</v>
      </c>
      <c r="E1714" s="225" t="s">
        <v>640</v>
      </c>
    </row>
    <row r="1715" spans="2:5" ht="15.75" thickBot="1">
      <c r="B1715" s="225" t="s">
        <v>3153</v>
      </c>
      <c r="C1715" s="226">
        <v>531724</v>
      </c>
      <c r="D1715" s="225" t="s">
        <v>597</v>
      </c>
      <c r="E1715" s="225" t="s">
        <v>1018</v>
      </c>
    </row>
    <row r="1716" spans="2:5" ht="15.75" thickBot="1">
      <c r="B1716" s="225" t="s">
        <v>3154</v>
      </c>
      <c r="C1716" s="226">
        <v>500187</v>
      </c>
      <c r="D1716" s="225" t="s">
        <v>3155</v>
      </c>
      <c r="E1716" s="225" t="s">
        <v>792</v>
      </c>
    </row>
    <row r="1717" spans="2:5" ht="15.75" thickBot="1">
      <c r="B1717" s="225" t="s">
        <v>3156</v>
      </c>
      <c r="C1717" s="226">
        <v>532662</v>
      </c>
      <c r="D1717" s="225" t="s">
        <v>3157</v>
      </c>
      <c r="E1717" s="225" t="s">
        <v>1121</v>
      </c>
    </row>
    <row r="1718" spans="2:5" ht="15.75" thickBot="1">
      <c r="B1718" s="225" t="s">
        <v>3158</v>
      </c>
      <c r="C1718" s="226">
        <v>532799</v>
      </c>
      <c r="D1718" s="225" t="s">
        <v>3159</v>
      </c>
      <c r="E1718" s="225" t="s">
        <v>683</v>
      </c>
    </row>
    <row r="1719" spans="2:5" ht="15.75" thickBot="1">
      <c r="B1719" s="225" t="s">
        <v>3160</v>
      </c>
      <c r="C1719" s="226">
        <v>509820</v>
      </c>
      <c r="D1719" s="225" t="s">
        <v>3161</v>
      </c>
      <c r="E1719" s="225" t="s">
        <v>792</v>
      </c>
    </row>
    <row r="1720" spans="2:5" ht="15.75" thickBot="1">
      <c r="B1720" s="225" t="s">
        <v>3162</v>
      </c>
      <c r="C1720" s="226">
        <v>542592</v>
      </c>
      <c r="D1720" s="225" t="s">
        <v>3163</v>
      </c>
      <c r="E1720" s="225" t="s">
        <v>702</v>
      </c>
    </row>
    <row r="1721" spans="2:5" ht="15.75" thickBot="1">
      <c r="B1721" s="225" t="s">
        <v>3164</v>
      </c>
      <c r="C1721" s="225" t="s">
        <v>597</v>
      </c>
      <c r="D1721" s="225" t="s">
        <v>3165</v>
      </c>
      <c r="E1721" s="225" t="s">
        <v>608</v>
      </c>
    </row>
    <row r="1722" spans="2:5" ht="15.75" thickBot="1">
      <c r="B1722" s="225" t="s">
        <v>3166</v>
      </c>
      <c r="C1722" s="226">
        <v>539724</v>
      </c>
      <c r="D1722" s="225" t="s">
        <v>597</v>
      </c>
      <c r="E1722" s="225" t="s">
        <v>583</v>
      </c>
    </row>
    <row r="1723" spans="2:5" ht="15.75" thickBot="1">
      <c r="B1723" s="225" t="s">
        <v>3167</v>
      </c>
      <c r="C1723" s="226">
        <v>519463</v>
      </c>
      <c r="D1723" s="225" t="s">
        <v>597</v>
      </c>
      <c r="E1723" s="225" t="s">
        <v>795</v>
      </c>
    </row>
    <row r="1724" spans="2:5" ht="15.75" thickBot="1">
      <c r="B1724" s="225" t="s">
        <v>3168</v>
      </c>
      <c r="C1724" s="225" t="s">
        <v>597</v>
      </c>
      <c r="D1724" s="225" t="s">
        <v>3169</v>
      </c>
      <c r="E1724" s="225" t="s">
        <v>608</v>
      </c>
    </row>
    <row r="1725" spans="2:5" ht="15.75" thickBot="1">
      <c r="B1725" s="225" t="s">
        <v>3170</v>
      </c>
      <c r="C1725" s="226">
        <v>532174</v>
      </c>
      <c r="D1725" s="225" t="s">
        <v>3171</v>
      </c>
      <c r="E1725" s="225" t="s">
        <v>915</v>
      </c>
    </row>
    <row r="1726" spans="2:5" ht="15.75" thickBot="1">
      <c r="B1726" s="225" t="s">
        <v>3172</v>
      </c>
      <c r="C1726" s="226">
        <v>540716</v>
      </c>
      <c r="D1726" s="225" t="s">
        <v>3173</v>
      </c>
      <c r="E1726" s="225" t="s">
        <v>2679</v>
      </c>
    </row>
    <row r="1727" spans="2:5" ht="15.75" thickBot="1">
      <c r="B1727" s="225" t="s">
        <v>3174</v>
      </c>
      <c r="C1727" s="226">
        <v>533244</v>
      </c>
      <c r="D1727" s="225" t="s">
        <v>3175</v>
      </c>
      <c r="E1727" s="225" t="s">
        <v>580</v>
      </c>
    </row>
    <row r="1728" spans="2:5" ht="15.75" thickBot="1">
      <c r="B1728" s="225" t="s">
        <v>3176</v>
      </c>
      <c r="C1728" s="226">
        <v>540133</v>
      </c>
      <c r="D1728" s="225" t="s">
        <v>3177</v>
      </c>
      <c r="E1728" s="225" t="s">
        <v>3009</v>
      </c>
    </row>
    <row r="1729" spans="2:5" ht="15.75" thickBot="1">
      <c r="B1729" s="225" t="s">
        <v>3178</v>
      </c>
      <c r="C1729" s="226">
        <v>555555</v>
      </c>
      <c r="D1729" s="225" t="s">
        <v>3179</v>
      </c>
      <c r="E1729" s="225" t="s">
        <v>580</v>
      </c>
    </row>
    <row r="1730" spans="2:5" ht="15.75" thickBot="1">
      <c r="B1730" s="225" t="s">
        <v>3180</v>
      </c>
      <c r="C1730" s="226">
        <v>541179</v>
      </c>
      <c r="D1730" s="225" t="s">
        <v>3181</v>
      </c>
      <c r="E1730" s="225" t="s">
        <v>580</v>
      </c>
    </row>
    <row r="1731" spans="2:5" ht="15.75" thickBot="1">
      <c r="B1731" s="225" t="s">
        <v>3182</v>
      </c>
      <c r="C1731" s="226">
        <v>532835</v>
      </c>
      <c r="D1731" s="225" t="s">
        <v>3183</v>
      </c>
      <c r="E1731" s="225" t="s">
        <v>580</v>
      </c>
    </row>
    <row r="1732" spans="2:5" ht="15.75" thickBot="1">
      <c r="B1732" s="225" t="s">
        <v>3184</v>
      </c>
      <c r="C1732" s="226">
        <v>531524</v>
      </c>
      <c r="D1732" s="225" t="s">
        <v>3185</v>
      </c>
      <c r="E1732" s="225" t="s">
        <v>895</v>
      </c>
    </row>
    <row r="1733" spans="2:5" ht="15.75" thickBot="1">
      <c r="B1733" s="225" t="s">
        <v>3186</v>
      </c>
      <c r="C1733" s="226">
        <v>531524</v>
      </c>
      <c r="D1733" s="225" t="s">
        <v>3185</v>
      </c>
      <c r="E1733" s="225" t="s">
        <v>895</v>
      </c>
    </row>
    <row r="1734" spans="2:5" ht="15.75" thickBot="1">
      <c r="B1734" s="225" t="s">
        <v>3187</v>
      </c>
      <c r="C1734" s="226">
        <v>500116</v>
      </c>
      <c r="D1734" s="225" t="s">
        <v>3188</v>
      </c>
      <c r="E1734" s="225" t="s">
        <v>915</v>
      </c>
    </row>
    <row r="1735" spans="2:5" ht="15.75" thickBot="1">
      <c r="B1735" s="225" t="s">
        <v>3189</v>
      </c>
      <c r="C1735" s="226">
        <v>539437</v>
      </c>
      <c r="D1735" s="225" t="s">
        <v>3190</v>
      </c>
      <c r="E1735" s="225" t="s">
        <v>915</v>
      </c>
    </row>
    <row r="1736" spans="2:5" ht="15.75" thickBot="1">
      <c r="B1736" s="225" t="s">
        <v>3191</v>
      </c>
      <c r="C1736" s="225" t="s">
        <v>597</v>
      </c>
      <c r="D1736" s="225" t="s">
        <v>3192</v>
      </c>
      <c r="E1736" s="225" t="s">
        <v>915</v>
      </c>
    </row>
    <row r="1737" spans="2:5" ht="15.75" thickBot="1">
      <c r="B1737" s="225" t="s">
        <v>3193</v>
      </c>
      <c r="C1737" s="226">
        <v>532659</v>
      </c>
      <c r="D1737" s="225" t="s">
        <v>3194</v>
      </c>
      <c r="E1737" s="225" t="s">
        <v>614</v>
      </c>
    </row>
    <row r="1738" spans="2:5" ht="15.75" thickBot="1">
      <c r="B1738" s="225" t="s">
        <v>3195</v>
      </c>
      <c r="C1738" s="226">
        <v>507438</v>
      </c>
      <c r="D1738" s="225" t="s">
        <v>3196</v>
      </c>
      <c r="E1738" s="225" t="s">
        <v>1229</v>
      </c>
    </row>
    <row r="1739" spans="2:5" ht="15.75" thickBot="1">
      <c r="B1739" s="225" t="s">
        <v>3197</v>
      </c>
      <c r="C1739" s="226">
        <v>505726</v>
      </c>
      <c r="D1739" s="225" t="s">
        <v>3198</v>
      </c>
      <c r="E1739" s="225" t="s">
        <v>1362</v>
      </c>
    </row>
    <row r="1740" spans="2:5" ht="15.75" thickBot="1">
      <c r="B1740" s="225" t="s">
        <v>3199</v>
      </c>
      <c r="C1740" s="226">
        <v>500106</v>
      </c>
      <c r="D1740" s="225" t="s">
        <v>3200</v>
      </c>
      <c r="E1740" s="225" t="s">
        <v>2929</v>
      </c>
    </row>
    <row r="1741" spans="2:5" ht="15.75" thickBot="1">
      <c r="B1741" s="225" t="s">
        <v>3201</v>
      </c>
      <c r="C1741" s="226">
        <v>540774</v>
      </c>
      <c r="D1741" s="225" t="s">
        <v>3202</v>
      </c>
      <c r="E1741" s="225" t="s">
        <v>782</v>
      </c>
    </row>
    <row r="1742" spans="2:5" ht="15.75" thickBot="1">
      <c r="B1742" s="225" t="s">
        <v>3203</v>
      </c>
      <c r="C1742" s="226">
        <v>540377</v>
      </c>
      <c r="D1742" s="225" t="s">
        <v>597</v>
      </c>
      <c r="E1742" s="225" t="s">
        <v>619</v>
      </c>
    </row>
    <row r="1743" spans="2:5" ht="15.75" thickBot="1">
      <c r="B1743" s="225" t="s">
        <v>3204</v>
      </c>
      <c r="C1743" s="226">
        <v>522289</v>
      </c>
      <c r="D1743" s="225" t="s">
        <v>597</v>
      </c>
      <c r="E1743" s="225" t="s">
        <v>619</v>
      </c>
    </row>
    <row r="1744" spans="2:5" ht="15.75" thickBot="1">
      <c r="B1744" s="225" t="s">
        <v>3205</v>
      </c>
      <c r="C1744" s="226">
        <v>500199</v>
      </c>
      <c r="D1744" s="225" t="s">
        <v>3206</v>
      </c>
      <c r="E1744" s="225" t="s">
        <v>645</v>
      </c>
    </row>
    <row r="1745" spans="2:5" ht="15.75" thickBot="1">
      <c r="B1745" s="225" t="s">
        <v>3207</v>
      </c>
      <c r="C1745" s="226">
        <v>517380</v>
      </c>
      <c r="D1745" s="225" t="s">
        <v>3208</v>
      </c>
      <c r="E1745" s="225" t="s">
        <v>952</v>
      </c>
    </row>
    <row r="1746" spans="2:5" ht="15.75" thickBot="1">
      <c r="B1746" s="225" t="s">
        <v>3209</v>
      </c>
      <c r="C1746" s="226">
        <v>517380</v>
      </c>
      <c r="D1746" s="225" t="s">
        <v>3208</v>
      </c>
      <c r="E1746" s="225" t="s">
        <v>952</v>
      </c>
    </row>
    <row r="1747" spans="2:5" ht="15.75" thickBot="1">
      <c r="B1747" s="225" t="s">
        <v>3210</v>
      </c>
      <c r="C1747" s="226">
        <v>539449</v>
      </c>
      <c r="D1747" s="225" t="s">
        <v>597</v>
      </c>
      <c r="E1747" s="225" t="s">
        <v>619</v>
      </c>
    </row>
    <row r="1748" spans="2:5" ht="15.75" thickBot="1">
      <c r="B1748" s="225" t="s">
        <v>3211</v>
      </c>
      <c r="C1748" s="226">
        <v>532636</v>
      </c>
      <c r="D1748" s="225" t="s">
        <v>3212</v>
      </c>
      <c r="E1748" s="225" t="s">
        <v>580</v>
      </c>
    </row>
    <row r="1749" spans="2:5" ht="15.75" thickBot="1">
      <c r="B1749" s="225" t="s">
        <v>3213</v>
      </c>
      <c r="C1749" s="226">
        <v>531968</v>
      </c>
      <c r="D1749" s="225" t="s">
        <v>3214</v>
      </c>
      <c r="E1749" s="225" t="s">
        <v>683</v>
      </c>
    </row>
    <row r="1750" spans="2:5" ht="15.75" thickBot="1">
      <c r="B1750" s="225" t="s">
        <v>3215</v>
      </c>
      <c r="C1750" s="226">
        <v>514238</v>
      </c>
      <c r="D1750" s="225" t="s">
        <v>597</v>
      </c>
      <c r="E1750" s="225" t="s">
        <v>580</v>
      </c>
    </row>
    <row r="1751" spans="2:5" ht="15.75" thickBot="1">
      <c r="B1751" s="225" t="s">
        <v>3216</v>
      </c>
      <c r="C1751" s="226">
        <v>532414</v>
      </c>
      <c r="D1751" s="225" t="s">
        <v>597</v>
      </c>
      <c r="E1751" s="225" t="s">
        <v>690</v>
      </c>
    </row>
    <row r="1752" spans="2:5" ht="15.75" thickBot="1">
      <c r="B1752" s="225" t="s">
        <v>3217</v>
      </c>
      <c r="C1752" s="226">
        <v>532907</v>
      </c>
      <c r="D1752" s="225" t="s">
        <v>3218</v>
      </c>
      <c r="E1752" s="225" t="s">
        <v>995</v>
      </c>
    </row>
    <row r="1753" spans="2:5" ht="15.75" thickBot="1">
      <c r="B1753" s="225" t="s">
        <v>3219</v>
      </c>
      <c r="C1753" s="226">
        <v>511208</v>
      </c>
      <c r="D1753" s="225" t="s">
        <v>3220</v>
      </c>
      <c r="E1753" s="225" t="s">
        <v>3002</v>
      </c>
    </row>
    <row r="1754" spans="2:5" ht="15.75" thickBot="1">
      <c r="B1754" s="225" t="s">
        <v>3221</v>
      </c>
      <c r="C1754" s="226">
        <v>533177</v>
      </c>
      <c r="D1754" s="225" t="s">
        <v>3222</v>
      </c>
      <c r="E1754" s="225" t="s">
        <v>1192</v>
      </c>
    </row>
    <row r="1755" spans="2:5" ht="15.75" thickBot="1">
      <c r="B1755" s="225" t="s">
        <v>3223</v>
      </c>
      <c r="C1755" s="226">
        <v>511628</v>
      </c>
      <c r="D1755" s="225" t="s">
        <v>597</v>
      </c>
      <c r="E1755" s="225" t="s">
        <v>614</v>
      </c>
    </row>
    <row r="1756" spans="2:5" ht="15.75" thickBot="1">
      <c r="B1756" s="225" t="s">
        <v>3224</v>
      </c>
      <c r="C1756" s="226">
        <v>505539</v>
      </c>
      <c r="D1756" s="225" t="s">
        <v>597</v>
      </c>
      <c r="E1756" s="225" t="s">
        <v>1018</v>
      </c>
    </row>
    <row r="1757" spans="2:5" ht="15.75" thickBot="1">
      <c r="B1757" s="225" t="s">
        <v>3225</v>
      </c>
      <c r="C1757" s="226">
        <v>513295</v>
      </c>
      <c r="D1757" s="225" t="s">
        <v>597</v>
      </c>
      <c r="E1757" s="225" t="s">
        <v>629</v>
      </c>
    </row>
    <row r="1758" spans="2:5" ht="15.75" thickBot="1">
      <c r="B1758" s="225" t="s">
        <v>3226</v>
      </c>
      <c r="C1758" s="226">
        <v>517571</v>
      </c>
      <c r="D1758" s="225" t="s">
        <v>3227</v>
      </c>
      <c r="E1758" s="225" t="s">
        <v>640</v>
      </c>
    </row>
    <row r="1759" spans="2:5" ht="15.75" thickBot="1">
      <c r="B1759" s="225" t="s">
        <v>3228</v>
      </c>
      <c r="C1759" s="226">
        <v>532614</v>
      </c>
      <c r="D1759" s="225" t="s">
        <v>3229</v>
      </c>
      <c r="E1759" s="225" t="s">
        <v>629</v>
      </c>
    </row>
    <row r="1760" spans="2:5" ht="15.75" thickBot="1">
      <c r="B1760" s="225" t="s">
        <v>3230</v>
      </c>
      <c r="C1760" s="226">
        <v>531129</v>
      </c>
      <c r="D1760" s="225" t="s">
        <v>597</v>
      </c>
      <c r="E1760" s="225" t="s">
        <v>1125</v>
      </c>
    </row>
    <row r="1761" spans="2:5" ht="15.75" thickBot="1">
      <c r="B1761" s="225" t="s">
        <v>3231</v>
      </c>
      <c r="C1761" s="226">
        <v>531672</v>
      </c>
      <c r="D1761" s="225" t="s">
        <v>597</v>
      </c>
      <c r="E1761" s="225" t="s">
        <v>580</v>
      </c>
    </row>
    <row r="1762" spans="2:5" ht="15.75" thickBot="1">
      <c r="B1762" s="225" t="s">
        <v>3232</v>
      </c>
      <c r="C1762" s="226">
        <v>517370</v>
      </c>
      <c r="D1762" s="225" t="s">
        <v>597</v>
      </c>
      <c r="E1762" s="225" t="s">
        <v>895</v>
      </c>
    </row>
    <row r="1763" spans="2:5" ht="15.75" thickBot="1">
      <c r="B1763" s="225" t="s">
        <v>3233</v>
      </c>
      <c r="C1763" s="226">
        <v>538541</v>
      </c>
      <c r="D1763" s="225" t="s">
        <v>597</v>
      </c>
      <c r="E1763" s="225" t="s">
        <v>619</v>
      </c>
    </row>
    <row r="1764" spans="2:5" ht="15.75" thickBot="1">
      <c r="B1764" s="225" t="s">
        <v>3234</v>
      </c>
      <c r="C1764" s="226">
        <v>531594</v>
      </c>
      <c r="D1764" s="225" t="s">
        <v>597</v>
      </c>
      <c r="E1764" s="225" t="s">
        <v>605</v>
      </c>
    </row>
    <row r="1765" spans="2:5" ht="15.75" thickBot="1">
      <c r="B1765" s="225" t="s">
        <v>3235</v>
      </c>
      <c r="C1765" s="226">
        <v>523465</v>
      </c>
      <c r="D1765" s="225" t="s">
        <v>597</v>
      </c>
      <c r="E1765" s="225" t="s">
        <v>655</v>
      </c>
    </row>
    <row r="1766" spans="2:5" ht="15.75" thickBot="1">
      <c r="B1766" s="225" t="s">
        <v>3236</v>
      </c>
      <c r="C1766" s="226">
        <v>536709</v>
      </c>
      <c r="D1766" s="225" t="s">
        <v>597</v>
      </c>
      <c r="E1766" s="225" t="s">
        <v>736</v>
      </c>
    </row>
    <row r="1767" spans="2:5" ht="15.75" thickBot="1">
      <c r="B1767" s="225" t="s">
        <v>3237</v>
      </c>
      <c r="C1767" s="226">
        <v>509162</v>
      </c>
      <c r="D1767" s="225" t="s">
        <v>597</v>
      </c>
      <c r="E1767" s="225" t="s">
        <v>1077</v>
      </c>
    </row>
    <row r="1768" spans="2:5" ht="15.75" thickBot="1">
      <c r="B1768" s="225" t="s">
        <v>3238</v>
      </c>
      <c r="C1768" s="226">
        <v>517077</v>
      </c>
      <c r="D1768" s="225" t="s">
        <v>597</v>
      </c>
      <c r="E1768" s="225" t="s">
        <v>619</v>
      </c>
    </row>
    <row r="1769" spans="2:5" ht="15.75" thickBot="1">
      <c r="B1769" s="225" t="s">
        <v>3239</v>
      </c>
      <c r="C1769" s="226">
        <v>511473</v>
      </c>
      <c r="D1769" s="225" t="s">
        <v>3240</v>
      </c>
      <c r="E1769" s="225" t="s">
        <v>580</v>
      </c>
    </row>
    <row r="1770" spans="2:5" ht="15.75" thickBot="1">
      <c r="B1770" s="225" t="s">
        <v>3241</v>
      </c>
      <c r="C1770" s="226">
        <v>531505</v>
      </c>
      <c r="D1770" s="225" t="s">
        <v>597</v>
      </c>
      <c r="E1770" s="225" t="s">
        <v>614</v>
      </c>
    </row>
    <row r="1771" spans="2:5" ht="15.75" thickBot="1">
      <c r="B1771" s="225" t="s">
        <v>3242</v>
      </c>
      <c r="C1771" s="226">
        <v>511355</v>
      </c>
      <c r="D1771" s="225" t="s">
        <v>597</v>
      </c>
      <c r="E1771" s="225" t="s">
        <v>614</v>
      </c>
    </row>
    <row r="1772" spans="2:5" ht="15.75" thickBot="1">
      <c r="B1772" s="225" t="s">
        <v>3243</v>
      </c>
      <c r="C1772" s="226">
        <v>535667</v>
      </c>
      <c r="D1772" s="225" t="s">
        <v>597</v>
      </c>
      <c r="E1772" s="225" t="s">
        <v>614</v>
      </c>
    </row>
    <row r="1773" spans="2:5" ht="15.75" thickBot="1">
      <c r="B1773" s="225" t="s">
        <v>3244</v>
      </c>
      <c r="C1773" s="226">
        <v>531253</v>
      </c>
      <c r="D1773" s="225" t="s">
        <v>597</v>
      </c>
      <c r="E1773" s="225" t="s">
        <v>757</v>
      </c>
    </row>
    <row r="1774" spans="2:5" ht="15.75" thickBot="1">
      <c r="B1774" s="225" t="s">
        <v>3245</v>
      </c>
      <c r="C1774" s="226">
        <v>500201</v>
      </c>
      <c r="D1774" s="225" t="s">
        <v>3246</v>
      </c>
      <c r="E1774" s="225" t="s">
        <v>645</v>
      </c>
    </row>
    <row r="1775" spans="2:5" ht="15.75" thickBot="1">
      <c r="B1775" s="225" t="s">
        <v>3247</v>
      </c>
      <c r="C1775" s="226">
        <v>540152</v>
      </c>
      <c r="D1775" s="225" t="s">
        <v>597</v>
      </c>
      <c r="E1775" s="225" t="s">
        <v>683</v>
      </c>
    </row>
    <row r="1776" spans="2:5" ht="15.75" thickBot="1">
      <c r="B1776" s="225" t="s">
        <v>3248</v>
      </c>
      <c r="C1776" s="226">
        <v>540565</v>
      </c>
      <c r="D1776" s="225" t="s">
        <v>3249</v>
      </c>
      <c r="E1776" s="225" t="s">
        <v>617</v>
      </c>
    </row>
    <row r="1777" spans="2:5" ht="15.75" thickBot="1">
      <c r="B1777" s="225" t="s">
        <v>3250</v>
      </c>
      <c r="C1777" s="226">
        <v>530979</v>
      </c>
      <c r="D1777" s="225" t="s">
        <v>597</v>
      </c>
      <c r="E1777" s="225" t="s">
        <v>655</v>
      </c>
    </row>
    <row r="1778" spans="2:5" ht="15.75" thickBot="1">
      <c r="B1778" s="225" t="s">
        <v>3251</v>
      </c>
      <c r="C1778" s="226">
        <v>531343</v>
      </c>
      <c r="D1778" s="225" t="s">
        <v>597</v>
      </c>
      <c r="E1778" s="225" t="s">
        <v>1018</v>
      </c>
    </row>
    <row r="1779" spans="2:5" ht="15.75" thickBot="1">
      <c r="B1779" s="225" t="s">
        <v>3252</v>
      </c>
      <c r="C1779" s="226">
        <v>590065</v>
      </c>
      <c r="D1779" s="225" t="s">
        <v>3253</v>
      </c>
      <c r="E1779" s="225" t="s">
        <v>619</v>
      </c>
    </row>
    <row r="1780" spans="2:5" ht="15.75" thickBot="1">
      <c r="B1780" s="225" t="s">
        <v>3254</v>
      </c>
      <c r="C1780" s="226">
        <v>532240</v>
      </c>
      <c r="D1780" s="225" t="s">
        <v>3255</v>
      </c>
      <c r="E1780" s="225" t="s">
        <v>952</v>
      </c>
    </row>
    <row r="1781" spans="2:5" ht="15.75" thickBot="1">
      <c r="B1781" s="225" t="s">
        <v>3256</v>
      </c>
      <c r="C1781" s="226">
        <v>513361</v>
      </c>
      <c r="D1781" s="225" t="s">
        <v>597</v>
      </c>
      <c r="E1781" s="225" t="s">
        <v>629</v>
      </c>
    </row>
    <row r="1782" spans="2:5" ht="15.75" thickBot="1">
      <c r="B1782" s="225" t="s">
        <v>3257</v>
      </c>
      <c r="C1782" s="226">
        <v>532189</v>
      </c>
      <c r="D1782" s="225" t="s">
        <v>3258</v>
      </c>
      <c r="E1782" s="225" t="s">
        <v>798</v>
      </c>
    </row>
    <row r="1783" spans="2:5" ht="15.75" thickBot="1">
      <c r="B1783" s="225" t="s">
        <v>3259</v>
      </c>
      <c r="C1783" s="226">
        <v>535789</v>
      </c>
      <c r="D1783" s="225" t="s">
        <v>3260</v>
      </c>
      <c r="E1783" s="225" t="s">
        <v>655</v>
      </c>
    </row>
    <row r="1784" spans="2:5" ht="15.75" thickBot="1">
      <c r="B1784" s="225" t="s">
        <v>3261</v>
      </c>
      <c r="C1784" s="226">
        <v>533520</v>
      </c>
      <c r="D1784" s="225" t="s">
        <v>3262</v>
      </c>
      <c r="E1784" s="225" t="s">
        <v>619</v>
      </c>
    </row>
    <row r="1785" spans="2:5" ht="15.75" thickBot="1">
      <c r="B1785" s="225" t="s">
        <v>3263</v>
      </c>
      <c r="C1785" s="226">
        <v>532832</v>
      </c>
      <c r="D1785" s="225" t="s">
        <v>3264</v>
      </c>
      <c r="E1785" s="225" t="s">
        <v>683</v>
      </c>
    </row>
    <row r="1786" spans="2:5" ht="15.75" thickBot="1">
      <c r="B1786" s="225" t="s">
        <v>3265</v>
      </c>
      <c r="C1786" s="226">
        <v>532960</v>
      </c>
      <c r="D1786" s="225" t="s">
        <v>3266</v>
      </c>
      <c r="E1786" s="225" t="s">
        <v>580</v>
      </c>
    </row>
    <row r="1787" spans="2:5" ht="15.75" thickBot="1">
      <c r="B1787" s="225" t="s">
        <v>3267</v>
      </c>
      <c r="C1787" s="226">
        <v>514165</v>
      </c>
      <c r="D1787" s="225" t="s">
        <v>597</v>
      </c>
      <c r="E1787" s="225" t="s">
        <v>974</v>
      </c>
    </row>
    <row r="1788" spans="2:5" ht="15.75" thickBot="1">
      <c r="B1788" s="225" t="s">
        <v>3268</v>
      </c>
      <c r="C1788" s="226">
        <v>532814</v>
      </c>
      <c r="D1788" s="225" t="s">
        <v>3269</v>
      </c>
      <c r="E1788" s="225" t="s">
        <v>915</v>
      </c>
    </row>
    <row r="1789" spans="2:5" ht="15.75" thickBot="1">
      <c r="B1789" s="225" t="s">
        <v>3270</v>
      </c>
      <c r="C1789" s="226">
        <v>504731</v>
      </c>
      <c r="D1789" s="225" t="s">
        <v>597</v>
      </c>
      <c r="E1789" s="225" t="s">
        <v>629</v>
      </c>
    </row>
    <row r="1790" spans="2:5" ht="15.75" thickBot="1">
      <c r="B1790" s="225" t="s">
        <v>3271</v>
      </c>
      <c r="C1790" s="226">
        <v>509692</v>
      </c>
      <c r="D1790" s="225" t="s">
        <v>3272</v>
      </c>
      <c r="E1790" s="225" t="s">
        <v>612</v>
      </c>
    </row>
    <row r="1791" spans="2:5" ht="15.75" thickBot="1">
      <c r="B1791" s="225" t="s">
        <v>3273</v>
      </c>
      <c r="C1791" s="226">
        <v>540750</v>
      </c>
      <c r="D1791" s="225" t="s">
        <v>3274</v>
      </c>
      <c r="E1791" s="225" t="s">
        <v>736</v>
      </c>
    </row>
    <row r="1792" spans="2:5" ht="15.75" thickBot="1">
      <c r="B1792" s="225" t="s">
        <v>3275</v>
      </c>
      <c r="C1792" s="226">
        <v>524614</v>
      </c>
      <c r="D1792" s="225" t="s">
        <v>597</v>
      </c>
      <c r="E1792" s="225" t="s">
        <v>677</v>
      </c>
    </row>
    <row r="1793" spans="2:5" ht="15.75" thickBot="1">
      <c r="B1793" s="225" t="s">
        <v>3276</v>
      </c>
      <c r="C1793" s="226">
        <v>504741</v>
      </c>
      <c r="D1793" s="225" t="s">
        <v>3277</v>
      </c>
      <c r="E1793" s="225" t="s">
        <v>610</v>
      </c>
    </row>
    <row r="1794" spans="2:5" ht="15.75" thickBot="1">
      <c r="B1794" s="225" t="s">
        <v>3278</v>
      </c>
      <c r="C1794" s="226">
        <v>509051</v>
      </c>
      <c r="D1794" s="225" t="s">
        <v>597</v>
      </c>
      <c r="E1794" s="225" t="s">
        <v>690</v>
      </c>
    </row>
    <row r="1795" spans="2:5" ht="15.75" thickBot="1">
      <c r="B1795" s="225" t="s">
        <v>3279</v>
      </c>
      <c r="C1795" s="226">
        <v>504746</v>
      </c>
      <c r="D1795" s="225" t="s">
        <v>597</v>
      </c>
      <c r="E1795" s="225" t="s">
        <v>1517</v>
      </c>
    </row>
    <row r="1796" spans="2:5" ht="15.75" thickBot="1">
      <c r="B1796" s="225" t="s">
        <v>3280</v>
      </c>
      <c r="C1796" s="226">
        <v>533047</v>
      </c>
      <c r="D1796" s="225" t="s">
        <v>3281</v>
      </c>
      <c r="E1796" s="225" t="s">
        <v>629</v>
      </c>
    </row>
    <row r="1797" spans="2:5" ht="15.75" thickBot="1">
      <c r="B1797" s="225" t="s">
        <v>3282</v>
      </c>
      <c r="C1797" s="226">
        <v>530965</v>
      </c>
      <c r="D1797" s="225" t="s">
        <v>3283</v>
      </c>
      <c r="E1797" s="225" t="s">
        <v>807</v>
      </c>
    </row>
    <row r="1798" spans="2:5" ht="15.75" thickBot="1">
      <c r="B1798" s="225" t="s">
        <v>3284</v>
      </c>
      <c r="C1798" s="226">
        <v>532388</v>
      </c>
      <c r="D1798" s="225" t="s">
        <v>3285</v>
      </c>
      <c r="E1798" s="225" t="s">
        <v>915</v>
      </c>
    </row>
    <row r="1799" spans="2:5" ht="15.75" thickBot="1">
      <c r="B1799" s="225" t="s">
        <v>3286</v>
      </c>
      <c r="C1799" s="226">
        <v>500319</v>
      </c>
      <c r="D1799" s="225" t="s">
        <v>597</v>
      </c>
      <c r="E1799" s="225" t="s">
        <v>1296</v>
      </c>
    </row>
    <row r="1800" spans="2:5" ht="15.75" thickBot="1">
      <c r="B1800" s="225" t="s">
        <v>3287</v>
      </c>
      <c r="C1800" s="226">
        <v>533329</v>
      </c>
      <c r="D1800" s="225" t="s">
        <v>3288</v>
      </c>
      <c r="E1800" s="225" t="s">
        <v>711</v>
      </c>
    </row>
    <row r="1801" spans="2:5" ht="15.75" thickBot="1">
      <c r="B1801" s="225" t="s">
        <v>3289</v>
      </c>
      <c r="C1801" s="226">
        <v>523586</v>
      </c>
      <c r="D1801" s="225" t="s">
        <v>597</v>
      </c>
      <c r="E1801" s="225" t="s">
        <v>757</v>
      </c>
    </row>
    <row r="1802" spans="2:5" ht="15.75" thickBot="1">
      <c r="B1802" s="225" t="s">
        <v>3290</v>
      </c>
      <c r="C1802" s="226">
        <v>501700</v>
      </c>
      <c r="D1802" s="225" t="s">
        <v>597</v>
      </c>
      <c r="E1802" s="225" t="s">
        <v>614</v>
      </c>
    </row>
    <row r="1803" spans="2:5" ht="15.75" thickBot="1">
      <c r="B1803" s="225" t="s">
        <v>3291</v>
      </c>
      <c r="C1803" s="226">
        <v>532745</v>
      </c>
      <c r="D1803" s="225" t="s">
        <v>597</v>
      </c>
      <c r="E1803" s="225" t="s">
        <v>580</v>
      </c>
    </row>
    <row r="1804" spans="2:5" ht="15.75" thickBot="1">
      <c r="B1804" s="225" t="s">
        <v>3292</v>
      </c>
      <c r="C1804" s="226">
        <v>524648</v>
      </c>
      <c r="D1804" s="225" t="s">
        <v>597</v>
      </c>
      <c r="E1804" s="225" t="s">
        <v>645</v>
      </c>
    </row>
    <row r="1805" spans="2:5" ht="15.75" thickBot="1">
      <c r="B1805" s="225" t="s">
        <v>3293</v>
      </c>
      <c r="C1805" s="226">
        <v>530747</v>
      </c>
      <c r="D1805" s="225" t="s">
        <v>597</v>
      </c>
      <c r="E1805" s="225" t="s">
        <v>614</v>
      </c>
    </row>
    <row r="1806" spans="2:5" ht="15.75" thickBot="1">
      <c r="B1806" s="225" t="s">
        <v>3294</v>
      </c>
      <c r="C1806" s="226">
        <v>524342</v>
      </c>
      <c r="D1806" s="225" t="s">
        <v>597</v>
      </c>
      <c r="E1806" s="225" t="s">
        <v>645</v>
      </c>
    </row>
    <row r="1807" spans="2:5" ht="15.75" thickBot="1">
      <c r="B1807" s="225" t="s">
        <v>3295</v>
      </c>
      <c r="C1807" s="226">
        <v>538838</v>
      </c>
      <c r="D1807" s="225" t="s">
        <v>597</v>
      </c>
      <c r="E1807" s="225" t="s">
        <v>612</v>
      </c>
    </row>
    <row r="1808" spans="2:5" ht="15.75" thickBot="1">
      <c r="B1808" s="225" t="s">
        <v>3296</v>
      </c>
      <c r="C1808" s="226">
        <v>521016</v>
      </c>
      <c r="D1808" s="225" t="s">
        <v>3297</v>
      </c>
      <c r="E1808" s="225" t="s">
        <v>612</v>
      </c>
    </row>
    <row r="1809" spans="2:5" ht="15.75" thickBot="1">
      <c r="B1809" s="225" t="s">
        <v>3298</v>
      </c>
      <c r="C1809" s="226">
        <v>526887</v>
      </c>
      <c r="D1809" s="225" t="s">
        <v>597</v>
      </c>
      <c r="E1809" s="225" t="s">
        <v>614</v>
      </c>
    </row>
    <row r="1810" spans="2:5" ht="15.75" thickBot="1">
      <c r="B1810" s="225" t="s">
        <v>3299</v>
      </c>
      <c r="C1810" s="226">
        <v>524458</v>
      </c>
      <c r="D1810" s="225" t="s">
        <v>597</v>
      </c>
      <c r="E1810" s="225" t="s">
        <v>757</v>
      </c>
    </row>
    <row r="1811" spans="2:5" ht="15.75" thickBot="1">
      <c r="B1811" s="225" t="s">
        <v>3300</v>
      </c>
      <c r="C1811" s="226">
        <v>506945</v>
      </c>
      <c r="D1811" s="225" t="s">
        <v>597</v>
      </c>
      <c r="E1811" s="225" t="s">
        <v>757</v>
      </c>
    </row>
    <row r="1812" spans="2:5" ht="15.75" thickBot="1">
      <c r="B1812" s="225" t="s">
        <v>3301</v>
      </c>
      <c r="C1812" s="226">
        <v>531565</v>
      </c>
      <c r="D1812" s="225" t="s">
        <v>597</v>
      </c>
      <c r="E1812" s="225" t="s">
        <v>683</v>
      </c>
    </row>
    <row r="1813" spans="2:5" ht="15.75" thickBot="1">
      <c r="B1813" s="225" t="s">
        <v>3302</v>
      </c>
      <c r="C1813" s="226">
        <v>500207</v>
      </c>
      <c r="D1813" s="225" t="s">
        <v>3303</v>
      </c>
      <c r="E1813" s="225" t="s">
        <v>612</v>
      </c>
    </row>
    <row r="1814" spans="2:5" ht="15.75" thickBot="1">
      <c r="B1814" s="225" t="s">
        <v>3304</v>
      </c>
      <c r="C1814" s="226">
        <v>500207</v>
      </c>
      <c r="D1814" s="225" t="s">
        <v>3303</v>
      </c>
      <c r="E1814" s="225" t="s">
        <v>612</v>
      </c>
    </row>
    <row r="1815" spans="2:5" ht="15.75" thickBot="1">
      <c r="B1815" s="225" t="s">
        <v>3305</v>
      </c>
      <c r="C1815" s="226">
        <v>532717</v>
      </c>
      <c r="D1815" s="225" t="s">
        <v>3306</v>
      </c>
      <c r="E1815" s="225" t="s">
        <v>640</v>
      </c>
    </row>
    <row r="1816" spans="2:5" ht="15.75" thickBot="1">
      <c r="B1816" s="225" t="s">
        <v>3307</v>
      </c>
      <c r="C1816" s="226">
        <v>533676</v>
      </c>
      <c r="D1816" s="225" t="s">
        <v>3308</v>
      </c>
      <c r="E1816" s="225" t="s">
        <v>580</v>
      </c>
    </row>
    <row r="1817" spans="2:5" ht="15.75" thickBot="1">
      <c r="B1817" s="225" t="s">
        <v>3309</v>
      </c>
      <c r="C1817" s="226">
        <v>541304</v>
      </c>
      <c r="D1817" s="225" t="s">
        <v>597</v>
      </c>
      <c r="E1817" s="225" t="s">
        <v>795</v>
      </c>
    </row>
    <row r="1818" spans="2:5" ht="15.75" thickBot="1">
      <c r="B1818" s="225" t="s">
        <v>3310</v>
      </c>
      <c r="C1818" s="226">
        <v>532100</v>
      </c>
      <c r="D1818" s="225" t="s">
        <v>597</v>
      </c>
      <c r="E1818" s="225" t="s">
        <v>690</v>
      </c>
    </row>
    <row r="1819" spans="2:5" ht="15.75" thickBot="1">
      <c r="B1819" s="225" t="s">
        <v>3311</v>
      </c>
      <c r="C1819" s="226">
        <v>532612</v>
      </c>
      <c r="D1819" s="225" t="s">
        <v>3312</v>
      </c>
      <c r="E1819" s="225" t="s">
        <v>635</v>
      </c>
    </row>
    <row r="1820" spans="2:5" ht="15.75" thickBot="1">
      <c r="B1820" s="225" t="s">
        <v>3313</v>
      </c>
      <c r="C1820" s="226">
        <v>539433</v>
      </c>
      <c r="D1820" s="225" t="s">
        <v>597</v>
      </c>
      <c r="E1820" s="225" t="s">
        <v>1067</v>
      </c>
    </row>
    <row r="1821" spans="2:5" ht="15.75" thickBot="1">
      <c r="B1821" s="225" t="s">
        <v>3314</v>
      </c>
      <c r="C1821" s="226">
        <v>504092</v>
      </c>
      <c r="D1821" s="225" t="s">
        <v>597</v>
      </c>
      <c r="E1821" s="225" t="s">
        <v>757</v>
      </c>
    </row>
    <row r="1822" spans="2:5" ht="15.75" thickBot="1">
      <c r="B1822" s="225" t="s">
        <v>3315</v>
      </c>
      <c r="C1822" s="226">
        <v>504058</v>
      </c>
      <c r="D1822" s="225" t="s">
        <v>3316</v>
      </c>
      <c r="E1822" s="225" t="s">
        <v>1143</v>
      </c>
    </row>
    <row r="1823" spans="2:5" ht="15.75" thickBot="1">
      <c r="B1823" s="225" t="s">
        <v>3317</v>
      </c>
      <c r="C1823" s="226">
        <v>533257</v>
      </c>
      <c r="D1823" s="225" t="s">
        <v>3318</v>
      </c>
      <c r="E1823" s="225" t="s">
        <v>895</v>
      </c>
    </row>
    <row r="1824" spans="2:5" ht="15.75" thickBot="1">
      <c r="B1824" s="225" t="s">
        <v>3319</v>
      </c>
      <c r="C1824" s="226">
        <v>541336</v>
      </c>
      <c r="D1824" s="225" t="s">
        <v>3320</v>
      </c>
      <c r="E1824" s="225" t="s">
        <v>614</v>
      </c>
    </row>
    <row r="1825" spans="2:5" ht="15.75" thickBot="1">
      <c r="B1825" s="225" t="s">
        <v>3321</v>
      </c>
      <c r="C1825" s="226">
        <v>521005</v>
      </c>
      <c r="D1825" s="225" t="s">
        <v>597</v>
      </c>
      <c r="E1825" s="225" t="s">
        <v>612</v>
      </c>
    </row>
    <row r="1826" spans="2:5" ht="15.75" thickBot="1">
      <c r="B1826" s="225" t="s">
        <v>3322</v>
      </c>
      <c r="C1826" s="226">
        <v>532894</v>
      </c>
      <c r="D1826" s="225" t="s">
        <v>3323</v>
      </c>
      <c r="E1826" s="225" t="s">
        <v>736</v>
      </c>
    </row>
    <row r="1827" spans="2:5" ht="15.75" thickBot="1">
      <c r="B1827" s="225" t="s">
        <v>3324</v>
      </c>
      <c r="C1827" s="226">
        <v>539175</v>
      </c>
      <c r="D1827" s="225" t="s">
        <v>597</v>
      </c>
      <c r="E1827" s="225" t="s">
        <v>1105</v>
      </c>
    </row>
    <row r="1828" spans="2:5" ht="15.75" thickBot="1">
      <c r="B1828" s="225" t="s">
        <v>3325</v>
      </c>
      <c r="C1828" s="226">
        <v>532514</v>
      </c>
      <c r="D1828" s="225" t="s">
        <v>3326</v>
      </c>
      <c r="E1828" s="225" t="s">
        <v>622</v>
      </c>
    </row>
    <row r="1829" spans="2:5" ht="15.75" thickBot="1">
      <c r="B1829" s="225" t="s">
        <v>3327</v>
      </c>
      <c r="C1829" s="226">
        <v>532150</v>
      </c>
      <c r="D1829" s="225" t="s">
        <v>3328</v>
      </c>
      <c r="E1829" s="225" t="s">
        <v>1067</v>
      </c>
    </row>
    <row r="1830" spans="2:5" ht="15.75" thickBot="1">
      <c r="B1830" s="225" t="s">
        <v>3329</v>
      </c>
      <c r="C1830" s="226">
        <v>526445</v>
      </c>
      <c r="D1830" s="225" t="s">
        <v>3330</v>
      </c>
      <c r="E1830" s="225" t="s">
        <v>795</v>
      </c>
    </row>
    <row r="1831" spans="2:5" ht="15.75" thickBot="1">
      <c r="B1831" s="225" t="s">
        <v>3331</v>
      </c>
      <c r="C1831" s="226">
        <v>522165</v>
      </c>
      <c r="D1831" s="225" t="s">
        <v>597</v>
      </c>
      <c r="E1831" s="225" t="s">
        <v>629</v>
      </c>
    </row>
    <row r="1832" spans="2:5" ht="15.75" thickBot="1">
      <c r="B1832" s="225" t="s">
        <v>3332</v>
      </c>
      <c r="C1832" s="226">
        <v>503639</v>
      </c>
      <c r="D1832" s="225" t="s">
        <v>597</v>
      </c>
      <c r="E1832" s="225" t="s">
        <v>1018</v>
      </c>
    </row>
    <row r="1833" spans="2:5" ht="15.75" thickBot="1">
      <c r="B1833" s="225" t="s">
        <v>3333</v>
      </c>
      <c r="C1833" s="226">
        <v>532305</v>
      </c>
      <c r="D1833" s="225" t="s">
        <v>3334</v>
      </c>
      <c r="E1833" s="225" t="s">
        <v>635</v>
      </c>
    </row>
    <row r="1834" spans="2:5" ht="15.75" thickBot="1">
      <c r="B1834" s="225" t="s">
        <v>3335</v>
      </c>
      <c r="C1834" s="226">
        <v>524652</v>
      </c>
      <c r="D1834" s="225" t="s">
        <v>3336</v>
      </c>
      <c r="E1834" s="225" t="s">
        <v>635</v>
      </c>
    </row>
    <row r="1835" spans="2:5" ht="15.75" thickBot="1">
      <c r="B1835" s="225" t="s">
        <v>3337</v>
      </c>
      <c r="C1835" s="226">
        <v>532001</v>
      </c>
      <c r="D1835" s="225" t="s">
        <v>597</v>
      </c>
      <c r="E1835" s="225" t="s">
        <v>629</v>
      </c>
    </row>
    <row r="1836" spans="2:5" ht="15.75" thickBot="1">
      <c r="B1836" s="225" t="s">
        <v>3338</v>
      </c>
      <c r="C1836" s="226">
        <v>531841</v>
      </c>
      <c r="D1836" s="225" t="s">
        <v>597</v>
      </c>
      <c r="E1836" s="225" t="s">
        <v>614</v>
      </c>
    </row>
    <row r="1837" spans="2:5" ht="15.75" thickBot="1">
      <c r="B1837" s="225" t="s">
        <v>3339</v>
      </c>
      <c r="C1837" s="226">
        <v>532187</v>
      </c>
      <c r="D1837" s="225" t="s">
        <v>3340</v>
      </c>
      <c r="E1837" s="225" t="s">
        <v>915</v>
      </c>
    </row>
    <row r="1838" spans="2:5" ht="15.75" thickBot="1">
      <c r="B1838" s="225" t="s">
        <v>3341</v>
      </c>
      <c r="C1838" s="226">
        <v>501298</v>
      </c>
      <c r="D1838" s="225" t="s">
        <v>597</v>
      </c>
      <c r="E1838" s="225" t="s">
        <v>617</v>
      </c>
    </row>
    <row r="1839" spans="2:5" ht="15.75" thickBot="1">
      <c r="B1839" s="225" t="s">
        <v>3342</v>
      </c>
      <c r="C1839" s="226">
        <v>501295</v>
      </c>
      <c r="D1839" s="225" t="s">
        <v>3343</v>
      </c>
      <c r="E1839" s="225" t="s">
        <v>614</v>
      </c>
    </row>
    <row r="1840" spans="2:5" ht="15.75" thickBot="1">
      <c r="B1840" s="225" t="s">
        <v>3344</v>
      </c>
      <c r="C1840" s="226">
        <v>506222</v>
      </c>
      <c r="D1840" s="225" t="s">
        <v>3345</v>
      </c>
      <c r="E1840" s="225" t="s">
        <v>757</v>
      </c>
    </row>
    <row r="1841" spans="2:5" ht="15.75" thickBot="1">
      <c r="B1841" s="225" t="s">
        <v>3346</v>
      </c>
      <c r="C1841" s="226">
        <v>506222</v>
      </c>
      <c r="D1841" s="225" t="s">
        <v>3345</v>
      </c>
      <c r="E1841" s="225" t="s">
        <v>757</v>
      </c>
    </row>
    <row r="1842" spans="2:5" ht="15.75" thickBot="1">
      <c r="B1842" s="225" t="s">
        <v>3347</v>
      </c>
      <c r="C1842" s="226">
        <v>512025</v>
      </c>
      <c r="D1842" s="225" t="s">
        <v>597</v>
      </c>
      <c r="E1842" s="225" t="s">
        <v>1018</v>
      </c>
    </row>
    <row r="1843" spans="2:5" ht="15.75" thickBot="1">
      <c r="B1843" s="225" t="s">
        <v>3348</v>
      </c>
      <c r="C1843" s="226">
        <v>539807</v>
      </c>
      <c r="D1843" s="225" t="s">
        <v>3349</v>
      </c>
      <c r="E1843" s="225" t="s">
        <v>603</v>
      </c>
    </row>
    <row r="1844" spans="2:5" ht="15.75" thickBot="1">
      <c r="B1844" s="225" t="s">
        <v>3350</v>
      </c>
      <c r="C1844" s="226">
        <v>533154</v>
      </c>
      <c r="D1844" s="225" t="s">
        <v>3351</v>
      </c>
      <c r="E1844" s="225" t="s">
        <v>583</v>
      </c>
    </row>
    <row r="1845" spans="2:5" ht="15.75" thickBot="1">
      <c r="B1845" s="225" t="s">
        <v>3352</v>
      </c>
      <c r="C1845" s="226">
        <v>533154</v>
      </c>
      <c r="D1845" s="225" t="s">
        <v>3351</v>
      </c>
      <c r="E1845" s="225" t="s">
        <v>583</v>
      </c>
    </row>
    <row r="1846" spans="2:5" ht="15.75" thickBot="1">
      <c r="B1846" s="225" t="s">
        <v>3353</v>
      </c>
      <c r="C1846" s="226">
        <v>541083</v>
      </c>
      <c r="D1846" s="225" t="s">
        <v>597</v>
      </c>
      <c r="E1846" s="225" t="s">
        <v>1643</v>
      </c>
    </row>
    <row r="1847" spans="2:5" ht="15.75" thickBot="1">
      <c r="B1847" s="225" t="s">
        <v>3354</v>
      </c>
      <c r="C1847" s="226">
        <v>532777</v>
      </c>
      <c r="D1847" s="225" t="s">
        <v>3355</v>
      </c>
      <c r="E1847" s="225" t="s">
        <v>3356</v>
      </c>
    </row>
    <row r="1848" spans="2:5" ht="15.75" thickBot="1">
      <c r="B1848" s="225" t="s">
        <v>3357</v>
      </c>
      <c r="C1848" s="226">
        <v>532777</v>
      </c>
      <c r="D1848" s="225" t="s">
        <v>3355</v>
      </c>
      <c r="E1848" s="225" t="s">
        <v>3356</v>
      </c>
    </row>
    <row r="1849" spans="2:5" ht="15.75" thickBot="1">
      <c r="B1849" s="225" t="s">
        <v>3358</v>
      </c>
      <c r="C1849" s="225" t="s">
        <v>597</v>
      </c>
      <c r="D1849" s="225" t="s">
        <v>3359</v>
      </c>
      <c r="E1849" s="225" t="s">
        <v>608</v>
      </c>
    </row>
    <row r="1850" spans="2:5" ht="15.75" thickBot="1">
      <c r="B1850" s="225" t="s">
        <v>3360</v>
      </c>
      <c r="C1850" s="226">
        <v>504810</v>
      </c>
      <c r="D1850" s="225" t="s">
        <v>597</v>
      </c>
      <c r="E1850" s="225" t="s">
        <v>927</v>
      </c>
    </row>
    <row r="1851" spans="2:5" ht="15.75" thickBot="1">
      <c r="B1851" s="225" t="s">
        <v>3361</v>
      </c>
      <c r="C1851" s="226">
        <v>504810</v>
      </c>
      <c r="D1851" s="225" t="s">
        <v>597</v>
      </c>
      <c r="E1851" s="225" t="s">
        <v>927</v>
      </c>
    </row>
    <row r="1852" spans="2:5" ht="15.75" thickBot="1">
      <c r="B1852" s="225" t="s">
        <v>3362</v>
      </c>
      <c r="C1852" s="226">
        <v>500209</v>
      </c>
      <c r="D1852" s="225" t="s">
        <v>3363</v>
      </c>
      <c r="E1852" s="225" t="s">
        <v>583</v>
      </c>
    </row>
    <row r="1853" spans="2:5" ht="15.75" thickBot="1">
      <c r="B1853" s="225" t="s">
        <v>3364</v>
      </c>
      <c r="C1853" s="226">
        <v>530777</v>
      </c>
      <c r="D1853" s="225" t="s">
        <v>597</v>
      </c>
      <c r="E1853" s="225" t="s">
        <v>717</v>
      </c>
    </row>
    <row r="1854" spans="2:5" ht="15.75" thickBot="1">
      <c r="B1854" s="225" t="s">
        <v>3365</v>
      </c>
      <c r="C1854" s="226">
        <v>537985</v>
      </c>
      <c r="D1854" s="225" t="s">
        <v>597</v>
      </c>
      <c r="E1854" s="225" t="s">
        <v>690</v>
      </c>
    </row>
    <row r="1855" spans="2:5" ht="15.75" thickBot="1">
      <c r="B1855" s="225" t="s">
        <v>3366</v>
      </c>
      <c r="C1855" s="226">
        <v>500210</v>
      </c>
      <c r="D1855" s="225" t="s">
        <v>3367</v>
      </c>
      <c r="E1855" s="225" t="s">
        <v>605</v>
      </c>
    </row>
    <row r="1856" spans="2:5" ht="15.75" thickBot="1">
      <c r="B1856" s="225" t="s">
        <v>3368</v>
      </c>
      <c r="C1856" s="226">
        <v>500210</v>
      </c>
      <c r="D1856" s="225" t="s">
        <v>3367</v>
      </c>
      <c r="E1856" s="225" t="s">
        <v>605</v>
      </c>
    </row>
    <row r="1857" spans="2:5" ht="15.75" thickBot="1">
      <c r="B1857" s="225" t="s">
        <v>3369</v>
      </c>
      <c r="C1857" s="226">
        <v>530787</v>
      </c>
      <c r="D1857" s="225" t="s">
        <v>597</v>
      </c>
      <c r="E1857" s="225" t="s">
        <v>2589</v>
      </c>
    </row>
    <row r="1858" spans="2:5" ht="15.75" thickBot="1">
      <c r="B1858" s="225" t="s">
        <v>3370</v>
      </c>
      <c r="C1858" s="226">
        <v>531929</v>
      </c>
      <c r="D1858" s="225" t="s">
        <v>3371</v>
      </c>
      <c r="E1858" s="225" t="s">
        <v>717</v>
      </c>
    </row>
    <row r="1859" spans="2:5" ht="15.75" thickBot="1">
      <c r="B1859" s="225" t="s">
        <v>3372</v>
      </c>
      <c r="C1859" s="225" t="s">
        <v>597</v>
      </c>
      <c r="D1859" s="225" t="s">
        <v>3373</v>
      </c>
      <c r="E1859" s="225" t="s">
        <v>608</v>
      </c>
    </row>
    <row r="1860" spans="2:5" ht="15.75" thickBot="1">
      <c r="B1860" s="225" t="s">
        <v>3374</v>
      </c>
      <c r="C1860" s="226">
        <v>533315</v>
      </c>
      <c r="D1860" s="225" t="s">
        <v>597</v>
      </c>
      <c r="E1860" s="225" t="s">
        <v>763</v>
      </c>
    </row>
    <row r="1861" spans="2:5" ht="15.75" thickBot="1">
      <c r="B1861" s="225" t="s">
        <v>3375</v>
      </c>
      <c r="C1861" s="226">
        <v>517433</v>
      </c>
      <c r="D1861" s="225" t="s">
        <v>597</v>
      </c>
      <c r="E1861" s="225" t="s">
        <v>583</v>
      </c>
    </row>
    <row r="1862" spans="2:5" ht="15.75" thickBot="1">
      <c r="B1862" s="225" t="s">
        <v>3376</v>
      </c>
      <c r="C1862" s="226">
        <v>541983</v>
      </c>
      <c r="D1862" s="225" t="s">
        <v>597</v>
      </c>
      <c r="E1862" s="225" t="s">
        <v>3377</v>
      </c>
    </row>
    <row r="1863" spans="2:5" ht="15.75" thickBot="1">
      <c r="B1863" s="225" t="s">
        <v>3378</v>
      </c>
      <c r="C1863" s="226">
        <v>541983</v>
      </c>
      <c r="D1863" s="225" t="s">
        <v>597</v>
      </c>
      <c r="E1863" s="225" t="s">
        <v>3377</v>
      </c>
    </row>
    <row r="1864" spans="2:5" ht="15.75" thickBot="1">
      <c r="B1864" s="225" t="s">
        <v>3379</v>
      </c>
      <c r="C1864" s="226">
        <v>523840</v>
      </c>
      <c r="D1864" s="225" t="s">
        <v>597</v>
      </c>
      <c r="E1864" s="225" t="s">
        <v>792</v>
      </c>
    </row>
    <row r="1865" spans="2:5" ht="15.75" thickBot="1">
      <c r="B1865" s="225" t="s">
        <v>3380</v>
      </c>
      <c r="C1865" s="225" t="s">
        <v>597</v>
      </c>
      <c r="D1865" s="225" t="s">
        <v>3381</v>
      </c>
      <c r="E1865" s="225" t="s">
        <v>608</v>
      </c>
    </row>
    <row r="1866" spans="2:5" ht="15.75" thickBot="1">
      <c r="B1866" s="225" t="s">
        <v>3382</v>
      </c>
      <c r="C1866" s="226">
        <v>541353</v>
      </c>
      <c r="D1866" s="225" t="s">
        <v>597</v>
      </c>
      <c r="E1866" s="225" t="s">
        <v>995</v>
      </c>
    </row>
    <row r="1867" spans="2:5" ht="15.75" thickBot="1">
      <c r="B1867" s="225" t="s">
        <v>3383</v>
      </c>
      <c r="C1867" s="226">
        <v>532706</v>
      </c>
      <c r="D1867" s="225" t="s">
        <v>3384</v>
      </c>
      <c r="E1867" s="225" t="s">
        <v>598</v>
      </c>
    </row>
    <row r="1868" spans="2:5" ht="15.75" thickBot="1">
      <c r="B1868" s="225" t="s">
        <v>3385</v>
      </c>
      <c r="C1868" s="226">
        <v>539083</v>
      </c>
      <c r="D1868" s="225" t="s">
        <v>3386</v>
      </c>
      <c r="E1868" s="225" t="s">
        <v>640</v>
      </c>
    </row>
    <row r="1869" spans="2:5" ht="15.75" thickBot="1">
      <c r="B1869" s="225" t="s">
        <v>3387</v>
      </c>
      <c r="C1869" s="226">
        <v>532851</v>
      </c>
      <c r="D1869" s="225" t="s">
        <v>3388</v>
      </c>
      <c r="E1869" s="225" t="s">
        <v>741</v>
      </c>
    </row>
    <row r="1870" spans="2:5" ht="15.75" thickBot="1">
      <c r="B1870" s="225" t="s">
        <v>3389</v>
      </c>
      <c r="C1870" s="226">
        <v>532851</v>
      </c>
      <c r="D1870" s="225" t="s">
        <v>3388</v>
      </c>
      <c r="E1870" s="225" t="s">
        <v>741</v>
      </c>
    </row>
    <row r="1871" spans="2:5" ht="15.75" thickBot="1">
      <c r="B1871" s="225" t="s">
        <v>3390</v>
      </c>
      <c r="C1871" s="226">
        <v>500211</v>
      </c>
      <c r="D1871" s="225" t="s">
        <v>597</v>
      </c>
      <c r="E1871" s="225" t="s">
        <v>782</v>
      </c>
    </row>
    <row r="1872" spans="2:5" ht="15.75" thickBot="1">
      <c r="B1872" s="225" t="s">
        <v>3391</v>
      </c>
      <c r="C1872" s="226">
        <v>532774</v>
      </c>
      <c r="D1872" s="225" t="s">
        <v>3392</v>
      </c>
      <c r="E1872" s="225" t="s">
        <v>583</v>
      </c>
    </row>
    <row r="1873" spans="2:5" ht="15.75" thickBot="1">
      <c r="B1873" s="225" t="s">
        <v>3393</v>
      </c>
      <c r="C1873" s="226">
        <v>526871</v>
      </c>
      <c r="D1873" s="225" t="s">
        <v>597</v>
      </c>
      <c r="E1873" s="225" t="s">
        <v>580</v>
      </c>
    </row>
    <row r="1874" spans="2:5" ht="15.75" thickBot="1">
      <c r="B1874" s="225" t="s">
        <v>3394</v>
      </c>
      <c r="C1874" s="226">
        <v>531314</v>
      </c>
      <c r="D1874" s="225" t="s">
        <v>3395</v>
      </c>
      <c r="E1874" s="225" t="s">
        <v>614</v>
      </c>
    </row>
    <row r="1875" spans="2:5" ht="15.75" thickBot="1">
      <c r="B1875" s="225" t="s">
        <v>3396</v>
      </c>
      <c r="C1875" s="226">
        <v>505358</v>
      </c>
      <c r="D1875" s="225" t="s">
        <v>597</v>
      </c>
      <c r="E1875" s="225" t="s">
        <v>605</v>
      </c>
    </row>
    <row r="1876" spans="2:5" ht="15.75" thickBot="1">
      <c r="B1876" s="225" t="s">
        <v>3397</v>
      </c>
      <c r="C1876" s="226">
        <v>505358</v>
      </c>
      <c r="D1876" s="225" t="s">
        <v>597</v>
      </c>
      <c r="E1876" s="225" t="s">
        <v>605</v>
      </c>
    </row>
    <row r="1877" spans="2:5" ht="15.75" thickBot="1">
      <c r="B1877" s="225" t="s">
        <v>3398</v>
      </c>
      <c r="C1877" s="226">
        <v>535958</v>
      </c>
      <c r="D1877" s="225" t="s">
        <v>3399</v>
      </c>
      <c r="E1877" s="225" t="s">
        <v>711</v>
      </c>
    </row>
    <row r="1878" spans="2:5" ht="15.75" thickBot="1">
      <c r="B1878" s="225" t="s">
        <v>3400</v>
      </c>
      <c r="C1878" s="226">
        <v>517423</v>
      </c>
      <c r="D1878" s="225" t="s">
        <v>597</v>
      </c>
      <c r="E1878" s="225" t="s">
        <v>895</v>
      </c>
    </row>
    <row r="1879" spans="2:5" ht="15.75" thickBot="1">
      <c r="B1879" s="225" t="s">
        <v>3401</v>
      </c>
      <c r="C1879" s="226">
        <v>536868</v>
      </c>
      <c r="D1879" s="225" t="s">
        <v>597</v>
      </c>
      <c r="E1879" s="225" t="s">
        <v>583</v>
      </c>
    </row>
    <row r="1880" spans="2:5" ht="15.75" thickBot="1">
      <c r="B1880" s="225" t="s">
        <v>3402</v>
      </c>
      <c r="C1880" s="226">
        <v>539149</v>
      </c>
      <c r="D1880" s="225" t="s">
        <v>597</v>
      </c>
      <c r="E1880" s="225" t="s">
        <v>681</v>
      </c>
    </row>
    <row r="1881" spans="2:5" ht="15.75" thickBot="1">
      <c r="B1881" s="225" t="s">
        <v>3403</v>
      </c>
      <c r="C1881" s="226">
        <v>500212</v>
      </c>
      <c r="D1881" s="225" t="s">
        <v>597</v>
      </c>
      <c r="E1881" s="225" t="s">
        <v>614</v>
      </c>
    </row>
    <row r="1882" spans="2:5" ht="15.75" thickBot="1">
      <c r="B1882" s="225" t="s">
        <v>3404</v>
      </c>
      <c r="C1882" s="226">
        <v>519606</v>
      </c>
      <c r="D1882" s="225" t="s">
        <v>597</v>
      </c>
      <c r="E1882" s="225" t="s">
        <v>846</v>
      </c>
    </row>
    <row r="1883" spans="2:5" ht="15.75" thickBot="1">
      <c r="B1883" s="225" t="s">
        <v>3405</v>
      </c>
      <c r="C1883" s="226">
        <v>531889</v>
      </c>
      <c r="D1883" s="225" t="s">
        <v>597</v>
      </c>
      <c r="E1883" s="225" t="s">
        <v>1139</v>
      </c>
    </row>
    <row r="1884" spans="2:5" ht="15.75" thickBot="1">
      <c r="B1884" s="225" t="s">
        <v>3406</v>
      </c>
      <c r="C1884" s="226">
        <v>530921</v>
      </c>
      <c r="D1884" s="225" t="s">
        <v>597</v>
      </c>
      <c r="E1884" s="225" t="s">
        <v>717</v>
      </c>
    </row>
    <row r="1885" spans="2:5" ht="15.75" thickBot="1">
      <c r="B1885" s="225" t="s">
        <v>3407</v>
      </c>
      <c r="C1885" s="226">
        <v>538835</v>
      </c>
      <c r="D1885" s="225" t="s">
        <v>3408</v>
      </c>
      <c r="E1885" s="225" t="s">
        <v>690</v>
      </c>
    </row>
    <row r="1886" spans="2:5" ht="15.75" thickBot="1">
      <c r="B1886" s="225" t="s">
        <v>3409</v>
      </c>
      <c r="C1886" s="226">
        <v>534732</v>
      </c>
      <c r="D1886" s="225" t="s">
        <v>597</v>
      </c>
      <c r="E1886" s="225" t="s">
        <v>580</v>
      </c>
    </row>
    <row r="1887" spans="2:5" ht="15.75" thickBot="1">
      <c r="B1887" s="225" t="s">
        <v>3410</v>
      </c>
      <c r="C1887" s="226">
        <v>506134</v>
      </c>
      <c r="D1887" s="225" t="s">
        <v>597</v>
      </c>
      <c r="E1887" s="225" t="s">
        <v>717</v>
      </c>
    </row>
    <row r="1888" spans="2:5" ht="15.75" thickBot="1">
      <c r="B1888" s="225" t="s">
        <v>3411</v>
      </c>
      <c r="C1888" s="226">
        <v>532326</v>
      </c>
      <c r="D1888" s="225" t="s">
        <v>3412</v>
      </c>
      <c r="E1888" s="225" t="s">
        <v>690</v>
      </c>
    </row>
    <row r="1889" spans="2:5" ht="15.75" thickBot="1">
      <c r="B1889" s="225" t="s">
        <v>3413</v>
      </c>
      <c r="C1889" s="226">
        <v>511391</v>
      </c>
      <c r="D1889" s="225" t="s">
        <v>597</v>
      </c>
      <c r="E1889" s="225" t="s">
        <v>614</v>
      </c>
    </row>
    <row r="1890" spans="2:5" ht="15.75" thickBot="1">
      <c r="B1890" s="225" t="s">
        <v>3414</v>
      </c>
      <c r="C1890" s="226">
        <v>530259</v>
      </c>
      <c r="D1890" s="225" t="s">
        <v>597</v>
      </c>
      <c r="E1890" s="225" t="s">
        <v>669</v>
      </c>
    </row>
    <row r="1891" spans="2:5" ht="15.75" thickBot="1">
      <c r="B1891" s="225" t="s">
        <v>3415</v>
      </c>
      <c r="C1891" s="226">
        <v>539692</v>
      </c>
      <c r="D1891" s="225" t="s">
        <v>597</v>
      </c>
      <c r="E1891" s="225" t="s">
        <v>614</v>
      </c>
    </row>
    <row r="1892" spans="2:5" ht="15.75" thickBot="1">
      <c r="B1892" s="225" t="s">
        <v>3416</v>
      </c>
      <c r="C1892" s="226">
        <v>539448</v>
      </c>
      <c r="D1892" s="225" t="s">
        <v>3417</v>
      </c>
      <c r="E1892" s="225" t="s">
        <v>2734</v>
      </c>
    </row>
    <row r="1893" spans="2:5" ht="15.75" thickBot="1">
      <c r="B1893" s="225" t="s">
        <v>3418</v>
      </c>
      <c r="C1893" s="226">
        <v>526512</v>
      </c>
      <c r="D1893" s="225" t="s">
        <v>597</v>
      </c>
      <c r="E1893" s="225" t="s">
        <v>660</v>
      </c>
    </row>
    <row r="1894" spans="2:5" ht="15.75" thickBot="1">
      <c r="B1894" s="225" t="s">
        <v>3419</v>
      </c>
      <c r="C1894" s="226">
        <v>505737</v>
      </c>
      <c r="D1894" s="225" t="s">
        <v>597</v>
      </c>
      <c r="E1894" s="225" t="s">
        <v>605</v>
      </c>
    </row>
    <row r="1895" spans="2:5" ht="15.75" thickBot="1">
      <c r="B1895" s="225" t="s">
        <v>3420</v>
      </c>
      <c r="C1895" s="226">
        <v>505737</v>
      </c>
      <c r="D1895" s="225" t="s">
        <v>597</v>
      </c>
      <c r="E1895" s="225" t="s">
        <v>605</v>
      </c>
    </row>
    <row r="1896" spans="2:5" ht="15.75" thickBot="1">
      <c r="B1896" s="225" t="s">
        <v>3421</v>
      </c>
      <c r="C1896" s="225" t="s">
        <v>597</v>
      </c>
      <c r="D1896" s="225" t="s">
        <v>3422</v>
      </c>
      <c r="E1896" s="225" t="s">
        <v>688</v>
      </c>
    </row>
    <row r="1897" spans="2:5" ht="15.75" thickBot="1">
      <c r="B1897" s="225" t="s">
        <v>3423</v>
      </c>
      <c r="C1897" s="226">
        <v>509709</v>
      </c>
      <c r="D1897" s="225" t="s">
        <v>597</v>
      </c>
      <c r="E1897" s="225" t="s">
        <v>717</v>
      </c>
    </row>
    <row r="1898" spans="2:5" ht="15.75" thickBot="1">
      <c r="B1898" s="225" t="s">
        <v>3424</v>
      </c>
      <c r="C1898" s="226">
        <v>517044</v>
      </c>
      <c r="D1898" s="225" t="s">
        <v>597</v>
      </c>
      <c r="E1898" s="225" t="s">
        <v>681</v>
      </c>
    </row>
    <row r="1899" spans="2:5" ht="15.75" thickBot="1">
      <c r="B1899" s="225" t="s">
        <v>3425</v>
      </c>
      <c r="C1899" s="226">
        <v>530781</v>
      </c>
      <c r="D1899" s="225" t="s">
        <v>597</v>
      </c>
      <c r="E1899" s="225" t="s">
        <v>655</v>
      </c>
    </row>
    <row r="1900" spans="2:5" ht="15.75" thickBot="1">
      <c r="B1900" s="225" t="s">
        <v>3426</v>
      </c>
      <c r="C1900" s="226">
        <v>502330</v>
      </c>
      <c r="D1900" s="225" t="s">
        <v>3427</v>
      </c>
      <c r="E1900" s="225" t="s">
        <v>591</v>
      </c>
    </row>
    <row r="1901" spans="2:5" ht="15.75" thickBot="1">
      <c r="B1901" s="225" t="s">
        <v>3428</v>
      </c>
      <c r="C1901" s="226">
        <v>500213</v>
      </c>
      <c r="D1901" s="225" t="s">
        <v>597</v>
      </c>
      <c r="E1901" s="225" t="s">
        <v>1600</v>
      </c>
    </row>
    <row r="1902" spans="2:5" ht="15.75" thickBot="1">
      <c r="B1902" s="225" t="s">
        <v>3429</v>
      </c>
      <c r="C1902" s="226">
        <v>532072</v>
      </c>
      <c r="D1902" s="225" t="s">
        <v>597</v>
      </c>
      <c r="E1902" s="225" t="s">
        <v>600</v>
      </c>
    </row>
    <row r="1903" spans="2:5" ht="15.75" thickBot="1">
      <c r="B1903" s="225" t="s">
        <v>3430</v>
      </c>
      <c r="C1903" s="226">
        <v>533181</v>
      </c>
      <c r="D1903" s="225" t="s">
        <v>3431</v>
      </c>
      <c r="E1903" s="225" t="s">
        <v>3356</v>
      </c>
    </row>
    <row r="1904" spans="2:5" ht="15.75" thickBot="1">
      <c r="B1904" s="225" t="s">
        <v>3432</v>
      </c>
      <c r="C1904" s="226">
        <v>533506</v>
      </c>
      <c r="D1904" s="225" t="s">
        <v>3433</v>
      </c>
      <c r="E1904" s="225" t="s">
        <v>580</v>
      </c>
    </row>
    <row r="1905" spans="2:5" ht="15.75" thickBot="1">
      <c r="B1905" s="225" t="s">
        <v>3434</v>
      </c>
      <c r="C1905" s="226">
        <v>533172</v>
      </c>
      <c r="D1905" s="225" t="s">
        <v>3435</v>
      </c>
      <c r="E1905" s="225" t="s">
        <v>580</v>
      </c>
    </row>
    <row r="1906" spans="2:5" ht="15.75" thickBot="1">
      <c r="B1906" s="225" t="s">
        <v>3436</v>
      </c>
      <c r="C1906" s="226">
        <v>504786</v>
      </c>
      <c r="D1906" s="225" t="s">
        <v>597</v>
      </c>
      <c r="E1906" s="225" t="s">
        <v>1517</v>
      </c>
    </row>
    <row r="1907" spans="2:5" ht="15.75" thickBot="1">
      <c r="B1907" s="225" t="s">
        <v>3437</v>
      </c>
      <c r="C1907" s="226">
        <v>523844</v>
      </c>
      <c r="D1907" s="225" t="s">
        <v>597</v>
      </c>
      <c r="E1907" s="225" t="s">
        <v>1764</v>
      </c>
    </row>
    <row r="1908" spans="2:5" ht="15.75" thickBot="1">
      <c r="B1908" s="225" t="s">
        <v>3438</v>
      </c>
      <c r="C1908" s="226">
        <v>523752</v>
      </c>
      <c r="D1908" s="225" t="s">
        <v>597</v>
      </c>
      <c r="E1908" s="225" t="s">
        <v>605</v>
      </c>
    </row>
    <row r="1909" spans="2:5" ht="15.75" thickBot="1">
      <c r="B1909" s="225" t="s">
        <v>3439</v>
      </c>
      <c r="C1909" s="226">
        <v>524164</v>
      </c>
      <c r="D1909" s="225" t="s">
        <v>3440</v>
      </c>
      <c r="E1909" s="225" t="s">
        <v>635</v>
      </c>
    </row>
    <row r="1910" spans="2:5" ht="15.75" thickBot="1">
      <c r="B1910" s="225" t="s">
        <v>3441</v>
      </c>
      <c r="C1910" s="226">
        <v>500214</v>
      </c>
      <c r="D1910" s="225" t="s">
        <v>597</v>
      </c>
      <c r="E1910" s="225" t="s">
        <v>605</v>
      </c>
    </row>
    <row r="1911" spans="2:5" ht="15.75" thickBot="1">
      <c r="B1911" s="225" t="s">
        <v>3442</v>
      </c>
      <c r="C1911" s="226">
        <v>500214</v>
      </c>
      <c r="D1911" s="225" t="s">
        <v>597</v>
      </c>
      <c r="E1911" s="225" t="s">
        <v>605</v>
      </c>
    </row>
    <row r="1912" spans="2:5" ht="15.75" thickBot="1">
      <c r="B1912" s="225" t="s">
        <v>3443</v>
      </c>
      <c r="C1912" s="226">
        <v>523638</v>
      </c>
      <c r="D1912" s="225" t="s">
        <v>597</v>
      </c>
      <c r="E1912" s="225" t="s">
        <v>952</v>
      </c>
    </row>
    <row r="1913" spans="2:5" ht="15.75" thickBot="1">
      <c r="B1913" s="225" t="s">
        <v>3444</v>
      </c>
      <c r="C1913" s="226">
        <v>524494</v>
      </c>
      <c r="D1913" s="225" t="s">
        <v>3445</v>
      </c>
      <c r="E1913" s="225" t="s">
        <v>635</v>
      </c>
    </row>
    <row r="1914" spans="2:5" ht="15.75" thickBot="1">
      <c r="B1914" s="225" t="s">
        <v>3446</v>
      </c>
      <c r="C1914" s="226">
        <v>512405</v>
      </c>
      <c r="D1914" s="225" t="s">
        <v>597</v>
      </c>
      <c r="E1914" s="225" t="s">
        <v>603</v>
      </c>
    </row>
    <row r="1915" spans="2:5" ht="15.75" thickBot="1">
      <c r="B1915" s="225" t="s">
        <v>3447</v>
      </c>
      <c r="C1915" s="226">
        <v>512405</v>
      </c>
      <c r="D1915" s="225" t="s">
        <v>597</v>
      </c>
      <c r="E1915" s="225" t="s">
        <v>603</v>
      </c>
    </row>
    <row r="1916" spans="2:5" ht="15.75" thickBot="1">
      <c r="B1916" s="225" t="s">
        <v>3448</v>
      </c>
      <c r="C1916" s="226">
        <v>532947</v>
      </c>
      <c r="D1916" s="225" t="s">
        <v>3449</v>
      </c>
      <c r="E1916" s="225" t="s">
        <v>1192</v>
      </c>
    </row>
    <row r="1917" spans="2:5" ht="15.75" thickBot="1">
      <c r="B1917" s="225" t="s">
        <v>3450</v>
      </c>
      <c r="C1917" s="226">
        <v>540526</v>
      </c>
      <c r="D1917" s="225" t="s">
        <v>3451</v>
      </c>
      <c r="E1917" s="225" t="s">
        <v>617</v>
      </c>
    </row>
    <row r="1918" spans="2:5" ht="15.75" thickBot="1">
      <c r="B1918" s="225" t="s">
        <v>3452</v>
      </c>
      <c r="C1918" s="226">
        <v>541956</v>
      </c>
      <c r="D1918" s="225" t="s">
        <v>3453</v>
      </c>
      <c r="E1918" s="225" t="s">
        <v>995</v>
      </c>
    </row>
    <row r="1919" spans="2:5" ht="15.75" thickBot="1">
      <c r="B1919" s="225" t="s">
        <v>3454</v>
      </c>
      <c r="C1919" s="226">
        <v>540735</v>
      </c>
      <c r="D1919" s="225" t="s">
        <v>597</v>
      </c>
      <c r="E1919" s="225" t="s">
        <v>690</v>
      </c>
    </row>
    <row r="1920" spans="2:5" ht="15.75" thickBot="1">
      <c r="B1920" s="225" t="s">
        <v>3455</v>
      </c>
      <c r="C1920" s="225" t="s">
        <v>597</v>
      </c>
      <c r="D1920" s="225" t="s">
        <v>3456</v>
      </c>
      <c r="E1920" s="225" t="s">
        <v>608</v>
      </c>
    </row>
    <row r="1921" spans="2:5" ht="15.75" thickBot="1">
      <c r="B1921" s="225" t="s">
        <v>3457</v>
      </c>
      <c r="C1921" s="226">
        <v>531337</v>
      </c>
      <c r="D1921" s="225" t="s">
        <v>597</v>
      </c>
      <c r="E1921" s="225" t="s">
        <v>580</v>
      </c>
    </row>
    <row r="1922" spans="2:5" ht="15.75" thickBot="1">
      <c r="B1922" s="225" t="s">
        <v>3458</v>
      </c>
      <c r="C1922" s="226">
        <v>526859</v>
      </c>
      <c r="D1922" s="225" t="s">
        <v>597</v>
      </c>
      <c r="E1922" s="225" t="s">
        <v>614</v>
      </c>
    </row>
    <row r="1923" spans="2:5" ht="15.75" thickBot="1">
      <c r="B1923" s="225" t="s">
        <v>3459</v>
      </c>
      <c r="C1923" s="226">
        <v>533033</v>
      </c>
      <c r="D1923" s="225" t="s">
        <v>597</v>
      </c>
      <c r="E1923" s="225" t="s">
        <v>605</v>
      </c>
    </row>
    <row r="1924" spans="2:5" ht="15.75" thickBot="1">
      <c r="B1924" s="225" t="s">
        <v>3460</v>
      </c>
      <c r="C1924" s="226">
        <v>540134</v>
      </c>
      <c r="D1924" s="225" t="s">
        <v>597</v>
      </c>
      <c r="E1924" s="225" t="s">
        <v>995</v>
      </c>
    </row>
    <row r="1925" spans="2:5" ht="15.75" thickBot="1">
      <c r="B1925" s="225" t="s">
        <v>3461</v>
      </c>
      <c r="C1925" s="226">
        <v>531109</v>
      </c>
      <c r="D1925" s="225" t="s">
        <v>597</v>
      </c>
      <c r="E1925" s="225" t="s">
        <v>757</v>
      </c>
    </row>
    <row r="1926" spans="2:5" ht="15.75" thickBot="1">
      <c r="B1926" s="225" t="s">
        <v>3462</v>
      </c>
      <c r="C1926" s="226">
        <v>524400</v>
      </c>
      <c r="D1926" s="225" t="s">
        <v>597</v>
      </c>
      <c r="E1926" s="225" t="s">
        <v>635</v>
      </c>
    </row>
    <row r="1927" spans="2:5" ht="15.75" thickBot="1">
      <c r="B1927" s="225" t="s">
        <v>3463</v>
      </c>
      <c r="C1927" s="226">
        <v>506161</v>
      </c>
      <c r="D1927" s="225" t="s">
        <v>597</v>
      </c>
      <c r="E1927" s="225" t="s">
        <v>614</v>
      </c>
    </row>
    <row r="1928" spans="2:5" ht="15.75" thickBot="1">
      <c r="B1928" s="225" t="s">
        <v>3464</v>
      </c>
      <c r="C1928" s="226">
        <v>511609</v>
      </c>
      <c r="D1928" s="225" t="s">
        <v>597</v>
      </c>
      <c r="E1928" s="225" t="s">
        <v>614</v>
      </c>
    </row>
    <row r="1929" spans="2:5" ht="15.75" thickBot="1">
      <c r="B1929" s="225" t="s">
        <v>3465</v>
      </c>
      <c r="C1929" s="226">
        <v>532479</v>
      </c>
      <c r="D1929" s="225" t="s">
        <v>3466</v>
      </c>
      <c r="E1929" s="225" t="s">
        <v>629</v>
      </c>
    </row>
    <row r="1930" spans="2:5" ht="15.75" thickBot="1">
      <c r="B1930" s="225" t="s">
        <v>3467</v>
      </c>
      <c r="C1930" s="226">
        <v>508807</v>
      </c>
      <c r="D1930" s="225" t="s">
        <v>597</v>
      </c>
      <c r="E1930" s="225" t="s">
        <v>952</v>
      </c>
    </row>
    <row r="1931" spans="2:5" ht="15.75" thickBot="1">
      <c r="B1931" s="225" t="s">
        <v>3468</v>
      </c>
      <c r="C1931" s="226">
        <v>524622</v>
      </c>
      <c r="D1931" s="225" t="s">
        <v>597</v>
      </c>
      <c r="E1931" s="225" t="s">
        <v>3356</v>
      </c>
    </row>
    <row r="1932" spans="2:5" ht="15.75" thickBot="1">
      <c r="B1932" s="225" t="s">
        <v>1302</v>
      </c>
      <c r="C1932" s="226">
        <v>500875</v>
      </c>
      <c r="D1932" s="225" t="s">
        <v>1303</v>
      </c>
      <c r="E1932" s="225" t="s">
        <v>2767</v>
      </c>
    </row>
    <row r="1933" spans="2:5" ht="15.75" thickBot="1">
      <c r="B1933" s="225" t="s">
        <v>3469</v>
      </c>
      <c r="C1933" s="226">
        <v>509496</v>
      </c>
      <c r="D1933" s="225" t="s">
        <v>3470</v>
      </c>
      <c r="E1933" s="225" t="s">
        <v>995</v>
      </c>
    </row>
    <row r="1934" spans="2:5" ht="15.75" thickBot="1">
      <c r="B1934" s="225" t="s">
        <v>3471</v>
      </c>
      <c r="C1934" s="226">
        <v>509496</v>
      </c>
      <c r="D1934" s="225" t="s">
        <v>3470</v>
      </c>
      <c r="E1934" s="225" t="s">
        <v>995</v>
      </c>
    </row>
    <row r="1935" spans="2:5" ht="15.75" thickBot="1">
      <c r="B1935" s="225" t="s">
        <v>3472</v>
      </c>
      <c r="C1935" s="226">
        <v>523610</v>
      </c>
      <c r="D1935" s="225" t="s">
        <v>3473</v>
      </c>
      <c r="E1935" s="225" t="s">
        <v>743</v>
      </c>
    </row>
    <row r="1936" spans="2:5" ht="15.75" thickBot="1">
      <c r="B1936" s="225" t="s">
        <v>3474</v>
      </c>
      <c r="C1936" s="226">
        <v>522183</v>
      </c>
      <c r="D1936" s="225" t="s">
        <v>597</v>
      </c>
      <c r="E1936" s="225" t="s">
        <v>605</v>
      </c>
    </row>
    <row r="1937" spans="2:5" ht="15.75" thickBot="1">
      <c r="B1937" s="225" t="s">
        <v>3475</v>
      </c>
      <c r="C1937" s="226">
        <v>507580</v>
      </c>
      <c r="D1937" s="225" t="s">
        <v>3476</v>
      </c>
      <c r="E1937" s="225" t="s">
        <v>645</v>
      </c>
    </row>
    <row r="1938" spans="2:5" ht="15.75" thickBot="1">
      <c r="B1938" s="225" t="s">
        <v>3477</v>
      </c>
      <c r="C1938" s="226">
        <v>530773</v>
      </c>
      <c r="D1938" s="225" t="s">
        <v>3478</v>
      </c>
      <c r="E1938" s="225" t="s">
        <v>995</v>
      </c>
    </row>
    <row r="1939" spans="2:5" ht="15.75" thickBot="1">
      <c r="B1939" s="225" t="s">
        <v>3479</v>
      </c>
      <c r="C1939" s="226">
        <v>522245</v>
      </c>
      <c r="D1939" s="225" t="s">
        <v>597</v>
      </c>
      <c r="E1939" s="225" t="s">
        <v>782</v>
      </c>
    </row>
    <row r="1940" spans="2:5" ht="15.75" thickBot="1">
      <c r="B1940" s="225" t="s">
        <v>3480</v>
      </c>
      <c r="C1940" s="226">
        <v>532341</v>
      </c>
      <c r="D1940" s="225" t="s">
        <v>3481</v>
      </c>
      <c r="E1940" s="225" t="s">
        <v>583</v>
      </c>
    </row>
    <row r="1941" spans="2:5" ht="15.75" thickBot="1">
      <c r="B1941" s="225" t="s">
        <v>3482</v>
      </c>
      <c r="C1941" s="226">
        <v>538539</v>
      </c>
      <c r="D1941" s="225" t="s">
        <v>597</v>
      </c>
      <c r="E1941" s="225" t="s">
        <v>617</v>
      </c>
    </row>
    <row r="1942" spans="2:5" ht="15.75" thickBot="1">
      <c r="B1942" s="225" t="s">
        <v>3483</v>
      </c>
      <c r="C1942" s="226">
        <v>530049</v>
      </c>
      <c r="D1942" s="225" t="s">
        <v>597</v>
      </c>
      <c r="E1942" s="225" t="s">
        <v>612</v>
      </c>
    </row>
    <row r="1943" spans="2:5" ht="15.75" thickBot="1">
      <c r="B1943" s="225" t="s">
        <v>3484</v>
      </c>
      <c r="C1943" s="226">
        <v>523062</v>
      </c>
      <c r="D1943" s="225" t="s">
        <v>597</v>
      </c>
      <c r="E1943" s="225" t="s">
        <v>614</v>
      </c>
    </row>
    <row r="1944" spans="2:5" ht="15.75" thickBot="1">
      <c r="B1944" s="225" t="s">
        <v>3485</v>
      </c>
      <c r="C1944" s="226">
        <v>532940</v>
      </c>
      <c r="D1944" s="225" t="s">
        <v>3486</v>
      </c>
      <c r="E1944" s="225" t="s">
        <v>995</v>
      </c>
    </row>
    <row r="1945" spans="2:5" ht="15.75" thickBot="1">
      <c r="B1945" s="225" t="s">
        <v>3487</v>
      </c>
      <c r="C1945" s="226">
        <v>506522</v>
      </c>
      <c r="D1945" s="225" t="s">
        <v>597</v>
      </c>
      <c r="E1945" s="225" t="s">
        <v>779</v>
      </c>
    </row>
    <row r="1946" spans="2:5" ht="15.75" thickBot="1">
      <c r="B1946" s="225" t="s">
        <v>3488</v>
      </c>
      <c r="C1946" s="226">
        <v>506522</v>
      </c>
      <c r="D1946" s="225" t="s">
        <v>597</v>
      </c>
      <c r="E1946" s="225" t="s">
        <v>779</v>
      </c>
    </row>
    <row r="1947" spans="2:5" ht="15.75" thickBot="1">
      <c r="B1947" s="225" t="s">
        <v>3489</v>
      </c>
      <c r="C1947" s="226">
        <v>530915</v>
      </c>
      <c r="D1947" s="225" t="s">
        <v>597</v>
      </c>
      <c r="E1947" s="225" t="s">
        <v>846</v>
      </c>
    </row>
    <row r="1948" spans="2:5" ht="15.75" thickBot="1">
      <c r="B1948" s="225" t="s">
        <v>3490</v>
      </c>
      <c r="C1948" s="226">
        <v>538422</v>
      </c>
      <c r="D1948" s="225" t="s">
        <v>597</v>
      </c>
      <c r="E1948" s="225" t="s">
        <v>617</v>
      </c>
    </row>
    <row r="1949" spans="2:5" ht="15.75" thickBot="1">
      <c r="B1949" s="225" t="s">
        <v>3491</v>
      </c>
      <c r="C1949" s="226">
        <v>530711</v>
      </c>
      <c r="D1949" s="225" t="s">
        <v>597</v>
      </c>
      <c r="E1949" s="225" t="s">
        <v>952</v>
      </c>
    </row>
    <row r="1950" spans="2:5" ht="15.75" thickBot="1">
      <c r="B1950" s="225" t="s">
        <v>3492</v>
      </c>
      <c r="C1950" s="226">
        <v>507155</v>
      </c>
      <c r="D1950" s="225" t="s">
        <v>597</v>
      </c>
      <c r="E1950" s="225" t="s">
        <v>1229</v>
      </c>
    </row>
    <row r="1951" spans="2:5" ht="15.75" thickBot="1">
      <c r="B1951" s="225" t="s">
        <v>3493</v>
      </c>
      <c r="C1951" s="226">
        <v>532825</v>
      </c>
      <c r="D1951" s="225" t="s">
        <v>597</v>
      </c>
      <c r="E1951" s="225" t="s">
        <v>612</v>
      </c>
    </row>
    <row r="1952" spans="2:5" ht="15.75" thickBot="1">
      <c r="B1952" s="225" t="s">
        <v>3494</v>
      </c>
      <c r="C1952" s="226">
        <v>532705</v>
      </c>
      <c r="D1952" s="225" t="s">
        <v>3495</v>
      </c>
      <c r="E1952" s="225" t="s">
        <v>1121</v>
      </c>
    </row>
    <row r="1953" spans="2:5" ht="15.75" thickBot="1">
      <c r="B1953" s="225" t="s">
        <v>3496</v>
      </c>
      <c r="C1953" s="226">
        <v>520139</v>
      </c>
      <c r="D1953" s="225" t="s">
        <v>597</v>
      </c>
      <c r="E1953" s="225" t="s">
        <v>2734</v>
      </c>
    </row>
    <row r="1954" spans="2:5" ht="15.75" thickBot="1">
      <c r="B1954" s="225" t="s">
        <v>3497</v>
      </c>
      <c r="C1954" s="226">
        <v>530601</v>
      </c>
      <c r="D1954" s="225" t="s">
        <v>597</v>
      </c>
      <c r="E1954" s="225" t="s">
        <v>614</v>
      </c>
    </row>
    <row r="1955" spans="2:5" ht="15.75" thickBot="1">
      <c r="B1955" s="225" t="s">
        <v>3498</v>
      </c>
      <c r="C1955" s="226">
        <v>507789</v>
      </c>
      <c r="D1955" s="225" t="s">
        <v>3499</v>
      </c>
      <c r="E1955" s="225" t="s">
        <v>635</v>
      </c>
    </row>
    <row r="1956" spans="2:5" ht="15.75" thickBot="1">
      <c r="B1956" s="225" t="s">
        <v>3500</v>
      </c>
      <c r="C1956" s="226">
        <v>532976</v>
      </c>
      <c r="D1956" s="225" t="s">
        <v>3501</v>
      </c>
      <c r="E1956" s="225" t="s">
        <v>629</v>
      </c>
    </row>
    <row r="1957" spans="2:5" ht="15.75" thickBot="1">
      <c r="B1957" s="225" t="s">
        <v>3502</v>
      </c>
      <c r="C1957" s="226">
        <v>512237</v>
      </c>
      <c r="D1957" s="225" t="s">
        <v>3503</v>
      </c>
      <c r="E1957" s="225" t="s">
        <v>629</v>
      </c>
    </row>
    <row r="1958" spans="2:5" ht="15.75" thickBot="1">
      <c r="B1958" s="225" t="s">
        <v>3504</v>
      </c>
      <c r="C1958" s="226">
        <v>523467</v>
      </c>
      <c r="D1958" s="225" t="s">
        <v>597</v>
      </c>
      <c r="E1958" s="225" t="s">
        <v>1125</v>
      </c>
    </row>
    <row r="1959" spans="2:5" ht="15.75" thickBot="1">
      <c r="B1959" s="225" t="s">
        <v>3505</v>
      </c>
      <c r="C1959" s="226">
        <v>531339</v>
      </c>
      <c r="D1959" s="225" t="s">
        <v>3506</v>
      </c>
      <c r="E1959" s="225" t="s">
        <v>995</v>
      </c>
    </row>
    <row r="1960" spans="2:5" ht="15.75" thickBot="1">
      <c r="B1960" s="225" t="s">
        <v>3507</v>
      </c>
      <c r="C1960" s="226">
        <v>514312</v>
      </c>
      <c r="D1960" s="225" t="s">
        <v>597</v>
      </c>
      <c r="E1960" s="225" t="s">
        <v>612</v>
      </c>
    </row>
    <row r="1961" spans="2:5" ht="15.75" thickBot="1">
      <c r="B1961" s="225" t="s">
        <v>3508</v>
      </c>
      <c r="C1961" s="226">
        <v>500219</v>
      </c>
      <c r="D1961" s="225" t="s">
        <v>3509</v>
      </c>
      <c r="E1961" s="225" t="s">
        <v>717</v>
      </c>
    </row>
    <row r="1962" spans="2:5" ht="15.75" thickBot="1">
      <c r="B1962" s="225" t="s">
        <v>3508</v>
      </c>
      <c r="C1962" s="226">
        <v>570004</v>
      </c>
      <c r="D1962" s="225" t="s">
        <v>3510</v>
      </c>
      <c r="E1962" s="225" t="s">
        <v>717</v>
      </c>
    </row>
    <row r="1963" spans="2:5" ht="15.75" thickBot="1">
      <c r="B1963" s="225" t="s">
        <v>3511</v>
      </c>
      <c r="C1963" s="226">
        <v>539119</v>
      </c>
      <c r="D1963" s="225" t="s">
        <v>597</v>
      </c>
      <c r="E1963" s="225" t="s">
        <v>1125</v>
      </c>
    </row>
    <row r="1964" spans="2:5" ht="15.75" thickBot="1">
      <c r="B1964" s="225" t="s">
        <v>3512</v>
      </c>
      <c r="C1964" s="226">
        <v>532033</v>
      </c>
      <c r="D1964" s="225" t="s">
        <v>3513</v>
      </c>
      <c r="E1964" s="225" t="s">
        <v>1336</v>
      </c>
    </row>
    <row r="1965" spans="2:5" ht="15.75" thickBot="1">
      <c r="B1965" s="225" t="s">
        <v>3514</v>
      </c>
      <c r="C1965" s="226">
        <v>526865</v>
      </c>
      <c r="D1965" s="225" t="s">
        <v>597</v>
      </c>
      <c r="E1965" s="225" t="s">
        <v>619</v>
      </c>
    </row>
    <row r="1966" spans="2:5" ht="15.75" thickBot="1">
      <c r="B1966" s="225" t="s">
        <v>3515</v>
      </c>
      <c r="C1966" s="226">
        <v>526865</v>
      </c>
      <c r="D1966" s="225" t="s">
        <v>597</v>
      </c>
      <c r="E1966" s="225" t="s">
        <v>619</v>
      </c>
    </row>
    <row r="1967" spans="2:5" ht="15.75" thickBot="1">
      <c r="B1967" s="225" t="s">
        <v>3516</v>
      </c>
      <c r="C1967" s="226">
        <v>505212</v>
      </c>
      <c r="D1967" s="225" t="s">
        <v>597</v>
      </c>
      <c r="E1967" s="225" t="s">
        <v>952</v>
      </c>
    </row>
    <row r="1968" spans="2:5" ht="15.75" thickBot="1">
      <c r="B1968" s="225" t="s">
        <v>3517</v>
      </c>
      <c r="C1968" s="226">
        <v>505840</v>
      </c>
      <c r="D1968" s="225" t="s">
        <v>597</v>
      </c>
      <c r="E1968" s="225" t="s">
        <v>1362</v>
      </c>
    </row>
    <row r="1969" spans="2:5" ht="15.75" thickBot="1">
      <c r="B1969" s="225" t="s">
        <v>3518</v>
      </c>
      <c r="C1969" s="226">
        <v>532532</v>
      </c>
      <c r="D1969" s="225" t="s">
        <v>3519</v>
      </c>
      <c r="E1969" s="225" t="s">
        <v>995</v>
      </c>
    </row>
    <row r="1970" spans="2:5" ht="15.75" thickBot="1">
      <c r="B1970" s="225" t="s">
        <v>3520</v>
      </c>
      <c r="C1970" s="226">
        <v>532627</v>
      </c>
      <c r="D1970" s="225" t="s">
        <v>3521</v>
      </c>
      <c r="E1970" s="225" t="s">
        <v>736</v>
      </c>
    </row>
    <row r="1971" spans="2:5" ht="15.75" thickBot="1">
      <c r="B1971" s="225" t="s">
        <v>3522</v>
      </c>
      <c r="C1971" s="226">
        <v>780001</v>
      </c>
      <c r="D1971" s="225" t="s">
        <v>597</v>
      </c>
      <c r="E1971" s="225" t="s">
        <v>688</v>
      </c>
    </row>
    <row r="1972" spans="2:5" ht="15.75" thickBot="1">
      <c r="B1972" s="225" t="s">
        <v>3523</v>
      </c>
      <c r="C1972" s="225" t="s">
        <v>597</v>
      </c>
      <c r="D1972" s="225" t="s">
        <v>3524</v>
      </c>
      <c r="E1972" s="225" t="s">
        <v>608</v>
      </c>
    </row>
    <row r="1973" spans="2:5" ht="15.75" thickBot="1">
      <c r="B1973" s="225" t="s">
        <v>3525</v>
      </c>
      <c r="C1973" s="225" t="s">
        <v>597</v>
      </c>
      <c r="D1973" s="225" t="s">
        <v>3526</v>
      </c>
      <c r="E1973" s="225" t="s">
        <v>608</v>
      </c>
    </row>
    <row r="1974" spans="2:5" ht="15.75" thickBot="1">
      <c r="B1974" s="225" t="s">
        <v>3527</v>
      </c>
      <c r="C1974" s="225" t="s">
        <v>597</v>
      </c>
      <c r="D1974" s="225" t="s">
        <v>3526</v>
      </c>
      <c r="E1974" s="225" t="s">
        <v>608</v>
      </c>
    </row>
    <row r="1975" spans="2:5" ht="15.75" thickBot="1">
      <c r="B1975" s="225" t="s">
        <v>3528</v>
      </c>
      <c r="C1975" s="226">
        <v>538564</v>
      </c>
      <c r="D1975" s="225" t="s">
        <v>597</v>
      </c>
      <c r="E1975" s="225" t="s">
        <v>1004</v>
      </c>
    </row>
    <row r="1976" spans="2:5" ht="15.75" thickBot="1">
      <c r="B1976" s="225" t="s">
        <v>3529</v>
      </c>
      <c r="C1976" s="226">
        <v>520051</v>
      </c>
      <c r="D1976" s="225" t="s">
        <v>3530</v>
      </c>
      <c r="E1976" s="225" t="s">
        <v>952</v>
      </c>
    </row>
    <row r="1977" spans="2:5" ht="15.75" thickBot="1">
      <c r="B1977" s="225" t="s">
        <v>3531</v>
      </c>
      <c r="C1977" s="226">
        <v>502901</v>
      </c>
      <c r="D1977" s="225" t="s">
        <v>597</v>
      </c>
      <c r="E1977" s="225" t="s">
        <v>612</v>
      </c>
    </row>
    <row r="1978" spans="2:5" ht="15.75" thickBot="1">
      <c r="B1978" s="225" t="s">
        <v>3532</v>
      </c>
      <c r="C1978" s="226">
        <v>500220</v>
      </c>
      <c r="D1978" s="225" t="s">
        <v>597</v>
      </c>
      <c r="E1978" s="225" t="s">
        <v>612</v>
      </c>
    </row>
    <row r="1979" spans="2:5" ht="15.75" thickBot="1">
      <c r="B1979" s="225" t="s">
        <v>3533</v>
      </c>
      <c r="C1979" s="226">
        <v>540394</v>
      </c>
      <c r="D1979" s="225" t="s">
        <v>597</v>
      </c>
      <c r="E1979" s="225" t="s">
        <v>619</v>
      </c>
    </row>
    <row r="1980" spans="2:5" ht="15.75" thickBot="1">
      <c r="B1980" s="225" t="s">
        <v>3534</v>
      </c>
      <c r="C1980" s="225" t="s">
        <v>597</v>
      </c>
      <c r="D1980" s="225" t="s">
        <v>3535</v>
      </c>
      <c r="E1980" s="225" t="s">
        <v>608</v>
      </c>
    </row>
    <row r="1981" spans="2:5" ht="15.75" thickBot="1">
      <c r="B1981" s="225" t="s">
        <v>3536</v>
      </c>
      <c r="C1981" s="226">
        <v>514318</v>
      </c>
      <c r="D1981" s="225" t="s">
        <v>597</v>
      </c>
      <c r="E1981" s="225" t="s">
        <v>612</v>
      </c>
    </row>
    <row r="1982" spans="2:5" ht="15.75" thickBot="1">
      <c r="B1982" s="225" t="s">
        <v>3537</v>
      </c>
      <c r="C1982" s="226">
        <v>526001</v>
      </c>
      <c r="D1982" s="225" t="s">
        <v>597</v>
      </c>
      <c r="E1982" s="225" t="s">
        <v>792</v>
      </c>
    </row>
    <row r="1983" spans="2:5" ht="15.75" thickBot="1">
      <c r="B1983" s="225" t="s">
        <v>3538</v>
      </c>
      <c r="C1983" s="226">
        <v>520066</v>
      </c>
      <c r="D1983" s="225" t="s">
        <v>3539</v>
      </c>
      <c r="E1983" s="225" t="s">
        <v>952</v>
      </c>
    </row>
    <row r="1984" spans="2:5" ht="15.75" thickBot="1">
      <c r="B1984" s="225" t="s">
        <v>3540</v>
      </c>
      <c r="C1984" s="226">
        <v>509715</v>
      </c>
      <c r="D1984" s="225" t="s">
        <v>597</v>
      </c>
      <c r="E1984" s="225" t="s">
        <v>1004</v>
      </c>
    </row>
    <row r="1985" spans="2:5" ht="15.75" thickBot="1">
      <c r="B1985" s="225" t="s">
        <v>3541</v>
      </c>
      <c r="C1985" s="226">
        <v>513252</v>
      </c>
      <c r="D1985" s="225" t="s">
        <v>597</v>
      </c>
      <c r="E1985" s="225" t="s">
        <v>952</v>
      </c>
    </row>
    <row r="1986" spans="2:5" ht="15.75" thickBot="1">
      <c r="B1986" s="225" t="s">
        <v>3542</v>
      </c>
      <c r="C1986" s="226">
        <v>524330</v>
      </c>
      <c r="D1986" s="225" t="s">
        <v>3543</v>
      </c>
      <c r="E1986" s="225" t="s">
        <v>757</v>
      </c>
    </row>
    <row r="1987" spans="2:5" ht="15.75" thickBot="1">
      <c r="B1987" s="225" t="s">
        <v>3544</v>
      </c>
      <c r="C1987" s="226">
        <v>522285</v>
      </c>
      <c r="D1987" s="225" t="s">
        <v>3545</v>
      </c>
      <c r="E1987" s="225" t="s">
        <v>629</v>
      </c>
    </row>
    <row r="1988" spans="2:5" ht="15.75" thickBot="1">
      <c r="B1988" s="225" t="s">
        <v>3546</v>
      </c>
      <c r="C1988" s="226">
        <v>539005</v>
      </c>
      <c r="D1988" s="225" t="s">
        <v>597</v>
      </c>
      <c r="E1988" s="225" t="s">
        <v>1018</v>
      </c>
    </row>
    <row r="1989" spans="2:5" ht="15.75" thickBot="1">
      <c r="B1989" s="225" t="s">
        <v>3547</v>
      </c>
      <c r="C1989" s="226">
        <v>531323</v>
      </c>
      <c r="D1989" s="225" t="s">
        <v>597</v>
      </c>
      <c r="E1989" s="225" t="s">
        <v>612</v>
      </c>
    </row>
    <row r="1990" spans="2:5" ht="15.75" thickBot="1">
      <c r="B1990" s="225" t="s">
        <v>3548</v>
      </c>
      <c r="C1990" s="226">
        <v>512233</v>
      </c>
      <c r="D1990" s="225" t="s">
        <v>597</v>
      </c>
      <c r="E1990" s="225" t="s">
        <v>612</v>
      </c>
    </row>
    <row r="1991" spans="2:5" ht="15.75" thickBot="1">
      <c r="B1991" s="225" t="s">
        <v>3549</v>
      </c>
      <c r="C1991" s="226">
        <v>500306</v>
      </c>
      <c r="D1991" s="225" t="s">
        <v>597</v>
      </c>
      <c r="E1991" s="225" t="s">
        <v>614</v>
      </c>
    </row>
    <row r="1992" spans="2:5" ht="15.75" thickBot="1">
      <c r="B1992" s="225" t="s">
        <v>3550</v>
      </c>
      <c r="C1992" s="226">
        <v>533207</v>
      </c>
      <c r="D1992" s="225" t="s">
        <v>3551</v>
      </c>
      <c r="E1992" s="225" t="s">
        <v>1192</v>
      </c>
    </row>
    <row r="1993" spans="2:5" ht="15.75" thickBot="1">
      <c r="B1993" s="225" t="s">
        <v>3552</v>
      </c>
      <c r="C1993" s="226">
        <v>506520</v>
      </c>
      <c r="D1993" s="225" t="s">
        <v>597</v>
      </c>
      <c r="E1993" s="225" t="s">
        <v>645</v>
      </c>
    </row>
    <row r="1994" spans="2:5" ht="15.75" thickBot="1">
      <c r="B1994" s="225" t="s">
        <v>3553</v>
      </c>
      <c r="C1994" s="225" t="s">
        <v>597</v>
      </c>
      <c r="D1994" s="225" t="s">
        <v>3554</v>
      </c>
      <c r="E1994" s="225" t="s">
        <v>688</v>
      </c>
    </row>
    <row r="1995" spans="2:5" ht="15.75" thickBot="1">
      <c r="B1995" s="225" t="s">
        <v>3555</v>
      </c>
      <c r="C1995" s="226">
        <v>506910</v>
      </c>
      <c r="D1995" s="225" t="s">
        <v>597</v>
      </c>
      <c r="E1995" s="225" t="s">
        <v>757</v>
      </c>
    </row>
    <row r="1996" spans="2:5" ht="15.75" thickBot="1">
      <c r="B1996" s="225" t="s">
        <v>3556</v>
      </c>
      <c r="C1996" s="226">
        <v>506910</v>
      </c>
      <c r="D1996" s="225" t="s">
        <v>597</v>
      </c>
      <c r="E1996" s="225" t="s">
        <v>757</v>
      </c>
    </row>
    <row r="1997" spans="2:5" ht="15.75" thickBot="1">
      <c r="B1997" s="225" t="s">
        <v>3557</v>
      </c>
      <c r="C1997" s="226">
        <v>506943</v>
      </c>
      <c r="D1997" s="225" t="s">
        <v>3558</v>
      </c>
      <c r="E1997" s="225" t="s">
        <v>635</v>
      </c>
    </row>
    <row r="1998" spans="2:5" ht="15.75" thickBot="1">
      <c r="B1998" s="225" t="s">
        <v>3559</v>
      </c>
      <c r="C1998" s="226">
        <v>514034</v>
      </c>
      <c r="D1998" s="225" t="s">
        <v>3560</v>
      </c>
      <c r="E1998" s="225" t="s">
        <v>974</v>
      </c>
    </row>
    <row r="1999" spans="2:5" ht="15.75" thickBot="1">
      <c r="B1999" s="225" t="s">
        <v>3561</v>
      </c>
      <c r="C1999" s="226">
        <v>532605</v>
      </c>
      <c r="D1999" s="225" t="s">
        <v>3562</v>
      </c>
      <c r="E1999" s="225" t="s">
        <v>952</v>
      </c>
    </row>
    <row r="2000" spans="2:5" ht="15.75" thickBot="1">
      <c r="B2000" s="225" t="s">
        <v>3563</v>
      </c>
      <c r="C2000" s="226">
        <v>500223</v>
      </c>
      <c r="D2000" s="225" t="s">
        <v>597</v>
      </c>
      <c r="E2000" s="225" t="s">
        <v>612</v>
      </c>
    </row>
    <row r="2001" spans="2:5" ht="15.75" thickBot="1">
      <c r="B2001" s="225" t="s">
        <v>3564</v>
      </c>
      <c r="C2001" s="226">
        <v>524592</v>
      </c>
      <c r="D2001" s="225" t="s">
        <v>597</v>
      </c>
      <c r="E2001" s="225" t="s">
        <v>757</v>
      </c>
    </row>
    <row r="2002" spans="2:5" ht="15.75" thickBot="1">
      <c r="B2002" s="225" t="s">
        <v>3565</v>
      </c>
      <c r="C2002" s="226">
        <v>538837</v>
      </c>
      <c r="D2002" s="225" t="s">
        <v>597</v>
      </c>
      <c r="E2002" s="225" t="s">
        <v>603</v>
      </c>
    </row>
    <row r="2003" spans="2:5" ht="15.75" thickBot="1">
      <c r="B2003" s="225" t="s">
        <v>3566</v>
      </c>
      <c r="C2003" s="226">
        <v>524731</v>
      </c>
      <c r="D2003" s="225" t="s">
        <v>597</v>
      </c>
      <c r="E2003" s="225" t="s">
        <v>635</v>
      </c>
    </row>
    <row r="2004" spans="2:5" ht="15.75" thickBot="1">
      <c r="B2004" s="225" t="s">
        <v>3567</v>
      </c>
      <c r="C2004" s="226">
        <v>532617</v>
      </c>
      <c r="D2004" s="225" t="s">
        <v>3568</v>
      </c>
      <c r="E2004" s="225" t="s">
        <v>2734</v>
      </c>
    </row>
    <row r="2005" spans="2:5" ht="15.75" thickBot="1">
      <c r="B2005" s="225" t="s">
        <v>3569</v>
      </c>
      <c r="C2005" s="226">
        <v>532617</v>
      </c>
      <c r="D2005" s="225" t="s">
        <v>3568</v>
      </c>
      <c r="E2005" s="225" t="s">
        <v>2734</v>
      </c>
    </row>
    <row r="2006" spans="2:5" ht="15.75" thickBot="1">
      <c r="B2006" s="225" t="s">
        <v>3570</v>
      </c>
      <c r="C2006" s="225" t="s">
        <v>597</v>
      </c>
      <c r="D2006" s="225" t="s">
        <v>3571</v>
      </c>
      <c r="E2006" s="225" t="s">
        <v>608</v>
      </c>
    </row>
    <row r="2007" spans="2:5" ht="15.75" thickBot="1">
      <c r="B2007" s="225" t="s">
        <v>3572</v>
      </c>
      <c r="C2007" s="226">
        <v>538794</v>
      </c>
      <c r="D2007" s="225" t="s">
        <v>597</v>
      </c>
      <c r="E2007" s="225" t="s">
        <v>683</v>
      </c>
    </row>
    <row r="2008" spans="2:5" ht="15.75" thickBot="1">
      <c r="B2008" s="225" t="s">
        <v>3573</v>
      </c>
      <c r="C2008" s="225" t="s">
        <v>597</v>
      </c>
      <c r="D2008" s="225" t="s">
        <v>3574</v>
      </c>
      <c r="E2008" s="225" t="s">
        <v>608</v>
      </c>
    </row>
    <row r="2009" spans="2:5" ht="15.75" thickBot="1">
      <c r="B2009" s="225" t="s">
        <v>3575</v>
      </c>
      <c r="C2009" s="226">
        <v>517063</v>
      </c>
      <c r="D2009" s="225" t="s">
        <v>597</v>
      </c>
      <c r="E2009" s="225" t="s">
        <v>1082</v>
      </c>
    </row>
    <row r="2010" spans="2:5" ht="15.75" thickBot="1">
      <c r="B2010" s="225" t="s">
        <v>3576</v>
      </c>
      <c r="C2010" s="226">
        <v>540850</v>
      </c>
      <c r="D2010" s="225" t="s">
        <v>597</v>
      </c>
      <c r="E2010" s="225" t="s">
        <v>657</v>
      </c>
    </row>
    <row r="2011" spans="2:5" ht="15.75" thickBot="1">
      <c r="B2011" s="225" t="s">
        <v>3577</v>
      </c>
      <c r="C2011" s="226">
        <v>531550</v>
      </c>
      <c r="D2011" s="225" t="s">
        <v>597</v>
      </c>
      <c r="E2011" s="225" t="s">
        <v>580</v>
      </c>
    </row>
    <row r="2012" spans="2:5" ht="15.75" thickBot="1">
      <c r="B2012" s="225" t="s">
        <v>3578</v>
      </c>
      <c r="C2012" s="226">
        <v>532771</v>
      </c>
      <c r="D2012" s="225" t="s">
        <v>3579</v>
      </c>
      <c r="E2012" s="225" t="s">
        <v>779</v>
      </c>
    </row>
    <row r="2013" spans="2:5" ht="15.75" thickBot="1">
      <c r="B2013" s="225" t="s">
        <v>3580</v>
      </c>
      <c r="C2013" s="226">
        <v>540651</v>
      </c>
      <c r="D2013" s="225" t="s">
        <v>597</v>
      </c>
      <c r="E2013" s="225" t="s">
        <v>895</v>
      </c>
    </row>
    <row r="2014" spans="2:5" ht="15.75" thickBot="1">
      <c r="B2014" s="225" t="s">
        <v>3581</v>
      </c>
      <c r="C2014" s="226">
        <v>780019</v>
      </c>
      <c r="D2014" s="225" t="s">
        <v>597</v>
      </c>
      <c r="E2014" s="225" t="s">
        <v>688</v>
      </c>
    </row>
    <row r="2015" spans="2:5" ht="15.75" thickBot="1">
      <c r="B2015" s="225" t="s">
        <v>3582</v>
      </c>
      <c r="C2015" s="226">
        <v>511618</v>
      </c>
      <c r="D2015" s="225" t="s">
        <v>3583</v>
      </c>
      <c r="E2015" s="225" t="s">
        <v>619</v>
      </c>
    </row>
    <row r="2016" spans="2:5" ht="15.75" thickBot="1">
      <c r="B2016" s="225" t="s">
        <v>3584</v>
      </c>
      <c r="C2016" s="226">
        <v>542653</v>
      </c>
      <c r="D2016" s="225" t="s">
        <v>3585</v>
      </c>
      <c r="E2016" s="225" t="s">
        <v>1153</v>
      </c>
    </row>
    <row r="2017" spans="2:5" ht="15.75" thickBot="1">
      <c r="B2017" s="225" t="s">
        <v>3586</v>
      </c>
      <c r="C2017" s="226">
        <v>530405</v>
      </c>
      <c r="D2017" s="225" t="s">
        <v>597</v>
      </c>
      <c r="E2017" s="225" t="s">
        <v>580</v>
      </c>
    </row>
    <row r="2018" spans="2:5" ht="15.75" thickBot="1">
      <c r="B2018" s="225" t="s">
        <v>3587</v>
      </c>
      <c r="C2018" s="226">
        <v>533103</v>
      </c>
      <c r="D2018" s="225" t="s">
        <v>3588</v>
      </c>
      <c r="E2018" s="225" t="s">
        <v>612</v>
      </c>
    </row>
    <row r="2019" spans="2:5" ht="15.75" thickBot="1">
      <c r="B2019" s="225" t="s">
        <v>3589</v>
      </c>
      <c r="C2019" s="226">
        <v>511034</v>
      </c>
      <c r="D2019" s="225" t="s">
        <v>3590</v>
      </c>
      <c r="E2019" s="225" t="s">
        <v>660</v>
      </c>
    </row>
    <row r="2020" spans="2:5" ht="15.75" thickBot="1">
      <c r="B2020" s="225" t="s">
        <v>3591</v>
      </c>
      <c r="C2020" s="226">
        <v>507981</v>
      </c>
      <c r="D2020" s="225" t="s">
        <v>597</v>
      </c>
      <c r="E2020" s="225" t="s">
        <v>798</v>
      </c>
    </row>
    <row r="2021" spans="2:5" ht="15.75" thickBot="1">
      <c r="B2021" s="225" t="s">
        <v>3592</v>
      </c>
      <c r="C2021" s="226">
        <v>539947</v>
      </c>
      <c r="D2021" s="225" t="s">
        <v>597</v>
      </c>
      <c r="E2021" s="225" t="s">
        <v>617</v>
      </c>
    </row>
    <row r="2022" spans="2:5" ht="15.75" thickBot="1">
      <c r="B2022" s="225" t="s">
        <v>3593</v>
      </c>
      <c r="C2022" s="226">
        <v>532624</v>
      </c>
      <c r="D2022" s="225" t="s">
        <v>3594</v>
      </c>
      <c r="E2022" s="225" t="s">
        <v>1835</v>
      </c>
    </row>
    <row r="2023" spans="2:5" ht="15.75" thickBot="1">
      <c r="B2023" s="225" t="s">
        <v>3595</v>
      </c>
      <c r="C2023" s="226">
        <v>500227</v>
      </c>
      <c r="D2023" s="225" t="s">
        <v>3596</v>
      </c>
      <c r="E2023" s="225" t="s">
        <v>645</v>
      </c>
    </row>
    <row r="2024" spans="2:5" ht="15.75" thickBot="1">
      <c r="B2024" s="225" t="s">
        <v>3597</v>
      </c>
      <c r="C2024" s="226">
        <v>536773</v>
      </c>
      <c r="D2024" s="225" t="s">
        <v>3598</v>
      </c>
      <c r="E2024" s="225" t="s">
        <v>580</v>
      </c>
    </row>
    <row r="2025" spans="2:5" ht="15.75" thickBot="1">
      <c r="B2025" s="225" t="s">
        <v>3599</v>
      </c>
      <c r="C2025" s="226">
        <v>500378</v>
      </c>
      <c r="D2025" s="225" t="s">
        <v>3600</v>
      </c>
      <c r="E2025" s="225" t="s">
        <v>995</v>
      </c>
    </row>
    <row r="2026" spans="2:5" ht="15.75" thickBot="1">
      <c r="B2026" s="225" t="s">
        <v>3601</v>
      </c>
      <c r="C2026" s="226">
        <v>539597</v>
      </c>
      <c r="D2026" s="225" t="s">
        <v>3602</v>
      </c>
      <c r="E2026" s="225" t="s">
        <v>920</v>
      </c>
    </row>
    <row r="2027" spans="2:5" ht="15.75" thickBot="1">
      <c r="B2027" s="225" t="s">
        <v>3603</v>
      </c>
      <c r="C2027" s="226">
        <v>532508</v>
      </c>
      <c r="D2027" s="225" t="s">
        <v>3604</v>
      </c>
      <c r="E2027" s="225" t="s">
        <v>629</v>
      </c>
    </row>
    <row r="2028" spans="2:5" ht="15.75" thickBot="1">
      <c r="B2028" s="225" t="s">
        <v>3605</v>
      </c>
      <c r="C2028" s="226">
        <v>532286</v>
      </c>
      <c r="D2028" s="225" t="s">
        <v>3606</v>
      </c>
      <c r="E2028" s="225" t="s">
        <v>629</v>
      </c>
    </row>
    <row r="2029" spans="2:5" ht="15.75" thickBot="1">
      <c r="B2029" s="225" t="s">
        <v>3607</v>
      </c>
      <c r="C2029" s="226">
        <v>531543</v>
      </c>
      <c r="D2029" s="225" t="s">
        <v>3608</v>
      </c>
      <c r="E2029" s="225" t="s">
        <v>612</v>
      </c>
    </row>
    <row r="2030" spans="2:5" ht="15.75" thickBot="1">
      <c r="B2030" s="225" t="s">
        <v>3609</v>
      </c>
      <c r="C2030" s="226">
        <v>540311</v>
      </c>
      <c r="D2030" s="225" t="s">
        <v>3610</v>
      </c>
      <c r="E2030" s="225" t="s">
        <v>720</v>
      </c>
    </row>
    <row r="2031" spans="2:5" ht="15.75" thickBot="1">
      <c r="B2031" s="225" t="s">
        <v>3611</v>
      </c>
      <c r="C2031" s="226">
        <v>539225</v>
      </c>
      <c r="D2031" s="225" t="s">
        <v>597</v>
      </c>
      <c r="E2031" s="225" t="s">
        <v>622</v>
      </c>
    </row>
    <row r="2032" spans="2:5" ht="15.75" thickBot="1">
      <c r="B2032" s="225" t="s">
        <v>3612</v>
      </c>
      <c r="C2032" s="226">
        <v>536493</v>
      </c>
      <c r="D2032" s="225" t="s">
        <v>597</v>
      </c>
      <c r="E2032" s="225" t="s">
        <v>795</v>
      </c>
    </row>
    <row r="2033" spans="2:5" ht="15.75" thickBot="1">
      <c r="B2033" s="225" t="s">
        <v>3613</v>
      </c>
      <c r="C2033" s="226">
        <v>532644</v>
      </c>
      <c r="D2033" s="225" t="s">
        <v>3614</v>
      </c>
      <c r="E2033" s="225" t="s">
        <v>610</v>
      </c>
    </row>
    <row r="2034" spans="2:5" ht="15.75" thickBot="1">
      <c r="B2034" s="225" t="s">
        <v>3615</v>
      </c>
      <c r="C2034" s="226">
        <v>500380</v>
      </c>
      <c r="D2034" s="225" t="s">
        <v>3616</v>
      </c>
      <c r="E2034" s="225" t="s">
        <v>610</v>
      </c>
    </row>
    <row r="2035" spans="2:5" ht="15.75" thickBot="1">
      <c r="B2035" s="225" t="s">
        <v>3617</v>
      </c>
      <c r="C2035" s="226">
        <v>532162</v>
      </c>
      <c r="D2035" s="225" t="s">
        <v>3618</v>
      </c>
      <c r="E2035" s="225" t="s">
        <v>591</v>
      </c>
    </row>
    <row r="2036" spans="2:5" ht="15.75" thickBot="1">
      <c r="B2036" s="225" t="s">
        <v>3619</v>
      </c>
      <c r="C2036" s="226">
        <v>530007</v>
      </c>
      <c r="D2036" s="225" t="s">
        <v>3620</v>
      </c>
      <c r="E2036" s="225" t="s">
        <v>1077</v>
      </c>
    </row>
    <row r="2037" spans="2:5" ht="15.75" thickBot="1">
      <c r="B2037" s="225" t="s">
        <v>3621</v>
      </c>
      <c r="C2037" s="226">
        <v>538765</v>
      </c>
      <c r="D2037" s="225" t="s">
        <v>597</v>
      </c>
      <c r="E2037" s="225" t="s">
        <v>3356</v>
      </c>
    </row>
    <row r="2038" spans="2:5" ht="15.75" thickBot="1">
      <c r="B2038" s="225" t="s">
        <v>3622</v>
      </c>
      <c r="C2038" s="226">
        <v>523405</v>
      </c>
      <c r="D2038" s="225" t="s">
        <v>3623</v>
      </c>
      <c r="E2038" s="225" t="s">
        <v>763</v>
      </c>
    </row>
    <row r="2039" spans="2:5" ht="15.75" thickBot="1">
      <c r="B2039" s="225" t="s">
        <v>3624</v>
      </c>
      <c r="C2039" s="226">
        <v>522263</v>
      </c>
      <c r="D2039" s="225" t="s">
        <v>3625</v>
      </c>
      <c r="E2039" s="225" t="s">
        <v>995</v>
      </c>
    </row>
    <row r="2040" spans="2:5" ht="15.75" thickBot="1">
      <c r="B2040" s="225" t="s">
        <v>3626</v>
      </c>
      <c r="C2040" s="226">
        <v>522263</v>
      </c>
      <c r="D2040" s="225" t="s">
        <v>3625</v>
      </c>
      <c r="E2040" s="225" t="s">
        <v>995</v>
      </c>
    </row>
    <row r="2041" spans="2:5" ht="15.75" thickBot="1">
      <c r="B2041" s="225" t="s">
        <v>3627</v>
      </c>
      <c r="C2041" s="226">
        <v>511092</v>
      </c>
      <c r="D2041" s="225" t="s">
        <v>597</v>
      </c>
      <c r="E2041" s="225" t="s">
        <v>600</v>
      </c>
    </row>
    <row r="2042" spans="2:5" ht="15.75" thickBot="1">
      <c r="B2042" s="225" t="s">
        <v>3628</v>
      </c>
      <c r="C2042" s="226">
        <v>523712</v>
      </c>
      <c r="D2042" s="225" t="s">
        <v>597</v>
      </c>
      <c r="E2042" s="225" t="s">
        <v>717</v>
      </c>
    </row>
    <row r="2043" spans="2:5" ht="15.75" thickBot="1">
      <c r="B2043" s="225" t="s">
        <v>3629</v>
      </c>
      <c r="C2043" s="226">
        <v>513691</v>
      </c>
      <c r="D2043" s="225" t="s">
        <v>3630</v>
      </c>
      <c r="E2043" s="225" t="s">
        <v>952</v>
      </c>
    </row>
    <row r="2044" spans="2:5" ht="15.75" thickBot="1">
      <c r="B2044" s="225" t="s">
        <v>3631</v>
      </c>
      <c r="C2044" s="225" t="s">
        <v>597</v>
      </c>
      <c r="D2044" s="225" t="s">
        <v>3632</v>
      </c>
      <c r="E2044" s="225" t="s">
        <v>688</v>
      </c>
    </row>
    <row r="2045" spans="2:5" ht="15.75" thickBot="1">
      <c r="B2045" s="225" t="s">
        <v>3633</v>
      </c>
      <c r="C2045" s="226">
        <v>523398</v>
      </c>
      <c r="D2045" s="225" t="s">
        <v>3634</v>
      </c>
      <c r="E2045" s="225" t="s">
        <v>966</v>
      </c>
    </row>
    <row r="2046" spans="2:5" ht="15.75" thickBot="1">
      <c r="B2046" s="225" t="s">
        <v>3635</v>
      </c>
      <c r="C2046" s="226">
        <v>523398</v>
      </c>
      <c r="D2046" s="225" t="s">
        <v>3634</v>
      </c>
      <c r="E2046" s="225" t="s">
        <v>966</v>
      </c>
    </row>
    <row r="2047" spans="2:5" ht="15.75" thickBot="1">
      <c r="B2047" s="225" t="s">
        <v>3636</v>
      </c>
      <c r="C2047" s="226">
        <v>531861</v>
      </c>
      <c r="D2047" s="225" t="s">
        <v>597</v>
      </c>
      <c r="E2047" s="225" t="s">
        <v>580</v>
      </c>
    </row>
    <row r="2048" spans="2:5" ht="15.75" thickBot="1">
      <c r="B2048" s="225" t="s">
        <v>3637</v>
      </c>
      <c r="C2048" s="226">
        <v>534659</v>
      </c>
      <c r="D2048" s="225" t="s">
        <v>597</v>
      </c>
      <c r="E2048" s="225" t="s">
        <v>583</v>
      </c>
    </row>
    <row r="2049" spans="2:5" ht="15.75" thickBot="1">
      <c r="B2049" s="225" t="s">
        <v>3638</v>
      </c>
      <c r="C2049" s="226">
        <v>542446</v>
      </c>
      <c r="D2049" s="225" t="s">
        <v>3639</v>
      </c>
      <c r="E2049" s="225" t="s">
        <v>681</v>
      </c>
    </row>
    <row r="2050" spans="2:5" ht="15.75" thickBot="1">
      <c r="B2050" s="225" t="s">
        <v>3640</v>
      </c>
      <c r="C2050" s="226">
        <v>538092</v>
      </c>
      <c r="D2050" s="225" t="s">
        <v>597</v>
      </c>
      <c r="E2050" s="225" t="s">
        <v>1004</v>
      </c>
    </row>
    <row r="2051" spans="2:5" ht="15.75" thickBot="1">
      <c r="B2051" s="225" t="s">
        <v>3641</v>
      </c>
      <c r="C2051" s="226">
        <v>505750</v>
      </c>
      <c r="D2051" s="225" t="s">
        <v>597</v>
      </c>
      <c r="E2051" s="225" t="s">
        <v>605</v>
      </c>
    </row>
    <row r="2052" spans="2:5" ht="15.75" thickBot="1">
      <c r="B2052" s="225" t="s">
        <v>3642</v>
      </c>
      <c r="C2052" s="226">
        <v>508929</v>
      </c>
      <c r="D2052" s="225" t="s">
        <v>597</v>
      </c>
      <c r="E2052" s="225" t="s">
        <v>683</v>
      </c>
    </row>
    <row r="2053" spans="2:5" ht="15.75" thickBot="1">
      <c r="B2053" s="225" t="s">
        <v>3643</v>
      </c>
      <c r="C2053" s="226">
        <v>530985</v>
      </c>
      <c r="D2053" s="225" t="s">
        <v>597</v>
      </c>
      <c r="E2053" s="225" t="s">
        <v>614</v>
      </c>
    </row>
    <row r="2054" spans="2:5" ht="15.75" thickBot="1">
      <c r="B2054" s="225" t="s">
        <v>3644</v>
      </c>
      <c r="C2054" s="226">
        <v>506016</v>
      </c>
      <c r="D2054" s="225" t="s">
        <v>597</v>
      </c>
      <c r="E2054" s="225" t="s">
        <v>995</v>
      </c>
    </row>
    <row r="2055" spans="2:5" ht="15.75" thickBot="1">
      <c r="B2055" s="225" t="s">
        <v>3645</v>
      </c>
      <c r="C2055" s="226">
        <v>504080</v>
      </c>
      <c r="D2055" s="225" t="s">
        <v>597</v>
      </c>
      <c r="E2055" s="225" t="s">
        <v>895</v>
      </c>
    </row>
    <row r="2056" spans="2:5" ht="15.75" thickBot="1">
      <c r="B2056" s="225" t="s">
        <v>3646</v>
      </c>
      <c r="C2056" s="226">
        <v>533148</v>
      </c>
      <c r="D2056" s="225" t="s">
        <v>3647</v>
      </c>
      <c r="E2056" s="225" t="s">
        <v>736</v>
      </c>
    </row>
    <row r="2057" spans="2:5" ht="15.75" thickBot="1">
      <c r="B2057" s="225" t="s">
        <v>3648</v>
      </c>
      <c r="C2057" s="226">
        <v>532642</v>
      </c>
      <c r="D2057" s="225" t="s">
        <v>3649</v>
      </c>
      <c r="E2057" s="225" t="s">
        <v>763</v>
      </c>
    </row>
    <row r="2058" spans="2:5" ht="15.75" thickBot="1">
      <c r="B2058" s="225" t="s">
        <v>3650</v>
      </c>
      <c r="C2058" s="226">
        <v>500228</v>
      </c>
      <c r="D2058" s="225" t="s">
        <v>3651</v>
      </c>
      <c r="E2058" s="225" t="s">
        <v>629</v>
      </c>
    </row>
    <row r="2059" spans="2:5" ht="15.75" thickBot="1">
      <c r="B2059" s="225" t="s">
        <v>3652</v>
      </c>
      <c r="C2059" s="226">
        <v>520057</v>
      </c>
      <c r="D2059" s="225" t="s">
        <v>3653</v>
      </c>
      <c r="E2059" s="225" t="s">
        <v>952</v>
      </c>
    </row>
    <row r="2060" spans="2:5" ht="15.75" thickBot="1">
      <c r="B2060" s="225" t="s">
        <v>3654</v>
      </c>
      <c r="C2060" s="226">
        <v>520057</v>
      </c>
      <c r="D2060" s="225" t="s">
        <v>3655</v>
      </c>
      <c r="E2060" s="225" t="s">
        <v>952</v>
      </c>
    </row>
    <row r="2061" spans="2:5" ht="15.75" thickBot="1">
      <c r="B2061" s="225" t="s">
        <v>3656</v>
      </c>
      <c r="C2061" s="226">
        <v>534600</v>
      </c>
      <c r="D2061" s="225" t="s">
        <v>597</v>
      </c>
      <c r="E2061" s="225" t="s">
        <v>920</v>
      </c>
    </row>
    <row r="2062" spans="2:5" ht="15.75" thickBot="1">
      <c r="B2062" s="225" t="s">
        <v>3657</v>
      </c>
      <c r="C2062" s="226">
        <v>533155</v>
      </c>
      <c r="D2062" s="225" t="s">
        <v>3658</v>
      </c>
      <c r="E2062" s="225" t="s">
        <v>1086</v>
      </c>
    </row>
    <row r="2063" spans="2:5" ht="15.75" thickBot="1">
      <c r="B2063" s="225" t="s">
        <v>3659</v>
      </c>
      <c r="C2063" s="226">
        <v>533320</v>
      </c>
      <c r="D2063" s="225" t="s">
        <v>3660</v>
      </c>
      <c r="E2063" s="225" t="s">
        <v>741</v>
      </c>
    </row>
    <row r="2064" spans="2:5" ht="15.75" thickBot="1">
      <c r="B2064" s="225" t="s">
        <v>3661</v>
      </c>
      <c r="C2064" s="226">
        <v>530019</v>
      </c>
      <c r="D2064" s="225" t="s">
        <v>3662</v>
      </c>
      <c r="E2064" s="225" t="s">
        <v>635</v>
      </c>
    </row>
    <row r="2065" spans="2:5" ht="15.75" thickBot="1">
      <c r="B2065" s="225" t="s">
        <v>3663</v>
      </c>
      <c r="C2065" s="225" t="s">
        <v>597</v>
      </c>
      <c r="D2065" s="225" t="s">
        <v>3664</v>
      </c>
      <c r="E2065" s="225" t="s">
        <v>688</v>
      </c>
    </row>
    <row r="2066" spans="2:5" ht="15.75" thickBot="1">
      <c r="B2066" s="225" t="s">
        <v>3665</v>
      </c>
      <c r="C2066" s="226">
        <v>516078</v>
      </c>
      <c r="D2066" s="225" t="s">
        <v>597</v>
      </c>
      <c r="E2066" s="225" t="s">
        <v>792</v>
      </c>
    </row>
    <row r="2067" spans="2:5" ht="15.75" thickBot="1">
      <c r="B2067" s="225" t="s">
        <v>3666</v>
      </c>
      <c r="C2067" s="226">
        <v>511060</v>
      </c>
      <c r="D2067" s="225" t="s">
        <v>597</v>
      </c>
      <c r="E2067" s="225" t="s">
        <v>1018</v>
      </c>
    </row>
    <row r="2068" spans="2:5" ht="15.75" thickBot="1">
      <c r="B2068" s="225" t="s">
        <v>3667</v>
      </c>
      <c r="C2068" s="226">
        <v>539216</v>
      </c>
      <c r="D2068" s="225" t="s">
        <v>597</v>
      </c>
      <c r="E2068" s="225" t="s">
        <v>612</v>
      </c>
    </row>
    <row r="2069" spans="2:5" ht="15.75" thickBot="1">
      <c r="B2069" s="225" t="s">
        <v>3668</v>
      </c>
      <c r="C2069" s="226">
        <v>507987</v>
      </c>
      <c r="D2069" s="225" t="s">
        <v>597</v>
      </c>
      <c r="E2069" s="225" t="s">
        <v>614</v>
      </c>
    </row>
    <row r="2070" spans="2:5" ht="15.75" thickBot="1">
      <c r="B2070" s="225" t="s">
        <v>3669</v>
      </c>
      <c r="C2070" s="226">
        <v>534623</v>
      </c>
      <c r="D2070" s="225" t="s">
        <v>597</v>
      </c>
      <c r="E2070" s="225" t="s">
        <v>3356</v>
      </c>
    </row>
    <row r="2071" spans="2:5" ht="15.75" thickBot="1">
      <c r="B2071" s="225" t="s">
        <v>3670</v>
      </c>
      <c r="C2071" s="226">
        <v>535648</v>
      </c>
      <c r="D2071" s="225" t="s">
        <v>3671</v>
      </c>
      <c r="E2071" s="225" t="s">
        <v>1121</v>
      </c>
    </row>
    <row r="2072" spans="2:5" ht="15.75" thickBot="1">
      <c r="B2072" s="225" t="s">
        <v>3672</v>
      </c>
      <c r="C2072" s="226">
        <v>531035</v>
      </c>
      <c r="D2072" s="225" t="s">
        <v>597</v>
      </c>
      <c r="E2072" s="225" t="s">
        <v>1255</v>
      </c>
    </row>
    <row r="2073" spans="2:5" ht="15.75" thickBot="1">
      <c r="B2073" s="225" t="s">
        <v>3673</v>
      </c>
      <c r="C2073" s="226">
        <v>519248</v>
      </c>
      <c r="D2073" s="225" t="s">
        <v>3674</v>
      </c>
      <c r="E2073" s="225" t="s">
        <v>846</v>
      </c>
    </row>
    <row r="2074" spans="2:5" ht="15.75" thickBot="1">
      <c r="B2074" s="225" t="s">
        <v>3675</v>
      </c>
      <c r="C2074" s="226">
        <v>542544</v>
      </c>
      <c r="D2074" s="225" t="s">
        <v>3676</v>
      </c>
      <c r="E2074" s="225" t="s">
        <v>580</v>
      </c>
    </row>
    <row r="2075" spans="2:5" ht="15.75" thickBot="1">
      <c r="B2075" s="225" t="s">
        <v>3677</v>
      </c>
      <c r="C2075" s="226">
        <v>532926</v>
      </c>
      <c r="D2075" s="225" t="s">
        <v>3678</v>
      </c>
      <c r="E2075" s="225" t="s">
        <v>2415</v>
      </c>
    </row>
    <row r="2076" spans="2:5" ht="15.75" thickBot="1">
      <c r="B2076" s="225" t="s">
        <v>3679</v>
      </c>
      <c r="C2076" s="226">
        <v>504076</v>
      </c>
      <c r="D2076" s="225" t="s">
        <v>597</v>
      </c>
      <c r="E2076" s="225" t="s">
        <v>640</v>
      </c>
    </row>
    <row r="2077" spans="2:5" ht="15.75" thickBot="1">
      <c r="B2077" s="225" t="s">
        <v>3680</v>
      </c>
      <c r="C2077" s="226">
        <v>514448</v>
      </c>
      <c r="D2077" s="225" t="s">
        <v>597</v>
      </c>
      <c r="E2077" s="225" t="s">
        <v>757</v>
      </c>
    </row>
    <row r="2078" spans="2:5" ht="15.75" thickBot="1">
      <c r="B2078" s="225" t="s">
        <v>3681</v>
      </c>
      <c r="C2078" s="226">
        <v>513250</v>
      </c>
      <c r="D2078" s="225" t="s">
        <v>3682</v>
      </c>
      <c r="E2078" s="225" t="s">
        <v>640</v>
      </c>
    </row>
    <row r="2079" spans="2:5" ht="15.75" thickBot="1">
      <c r="B2079" s="225" t="s">
        <v>3683</v>
      </c>
      <c r="C2079" s="226">
        <v>539246</v>
      </c>
      <c r="D2079" s="225" t="s">
        <v>597</v>
      </c>
      <c r="E2079" s="225" t="s">
        <v>619</v>
      </c>
    </row>
    <row r="2080" spans="2:5" ht="15.75" thickBot="1">
      <c r="B2080" s="225" t="s">
        <v>3684</v>
      </c>
      <c r="C2080" s="226">
        <v>532673</v>
      </c>
      <c r="D2080" s="225" t="s">
        <v>3685</v>
      </c>
      <c r="E2080" s="225" t="s">
        <v>1296</v>
      </c>
    </row>
    <row r="2081" spans="2:5" ht="15.75" thickBot="1">
      <c r="B2081" s="225" t="s">
        <v>3686</v>
      </c>
      <c r="C2081" s="226">
        <v>539686</v>
      </c>
      <c r="D2081" s="225" t="s">
        <v>597</v>
      </c>
      <c r="E2081" s="225" t="s">
        <v>736</v>
      </c>
    </row>
    <row r="2082" spans="2:5" ht="15.75" thickBot="1">
      <c r="B2082" s="225" t="s">
        <v>3687</v>
      </c>
      <c r="C2082" s="226">
        <v>532889</v>
      </c>
      <c r="D2082" s="225" t="s">
        <v>3688</v>
      </c>
      <c r="E2082" s="225" t="s">
        <v>612</v>
      </c>
    </row>
    <row r="2083" spans="2:5" ht="15.75" thickBot="1">
      <c r="B2083" s="225" t="s">
        <v>3689</v>
      </c>
      <c r="C2083" s="226">
        <v>511728</v>
      </c>
      <c r="D2083" s="225" t="s">
        <v>597</v>
      </c>
      <c r="E2083" s="225" t="s">
        <v>614</v>
      </c>
    </row>
    <row r="2084" spans="2:5" ht="15.75" thickBot="1">
      <c r="B2084" s="225" t="s">
        <v>3690</v>
      </c>
      <c r="C2084" s="226">
        <v>514360</v>
      </c>
      <c r="D2084" s="225" t="s">
        <v>597</v>
      </c>
      <c r="E2084" s="225" t="s">
        <v>995</v>
      </c>
    </row>
    <row r="2085" spans="2:5" ht="15.75" thickBot="1">
      <c r="B2085" s="225" t="s">
        <v>3691</v>
      </c>
      <c r="C2085" s="226">
        <v>542323</v>
      </c>
      <c r="D2085" s="225" t="s">
        <v>3692</v>
      </c>
      <c r="E2085" s="225" t="s">
        <v>736</v>
      </c>
    </row>
    <row r="2086" spans="2:5" ht="15.75" thickBot="1">
      <c r="B2086" s="225" t="s">
        <v>3693</v>
      </c>
      <c r="C2086" s="226">
        <v>540756</v>
      </c>
      <c r="D2086" s="225" t="s">
        <v>597</v>
      </c>
      <c r="E2086" s="225" t="s">
        <v>3377</v>
      </c>
    </row>
    <row r="2087" spans="2:5" ht="15.75" thickBot="1">
      <c r="B2087" s="225" t="s">
        <v>3694</v>
      </c>
      <c r="C2087" s="226">
        <v>539393</v>
      </c>
      <c r="D2087" s="225" t="s">
        <v>597</v>
      </c>
      <c r="E2087" s="225" t="s">
        <v>1275</v>
      </c>
    </row>
    <row r="2088" spans="2:5" ht="15.75" thickBot="1">
      <c r="B2088" s="225" t="s">
        <v>3695</v>
      </c>
      <c r="C2088" s="226">
        <v>524322</v>
      </c>
      <c r="D2088" s="225" t="s">
        <v>597</v>
      </c>
      <c r="E2088" s="225" t="s">
        <v>635</v>
      </c>
    </row>
    <row r="2089" spans="2:5" ht="15.75" thickBot="1">
      <c r="B2089" s="225" t="s">
        <v>3696</v>
      </c>
      <c r="C2089" s="226">
        <v>524109</v>
      </c>
      <c r="D2089" s="225" t="s">
        <v>3697</v>
      </c>
      <c r="E2089" s="225" t="s">
        <v>605</v>
      </c>
    </row>
    <row r="2090" spans="2:5" ht="15.75" thickBot="1">
      <c r="B2090" s="225" t="s">
        <v>3698</v>
      </c>
      <c r="C2090" s="226">
        <v>524675</v>
      </c>
      <c r="D2090" s="225" t="s">
        <v>597</v>
      </c>
      <c r="E2090" s="225" t="s">
        <v>619</v>
      </c>
    </row>
    <row r="2091" spans="2:5" ht="15.75" thickBot="1">
      <c r="B2091" s="225" t="s">
        <v>3699</v>
      </c>
      <c r="C2091" s="226">
        <v>531778</v>
      </c>
      <c r="D2091" s="225" t="s">
        <v>597</v>
      </c>
      <c r="E2091" s="225" t="s">
        <v>577</v>
      </c>
    </row>
    <row r="2092" spans="2:5" ht="15.75" thickBot="1">
      <c r="B2092" s="225" t="s">
        <v>3700</v>
      </c>
      <c r="C2092" s="226">
        <v>504840</v>
      </c>
      <c r="D2092" s="225" t="s">
        <v>597</v>
      </c>
      <c r="E2092" s="225" t="s">
        <v>792</v>
      </c>
    </row>
    <row r="2093" spans="2:5" ht="15.75" thickBot="1">
      <c r="B2093" s="225" t="s">
        <v>3701</v>
      </c>
      <c r="C2093" s="226">
        <v>531780</v>
      </c>
      <c r="D2093" s="225" t="s">
        <v>597</v>
      </c>
      <c r="E2093" s="225" t="s">
        <v>619</v>
      </c>
    </row>
    <row r="2094" spans="2:5" ht="15.75" thickBot="1">
      <c r="B2094" s="225" t="s">
        <v>3702</v>
      </c>
      <c r="C2094" s="226">
        <v>500233</v>
      </c>
      <c r="D2094" s="225" t="s">
        <v>3703</v>
      </c>
      <c r="E2094" s="225" t="s">
        <v>874</v>
      </c>
    </row>
    <row r="2095" spans="2:5" ht="15.75" thickBot="1">
      <c r="B2095" s="225" t="s">
        <v>3704</v>
      </c>
      <c r="C2095" s="226">
        <v>500234</v>
      </c>
      <c r="D2095" s="225" t="s">
        <v>3705</v>
      </c>
      <c r="E2095" s="225" t="s">
        <v>610</v>
      </c>
    </row>
    <row r="2096" spans="2:5" ht="15.75" thickBot="1">
      <c r="B2096" s="225" t="s">
        <v>3706</v>
      </c>
      <c r="C2096" s="226">
        <v>521054</v>
      </c>
      <c r="D2096" s="225" t="s">
        <v>597</v>
      </c>
      <c r="E2096" s="225" t="s">
        <v>612</v>
      </c>
    </row>
    <row r="2097" spans="2:5" ht="15.75" thickBot="1">
      <c r="B2097" s="225" t="s">
        <v>3707</v>
      </c>
      <c r="C2097" s="226">
        <v>530201</v>
      </c>
      <c r="D2097" s="225" t="s">
        <v>597</v>
      </c>
      <c r="E2097" s="225" t="s">
        <v>612</v>
      </c>
    </row>
    <row r="2098" spans="2:5" ht="15.75" thickBot="1">
      <c r="B2098" s="225" t="s">
        <v>3708</v>
      </c>
      <c r="C2098" s="226">
        <v>539014</v>
      </c>
      <c r="D2098" s="225" t="s">
        <v>597</v>
      </c>
      <c r="E2098" s="225" t="s">
        <v>619</v>
      </c>
    </row>
    <row r="2099" spans="2:5" ht="15.75" thickBot="1">
      <c r="B2099" s="225" t="s">
        <v>3709</v>
      </c>
      <c r="C2099" s="226">
        <v>522287</v>
      </c>
      <c r="D2099" s="225" t="s">
        <v>3710</v>
      </c>
      <c r="E2099" s="225" t="s">
        <v>640</v>
      </c>
    </row>
    <row r="2100" spans="2:5" ht="15.75" thickBot="1">
      <c r="B2100" s="225" t="s">
        <v>3711</v>
      </c>
      <c r="C2100" s="225" t="s">
        <v>597</v>
      </c>
      <c r="D2100" s="225" t="s">
        <v>3712</v>
      </c>
      <c r="E2100" s="225" t="s">
        <v>688</v>
      </c>
    </row>
    <row r="2101" spans="2:5" ht="15.75" thickBot="1">
      <c r="B2101" s="225" t="s">
        <v>3713</v>
      </c>
      <c r="C2101" s="226">
        <v>513509</v>
      </c>
      <c r="D2101" s="225" t="s">
        <v>3714</v>
      </c>
      <c r="E2101" s="225" t="s">
        <v>952</v>
      </c>
    </row>
    <row r="2102" spans="2:5" ht="15.75" thickBot="1">
      <c r="B2102" s="225" t="s">
        <v>3715</v>
      </c>
      <c r="C2102" s="226">
        <v>533302</v>
      </c>
      <c r="D2102" s="225" t="s">
        <v>3716</v>
      </c>
      <c r="E2102" s="225" t="s">
        <v>617</v>
      </c>
    </row>
    <row r="2103" spans="2:5" ht="15.75" thickBot="1">
      <c r="B2103" s="225" t="s">
        <v>3717</v>
      </c>
      <c r="C2103" s="226">
        <v>500235</v>
      </c>
      <c r="D2103" s="225" t="s">
        <v>3718</v>
      </c>
      <c r="E2103" s="225" t="s">
        <v>629</v>
      </c>
    </row>
    <row r="2104" spans="2:5" ht="15.75" thickBot="1">
      <c r="B2104" s="225" t="s">
        <v>3719</v>
      </c>
      <c r="C2104" s="226">
        <v>532468</v>
      </c>
      <c r="D2104" s="225" t="s">
        <v>597</v>
      </c>
      <c r="E2104" s="225" t="s">
        <v>763</v>
      </c>
    </row>
    <row r="2105" spans="2:5" ht="15.75" thickBot="1">
      <c r="B2105" s="225" t="s">
        <v>3720</v>
      </c>
      <c r="C2105" s="226">
        <v>514322</v>
      </c>
      <c r="D2105" s="225" t="s">
        <v>597</v>
      </c>
      <c r="E2105" s="225" t="s">
        <v>612</v>
      </c>
    </row>
    <row r="2106" spans="2:5" ht="15.75" thickBot="1">
      <c r="B2106" s="225" t="s">
        <v>3721</v>
      </c>
      <c r="C2106" s="226">
        <v>511131</v>
      </c>
      <c r="D2106" s="225" t="s">
        <v>597</v>
      </c>
      <c r="E2106" s="225" t="s">
        <v>683</v>
      </c>
    </row>
    <row r="2107" spans="2:5" ht="15.75" thickBot="1">
      <c r="B2107" s="225" t="s">
        <v>3722</v>
      </c>
      <c r="C2107" s="226">
        <v>526668</v>
      </c>
      <c r="D2107" s="225" t="s">
        <v>3723</v>
      </c>
      <c r="E2107" s="225" t="s">
        <v>798</v>
      </c>
    </row>
    <row r="2108" spans="2:5" ht="15.75" thickBot="1">
      <c r="B2108" s="225" t="s">
        <v>3724</v>
      </c>
      <c r="C2108" s="226">
        <v>532741</v>
      </c>
      <c r="D2108" s="225" t="s">
        <v>3725</v>
      </c>
      <c r="E2108" s="225" t="s">
        <v>629</v>
      </c>
    </row>
    <row r="2109" spans="2:5" ht="15.75" thickBot="1">
      <c r="B2109" s="225" t="s">
        <v>3726</v>
      </c>
      <c r="C2109" s="226">
        <v>524604</v>
      </c>
      <c r="D2109" s="225" t="s">
        <v>597</v>
      </c>
      <c r="E2109" s="225" t="s">
        <v>635</v>
      </c>
    </row>
    <row r="2110" spans="2:5" ht="15.75" thickBot="1">
      <c r="B2110" s="225" t="s">
        <v>3727</v>
      </c>
      <c r="C2110" s="226">
        <v>780003</v>
      </c>
      <c r="D2110" s="225" t="s">
        <v>597</v>
      </c>
      <c r="E2110" s="225" t="s">
        <v>688</v>
      </c>
    </row>
    <row r="2111" spans="2:5" ht="15.75" thickBot="1">
      <c r="B2111" s="225" t="s">
        <v>3728</v>
      </c>
      <c r="C2111" s="226">
        <v>506184</v>
      </c>
      <c r="D2111" s="225" t="s">
        <v>3729</v>
      </c>
      <c r="E2111" s="225" t="s">
        <v>711</v>
      </c>
    </row>
    <row r="2112" spans="2:5" ht="15.75" thickBot="1">
      <c r="B2112" s="225" t="s">
        <v>3730</v>
      </c>
      <c r="C2112" s="226">
        <v>538896</v>
      </c>
      <c r="D2112" s="225" t="s">
        <v>597</v>
      </c>
      <c r="E2112" s="225" t="s">
        <v>645</v>
      </c>
    </row>
    <row r="2113" spans="2:5" ht="15.75" thickBot="1">
      <c r="B2113" s="225" t="s">
        <v>3731</v>
      </c>
      <c r="C2113" s="226">
        <v>541005</v>
      </c>
      <c r="D2113" s="225" t="s">
        <v>597</v>
      </c>
      <c r="E2113" s="225" t="s">
        <v>1004</v>
      </c>
    </row>
    <row r="2114" spans="2:5" ht="15.75" thickBot="1">
      <c r="B2114" s="225" t="s">
        <v>3732</v>
      </c>
      <c r="C2114" s="226">
        <v>521242</v>
      </c>
      <c r="D2114" s="225" t="s">
        <v>597</v>
      </c>
      <c r="E2114" s="225" t="s">
        <v>612</v>
      </c>
    </row>
    <row r="2115" spans="2:5" ht="15.75" thickBot="1">
      <c r="B2115" s="225" t="s">
        <v>3733</v>
      </c>
      <c r="C2115" s="226">
        <v>500236</v>
      </c>
      <c r="D2115" s="225" t="s">
        <v>3734</v>
      </c>
      <c r="E2115" s="225" t="s">
        <v>963</v>
      </c>
    </row>
    <row r="2116" spans="2:5" ht="15.75" thickBot="1">
      <c r="B2116" s="225" t="s">
        <v>3735</v>
      </c>
      <c r="C2116" s="226">
        <v>513456</v>
      </c>
      <c r="D2116" s="225" t="s">
        <v>597</v>
      </c>
      <c r="E2116" s="225" t="s">
        <v>920</v>
      </c>
    </row>
    <row r="2117" spans="2:5" ht="15.75" thickBot="1">
      <c r="B2117" s="225" t="s">
        <v>3736</v>
      </c>
      <c r="C2117" s="226">
        <v>506525</v>
      </c>
      <c r="D2117" s="225" t="s">
        <v>3737</v>
      </c>
      <c r="E2117" s="225" t="s">
        <v>645</v>
      </c>
    </row>
    <row r="2118" spans="2:5" ht="15.75" thickBot="1">
      <c r="B2118" s="225" t="s">
        <v>3738</v>
      </c>
      <c r="C2118" s="226">
        <v>507779</v>
      </c>
      <c r="D2118" s="225" t="s">
        <v>597</v>
      </c>
      <c r="E2118" s="225" t="s">
        <v>792</v>
      </c>
    </row>
    <row r="2119" spans="2:5" ht="15.75" thickBot="1">
      <c r="B2119" s="225" t="s">
        <v>3739</v>
      </c>
      <c r="C2119" s="226">
        <v>500165</v>
      </c>
      <c r="D2119" s="225" t="s">
        <v>3740</v>
      </c>
      <c r="E2119" s="225" t="s">
        <v>874</v>
      </c>
    </row>
    <row r="2120" spans="2:5" ht="15.75" thickBot="1">
      <c r="B2120" s="225" t="s">
        <v>3741</v>
      </c>
      <c r="C2120" s="226">
        <v>540515</v>
      </c>
      <c r="D2120" s="225" t="s">
        <v>597</v>
      </c>
      <c r="E2120" s="225" t="s">
        <v>580</v>
      </c>
    </row>
    <row r="2121" spans="2:5" ht="15.75" thickBot="1">
      <c r="B2121" s="225" t="s">
        <v>3742</v>
      </c>
      <c r="C2121" s="226">
        <v>512399</v>
      </c>
      <c r="D2121" s="225" t="s">
        <v>597</v>
      </c>
      <c r="E2121" s="225" t="s">
        <v>580</v>
      </c>
    </row>
    <row r="2122" spans="2:5" ht="15.75" thickBot="1">
      <c r="B2122" s="225" t="s">
        <v>3743</v>
      </c>
      <c r="C2122" s="226">
        <v>512036</v>
      </c>
      <c r="D2122" s="225" t="s">
        <v>597</v>
      </c>
      <c r="E2122" s="225" t="s">
        <v>612</v>
      </c>
    </row>
    <row r="2123" spans="2:5" ht="15.75" thickBot="1">
      <c r="B2123" s="225" t="s">
        <v>3744</v>
      </c>
      <c r="C2123" s="226">
        <v>539679</v>
      </c>
      <c r="D2123" s="225" t="s">
        <v>597</v>
      </c>
      <c r="E2123" s="225" t="s">
        <v>614</v>
      </c>
    </row>
    <row r="2124" spans="2:5" ht="15.75" thickBot="1">
      <c r="B2124" s="225" t="s">
        <v>3745</v>
      </c>
      <c r="C2124" s="225" t="s">
        <v>597</v>
      </c>
      <c r="D2124" s="225" t="s">
        <v>3746</v>
      </c>
      <c r="E2124" s="225" t="s">
        <v>608</v>
      </c>
    </row>
    <row r="2125" spans="2:5" ht="15.75" thickBot="1">
      <c r="B2125" s="225" t="s">
        <v>3747</v>
      </c>
      <c r="C2125" s="226">
        <v>526115</v>
      </c>
      <c r="D2125" s="225" t="s">
        <v>597</v>
      </c>
      <c r="E2125" s="225" t="s">
        <v>711</v>
      </c>
    </row>
    <row r="2126" spans="2:5" ht="15.75" thickBot="1">
      <c r="B2126" s="225" t="s">
        <v>3748</v>
      </c>
      <c r="C2126" s="226">
        <v>541161</v>
      </c>
      <c r="D2126" s="225" t="s">
        <v>3749</v>
      </c>
      <c r="E2126" s="225" t="s">
        <v>683</v>
      </c>
    </row>
    <row r="2127" spans="2:5" ht="15.75" thickBot="1">
      <c r="B2127" s="225" t="s">
        <v>3750</v>
      </c>
      <c r="C2127" s="226">
        <v>533451</v>
      </c>
      <c r="D2127" s="225" t="s">
        <v>3751</v>
      </c>
      <c r="E2127" s="225" t="s">
        <v>736</v>
      </c>
    </row>
    <row r="2128" spans="2:5" ht="15.75" thickBot="1">
      <c r="B2128" s="225" t="s">
        <v>3752</v>
      </c>
      <c r="C2128" s="226">
        <v>538928</v>
      </c>
      <c r="D2128" s="225" t="s">
        <v>597</v>
      </c>
      <c r="E2128" s="225" t="s">
        <v>614</v>
      </c>
    </row>
    <row r="2129" spans="2:5" ht="15.75" thickBot="1">
      <c r="B2129" s="225" t="s">
        <v>3753</v>
      </c>
      <c r="C2129" s="226">
        <v>537784</v>
      </c>
      <c r="D2129" s="225" t="s">
        <v>597</v>
      </c>
      <c r="E2129" s="225" t="s">
        <v>1018</v>
      </c>
    </row>
    <row r="2130" spans="2:5" ht="15.75" thickBot="1">
      <c r="B2130" s="225" t="s">
        <v>3754</v>
      </c>
      <c r="C2130" s="226">
        <v>590003</v>
      </c>
      <c r="D2130" s="225" t="s">
        <v>3755</v>
      </c>
      <c r="E2130" s="225" t="s">
        <v>915</v>
      </c>
    </row>
    <row r="2131" spans="2:5" ht="15.75" thickBot="1">
      <c r="B2131" s="225" t="s">
        <v>3756</v>
      </c>
      <c r="C2131" s="226">
        <v>531687</v>
      </c>
      <c r="D2131" s="225" t="s">
        <v>3757</v>
      </c>
      <c r="E2131" s="225" t="s">
        <v>795</v>
      </c>
    </row>
    <row r="2132" spans="2:5" ht="15.75" thickBot="1">
      <c r="B2132" s="225" t="s">
        <v>3758</v>
      </c>
      <c r="C2132" s="226">
        <v>539533</v>
      </c>
      <c r="D2132" s="225" t="s">
        <v>597</v>
      </c>
      <c r="E2132" s="225" t="s">
        <v>580</v>
      </c>
    </row>
    <row r="2133" spans="2:5" ht="15.75" thickBot="1">
      <c r="B2133" s="225" t="s">
        <v>3759</v>
      </c>
      <c r="C2133" s="226">
        <v>502933</v>
      </c>
      <c r="D2133" s="225" t="s">
        <v>597</v>
      </c>
      <c r="E2133" s="225" t="s">
        <v>612</v>
      </c>
    </row>
    <row r="2134" spans="2:5" ht="15.75" thickBot="1">
      <c r="B2134" s="225" t="s">
        <v>3760</v>
      </c>
      <c r="C2134" s="226">
        <v>532925</v>
      </c>
      <c r="D2134" s="225" t="s">
        <v>3761</v>
      </c>
      <c r="E2134" s="225" t="s">
        <v>995</v>
      </c>
    </row>
    <row r="2135" spans="2:5" ht="15.75" thickBot="1">
      <c r="B2135" s="225" t="s">
        <v>3762</v>
      </c>
      <c r="C2135" s="226">
        <v>532899</v>
      </c>
      <c r="D2135" s="225" t="s">
        <v>3763</v>
      </c>
      <c r="E2135" s="225" t="s">
        <v>795</v>
      </c>
    </row>
    <row r="2136" spans="2:5" ht="15.75" thickBot="1">
      <c r="B2136" s="225" t="s">
        <v>3764</v>
      </c>
      <c r="C2136" s="226">
        <v>524444</v>
      </c>
      <c r="D2136" s="225" t="s">
        <v>597</v>
      </c>
      <c r="E2136" s="225" t="s">
        <v>846</v>
      </c>
    </row>
    <row r="2137" spans="2:5" ht="15.75" thickBot="1">
      <c r="B2137" s="225" t="s">
        <v>3765</v>
      </c>
      <c r="C2137" s="226">
        <v>535136</v>
      </c>
      <c r="D2137" s="225" t="s">
        <v>597</v>
      </c>
      <c r="E2137" s="225" t="s">
        <v>612</v>
      </c>
    </row>
    <row r="2138" spans="2:5" ht="15.75" thickBot="1">
      <c r="B2138" s="225" t="s">
        <v>3766</v>
      </c>
      <c r="C2138" s="226">
        <v>590041</v>
      </c>
      <c r="D2138" s="225" t="s">
        <v>3767</v>
      </c>
      <c r="E2138" s="225" t="s">
        <v>743</v>
      </c>
    </row>
    <row r="2139" spans="2:5" ht="15.75" thickBot="1">
      <c r="B2139" s="225" t="s">
        <v>3768</v>
      </c>
      <c r="C2139" s="226">
        <v>530255</v>
      </c>
      <c r="D2139" s="225" t="s">
        <v>597</v>
      </c>
      <c r="E2139" s="225" t="s">
        <v>591</v>
      </c>
    </row>
    <row r="2140" spans="2:5" ht="15.75" thickBot="1">
      <c r="B2140" s="225" t="s">
        <v>3769</v>
      </c>
      <c r="C2140" s="226">
        <v>539276</v>
      </c>
      <c r="D2140" s="225" t="s">
        <v>3770</v>
      </c>
      <c r="E2140" s="225" t="s">
        <v>3377</v>
      </c>
    </row>
    <row r="2141" spans="2:5" ht="15.75" thickBot="1">
      <c r="B2141" s="225" t="s">
        <v>3771</v>
      </c>
      <c r="C2141" s="226">
        <v>504084</v>
      </c>
      <c r="D2141" s="225" t="s">
        <v>597</v>
      </c>
      <c r="E2141" s="225" t="s">
        <v>895</v>
      </c>
    </row>
    <row r="2142" spans="2:5" ht="15.75" thickBot="1">
      <c r="B2142" s="225" t="s">
        <v>3772</v>
      </c>
      <c r="C2142" s="226">
        <v>539562</v>
      </c>
      <c r="D2142" s="225" t="s">
        <v>597</v>
      </c>
      <c r="E2142" s="225" t="s">
        <v>580</v>
      </c>
    </row>
    <row r="2143" spans="2:5" ht="15.75" thickBot="1">
      <c r="B2143" s="225" t="s">
        <v>3773</v>
      </c>
      <c r="C2143" s="226">
        <v>530357</v>
      </c>
      <c r="D2143" s="225" t="s">
        <v>597</v>
      </c>
      <c r="E2143" s="225" t="s">
        <v>580</v>
      </c>
    </row>
    <row r="2144" spans="2:5" ht="15.75" thickBot="1">
      <c r="B2144" s="225" t="s">
        <v>3774</v>
      </c>
      <c r="C2144" s="226">
        <v>530357</v>
      </c>
      <c r="D2144" s="225" t="s">
        <v>597</v>
      </c>
      <c r="E2144" s="225" t="s">
        <v>580</v>
      </c>
    </row>
    <row r="2145" spans="2:5" ht="15.75" thickBot="1">
      <c r="B2145" s="225" t="s">
        <v>3775</v>
      </c>
      <c r="C2145" s="226">
        <v>526067</v>
      </c>
      <c r="D2145" s="225" t="s">
        <v>597</v>
      </c>
      <c r="E2145" s="225" t="s">
        <v>792</v>
      </c>
    </row>
    <row r="2146" spans="2:5" ht="15.75" thickBot="1">
      <c r="B2146" s="225" t="s">
        <v>3776</v>
      </c>
      <c r="C2146" s="226">
        <v>531784</v>
      </c>
      <c r="D2146" s="225" t="s">
        <v>597</v>
      </c>
      <c r="E2146" s="225" t="s">
        <v>995</v>
      </c>
    </row>
    <row r="2147" spans="2:5" ht="15.75" thickBot="1">
      <c r="B2147" s="225" t="s">
        <v>3777</v>
      </c>
      <c r="C2147" s="226">
        <v>590066</v>
      </c>
      <c r="D2147" s="225" t="s">
        <v>3778</v>
      </c>
      <c r="E2147" s="225" t="s">
        <v>610</v>
      </c>
    </row>
    <row r="2148" spans="2:5" ht="15.75" thickBot="1">
      <c r="B2148" s="225" t="s">
        <v>3779</v>
      </c>
      <c r="C2148" s="226">
        <v>533192</v>
      </c>
      <c r="D2148" s="225" t="s">
        <v>3780</v>
      </c>
      <c r="E2148" s="225" t="s">
        <v>1296</v>
      </c>
    </row>
    <row r="2149" spans="2:5" ht="15.75" thickBot="1">
      <c r="B2149" s="225" t="s">
        <v>3781</v>
      </c>
      <c r="C2149" s="226">
        <v>540385</v>
      </c>
      <c r="D2149" s="225" t="s">
        <v>597</v>
      </c>
      <c r="E2149" s="225" t="s">
        <v>580</v>
      </c>
    </row>
    <row r="2150" spans="2:5" ht="15.75" thickBot="1">
      <c r="B2150" s="225" t="s">
        <v>3782</v>
      </c>
      <c r="C2150" s="226">
        <v>532054</v>
      </c>
      <c r="D2150" s="225" t="s">
        <v>3783</v>
      </c>
      <c r="E2150" s="225" t="s">
        <v>711</v>
      </c>
    </row>
    <row r="2151" spans="2:5" ht="15.75" thickBot="1">
      <c r="B2151" s="225" t="s">
        <v>3784</v>
      </c>
      <c r="C2151" s="226">
        <v>532714</v>
      </c>
      <c r="D2151" s="225" t="s">
        <v>3785</v>
      </c>
      <c r="E2151" s="225" t="s">
        <v>640</v>
      </c>
    </row>
    <row r="2152" spans="2:5" ht="15.75" thickBot="1">
      <c r="B2152" s="225" t="s">
        <v>3786</v>
      </c>
      <c r="C2152" s="226">
        <v>508993</v>
      </c>
      <c r="D2152" s="225" t="s">
        <v>597</v>
      </c>
      <c r="E2152" s="225" t="s">
        <v>683</v>
      </c>
    </row>
    <row r="2153" spans="2:5" ht="15.75" thickBot="1">
      <c r="B2153" s="225" t="s">
        <v>3787</v>
      </c>
      <c r="C2153" s="226">
        <v>518011</v>
      </c>
      <c r="D2153" s="225" t="s">
        <v>597</v>
      </c>
      <c r="E2153" s="225" t="s">
        <v>610</v>
      </c>
    </row>
    <row r="2154" spans="2:5" ht="15.75" thickBot="1">
      <c r="B2154" s="225" t="s">
        <v>3788</v>
      </c>
      <c r="C2154" s="225" t="s">
        <v>597</v>
      </c>
      <c r="D2154" s="225" t="s">
        <v>3789</v>
      </c>
      <c r="E2154" s="225" t="s">
        <v>608</v>
      </c>
    </row>
    <row r="2155" spans="2:5" ht="15.75" thickBot="1">
      <c r="B2155" s="225" t="s">
        <v>3790</v>
      </c>
      <c r="C2155" s="226">
        <v>517569</v>
      </c>
      <c r="D2155" s="225" t="s">
        <v>3791</v>
      </c>
      <c r="E2155" s="225" t="s">
        <v>895</v>
      </c>
    </row>
    <row r="2156" spans="2:5" ht="15.75" thickBot="1">
      <c r="B2156" s="225" t="s">
        <v>3792</v>
      </c>
      <c r="C2156" s="226">
        <v>519602</v>
      </c>
      <c r="D2156" s="225" t="s">
        <v>3793</v>
      </c>
      <c r="E2156" s="225" t="s">
        <v>690</v>
      </c>
    </row>
    <row r="2157" spans="2:5" ht="15.75" thickBot="1">
      <c r="B2157" s="225" t="s">
        <v>3794</v>
      </c>
      <c r="C2157" s="226">
        <v>506528</v>
      </c>
      <c r="D2157" s="225" t="s">
        <v>597</v>
      </c>
      <c r="E2157" s="225" t="s">
        <v>757</v>
      </c>
    </row>
    <row r="2158" spans="2:5" ht="15.75" thickBot="1">
      <c r="B2158" s="225" t="s">
        <v>3795</v>
      </c>
      <c r="C2158" s="226">
        <v>531163</v>
      </c>
      <c r="D2158" s="225" t="s">
        <v>3796</v>
      </c>
      <c r="E2158" s="225" t="s">
        <v>757</v>
      </c>
    </row>
    <row r="2159" spans="2:5" ht="15.75" thickBot="1">
      <c r="B2159" s="225" t="s">
        <v>3797</v>
      </c>
      <c r="C2159" s="226">
        <v>506530</v>
      </c>
      <c r="D2159" s="225" t="s">
        <v>597</v>
      </c>
      <c r="E2159" s="225" t="s">
        <v>792</v>
      </c>
    </row>
    <row r="2160" spans="2:5" ht="15.75" thickBot="1">
      <c r="B2160" s="225" t="s">
        <v>3798</v>
      </c>
      <c r="C2160" s="226">
        <v>505890</v>
      </c>
      <c r="D2160" s="225" t="s">
        <v>597</v>
      </c>
      <c r="E2160" s="225" t="s">
        <v>605</v>
      </c>
    </row>
    <row r="2161" spans="2:5" ht="15.75" thickBot="1">
      <c r="B2161" s="225" t="s">
        <v>3799</v>
      </c>
      <c r="C2161" s="226">
        <v>505890</v>
      </c>
      <c r="D2161" s="225" t="s">
        <v>597</v>
      </c>
      <c r="E2161" s="225" t="s">
        <v>605</v>
      </c>
    </row>
    <row r="2162" spans="2:5" ht="15.75" thickBot="1">
      <c r="B2162" s="225" t="s">
        <v>3800</v>
      </c>
      <c r="C2162" s="226">
        <v>540953</v>
      </c>
      <c r="D2162" s="225" t="s">
        <v>597</v>
      </c>
      <c r="E2162" s="225" t="s">
        <v>711</v>
      </c>
    </row>
    <row r="2163" spans="2:5" ht="15.75" thickBot="1">
      <c r="B2163" s="225" t="s">
        <v>3801</v>
      </c>
      <c r="C2163" s="226">
        <v>530163</v>
      </c>
      <c r="D2163" s="225" t="s">
        <v>597</v>
      </c>
      <c r="E2163" s="225" t="s">
        <v>635</v>
      </c>
    </row>
    <row r="2164" spans="2:5" ht="15.75" thickBot="1">
      <c r="B2164" s="225" t="s">
        <v>3802</v>
      </c>
      <c r="C2164" s="226">
        <v>532686</v>
      </c>
      <c r="D2164" s="225" t="s">
        <v>3803</v>
      </c>
      <c r="E2164" s="225" t="s">
        <v>720</v>
      </c>
    </row>
    <row r="2165" spans="2:5" ht="15.75" thickBot="1">
      <c r="B2165" s="225" t="s">
        <v>3804</v>
      </c>
      <c r="C2165" s="226">
        <v>532686</v>
      </c>
      <c r="D2165" s="225" t="s">
        <v>3803</v>
      </c>
      <c r="E2165" s="225" t="s">
        <v>720</v>
      </c>
    </row>
    <row r="2166" spans="2:5" ht="15.75" thickBot="1">
      <c r="B2166" s="225" t="s">
        <v>3805</v>
      </c>
      <c r="C2166" s="226">
        <v>507180</v>
      </c>
      <c r="D2166" s="225" t="s">
        <v>3806</v>
      </c>
      <c r="E2166" s="225" t="s">
        <v>1296</v>
      </c>
    </row>
    <row r="2167" spans="2:5" ht="15.75" thickBot="1">
      <c r="B2167" s="225" t="s">
        <v>3807</v>
      </c>
      <c r="C2167" s="226">
        <v>524174</v>
      </c>
      <c r="D2167" s="225" t="s">
        <v>597</v>
      </c>
      <c r="E2167" s="225" t="s">
        <v>645</v>
      </c>
    </row>
    <row r="2168" spans="2:5" ht="15.75" thickBot="1">
      <c r="B2168" s="225" t="s">
        <v>3808</v>
      </c>
      <c r="C2168" s="226">
        <v>533289</v>
      </c>
      <c r="D2168" s="225" t="s">
        <v>3809</v>
      </c>
      <c r="E2168" s="225" t="s">
        <v>918</v>
      </c>
    </row>
    <row r="2169" spans="2:5" ht="15.75" thickBot="1">
      <c r="B2169" s="225" t="s">
        <v>3810</v>
      </c>
      <c r="C2169" s="226">
        <v>502937</v>
      </c>
      <c r="D2169" s="225" t="s">
        <v>3811</v>
      </c>
      <c r="E2169" s="225" t="s">
        <v>586</v>
      </c>
    </row>
    <row r="2170" spans="2:5" ht="15.75" thickBot="1">
      <c r="B2170" s="225" t="s">
        <v>3812</v>
      </c>
      <c r="C2170" s="226">
        <v>532732</v>
      </c>
      <c r="D2170" s="225" t="s">
        <v>3813</v>
      </c>
      <c r="E2170" s="225" t="s">
        <v>711</v>
      </c>
    </row>
    <row r="2171" spans="2:5" ht="15.75" thickBot="1">
      <c r="B2171" s="225" t="s">
        <v>3814</v>
      </c>
      <c r="C2171" s="226">
        <v>507948</v>
      </c>
      <c r="D2171" s="225" t="s">
        <v>597</v>
      </c>
      <c r="E2171" s="225" t="s">
        <v>614</v>
      </c>
    </row>
    <row r="2172" spans="2:5" ht="15.75" thickBot="1">
      <c r="B2172" s="225" t="s">
        <v>3815</v>
      </c>
      <c r="C2172" s="226">
        <v>512597</v>
      </c>
      <c r="D2172" s="225" t="s">
        <v>3816</v>
      </c>
      <c r="E2172" s="225" t="s">
        <v>614</v>
      </c>
    </row>
    <row r="2173" spans="2:5" ht="15.75" thickBot="1">
      <c r="B2173" s="225" t="s">
        <v>3817</v>
      </c>
      <c r="C2173" s="225" t="s">
        <v>597</v>
      </c>
      <c r="D2173" s="225" t="s">
        <v>3818</v>
      </c>
      <c r="E2173" s="225" t="s">
        <v>614</v>
      </c>
    </row>
    <row r="2174" spans="2:5" ht="15.75" thickBot="1">
      <c r="B2174" s="225" t="s">
        <v>3819</v>
      </c>
      <c r="C2174" s="226">
        <v>500239</v>
      </c>
      <c r="D2174" s="225" t="s">
        <v>597</v>
      </c>
      <c r="E2174" s="225" t="s">
        <v>612</v>
      </c>
    </row>
    <row r="2175" spans="2:5" ht="15.75" thickBot="1">
      <c r="B2175" s="225" t="s">
        <v>3820</v>
      </c>
      <c r="C2175" s="226">
        <v>531609</v>
      </c>
      <c r="D2175" s="225" t="s">
        <v>597</v>
      </c>
      <c r="E2175" s="225" t="s">
        <v>792</v>
      </c>
    </row>
    <row r="2176" spans="2:5" ht="15.75" thickBot="1">
      <c r="B2176" s="225" t="s">
        <v>3821</v>
      </c>
      <c r="C2176" s="226">
        <v>540775</v>
      </c>
      <c r="D2176" s="225" t="s">
        <v>3822</v>
      </c>
      <c r="E2176" s="225" t="s">
        <v>1023</v>
      </c>
    </row>
    <row r="2177" spans="2:5" ht="15.75" thickBot="1">
      <c r="B2177" s="225" t="s">
        <v>3823</v>
      </c>
      <c r="C2177" s="226">
        <v>540775</v>
      </c>
      <c r="D2177" s="225" t="s">
        <v>3822</v>
      </c>
      <c r="E2177" s="225" t="s">
        <v>1023</v>
      </c>
    </row>
    <row r="2178" spans="2:5" ht="15.75" thickBot="1">
      <c r="B2178" s="225" t="s">
        <v>3824</v>
      </c>
      <c r="C2178" s="226">
        <v>590068</v>
      </c>
      <c r="D2178" s="225" t="s">
        <v>3825</v>
      </c>
      <c r="E2178" s="225" t="s">
        <v>619</v>
      </c>
    </row>
    <row r="2179" spans="2:5" ht="15.75" thickBot="1">
      <c r="B2179" s="225" t="s">
        <v>3826</v>
      </c>
      <c r="C2179" s="226">
        <v>507794</v>
      </c>
      <c r="D2179" s="225" t="s">
        <v>597</v>
      </c>
      <c r="E2179" s="225" t="s">
        <v>1105</v>
      </c>
    </row>
    <row r="2180" spans="2:5" ht="15.75" thickBot="1">
      <c r="B2180" s="225" t="s">
        <v>3827</v>
      </c>
      <c r="C2180" s="226">
        <v>504269</v>
      </c>
      <c r="D2180" s="225" t="s">
        <v>3828</v>
      </c>
      <c r="E2180" s="225" t="s">
        <v>1362</v>
      </c>
    </row>
    <row r="2181" spans="2:5" ht="15.75" thickBot="1">
      <c r="B2181" s="225" t="s">
        <v>3829</v>
      </c>
      <c r="C2181" s="226">
        <v>590068</v>
      </c>
      <c r="D2181" s="225" t="s">
        <v>3825</v>
      </c>
      <c r="E2181" s="225" t="s">
        <v>619</v>
      </c>
    </row>
    <row r="2182" spans="2:5" ht="15.75" thickBot="1">
      <c r="B2182" s="225" t="s">
        <v>3830</v>
      </c>
      <c r="C2182" s="226">
        <v>519064</v>
      </c>
      <c r="D2182" s="225" t="s">
        <v>597</v>
      </c>
      <c r="E2182" s="225" t="s">
        <v>795</v>
      </c>
    </row>
    <row r="2183" spans="2:5" ht="15.75" thickBot="1">
      <c r="B2183" s="225" t="s">
        <v>3831</v>
      </c>
      <c r="C2183" s="226">
        <v>531892</v>
      </c>
      <c r="D2183" s="225" t="s">
        <v>3832</v>
      </c>
      <c r="E2183" s="225" t="s">
        <v>580</v>
      </c>
    </row>
    <row r="2184" spans="2:5" ht="15.75" thickBot="1">
      <c r="B2184" s="225" t="s">
        <v>3833</v>
      </c>
      <c r="C2184" s="226">
        <v>506178</v>
      </c>
      <c r="D2184" s="225" t="s">
        <v>597</v>
      </c>
      <c r="E2184" s="225" t="s">
        <v>619</v>
      </c>
    </row>
    <row r="2185" spans="2:5" ht="15.75" thickBot="1">
      <c r="B2185" s="225" t="s">
        <v>3834</v>
      </c>
      <c r="C2185" s="226">
        <v>521127</v>
      </c>
      <c r="D2185" s="225" t="s">
        <v>597</v>
      </c>
      <c r="E2185" s="225" t="s">
        <v>612</v>
      </c>
    </row>
    <row r="2186" spans="2:5" ht="15.75" thickBot="1">
      <c r="B2186" s="225" t="s">
        <v>3835</v>
      </c>
      <c r="C2186" s="226">
        <v>539788</v>
      </c>
      <c r="D2186" s="225" t="s">
        <v>597</v>
      </c>
      <c r="E2186" s="225" t="s">
        <v>631</v>
      </c>
    </row>
    <row r="2187" spans="2:5" ht="15.75" thickBot="1">
      <c r="B2187" s="225" t="s">
        <v>3836</v>
      </c>
      <c r="C2187" s="226">
        <v>507435</v>
      </c>
      <c r="D2187" s="225" t="s">
        <v>597</v>
      </c>
      <c r="E2187" s="225" t="s">
        <v>1229</v>
      </c>
    </row>
    <row r="2188" spans="2:5" ht="15.75" thickBot="1">
      <c r="B2188" s="225" t="s">
        <v>3837</v>
      </c>
      <c r="C2188" s="226">
        <v>507435</v>
      </c>
      <c r="D2188" s="225" t="s">
        <v>597</v>
      </c>
      <c r="E2188" s="225" t="s">
        <v>1229</v>
      </c>
    </row>
    <row r="2189" spans="2:5" ht="15.75" thickBot="1">
      <c r="B2189" s="225" t="s">
        <v>3838</v>
      </c>
      <c r="C2189" s="226">
        <v>535730</v>
      </c>
      <c r="D2189" s="225" t="s">
        <v>597</v>
      </c>
      <c r="E2189" s="225" t="s">
        <v>612</v>
      </c>
    </row>
    <row r="2190" spans="2:5" ht="15.75" thickBot="1">
      <c r="B2190" s="225" t="s">
        <v>3839</v>
      </c>
      <c r="C2190" s="226">
        <v>531692</v>
      </c>
      <c r="D2190" s="225" t="s">
        <v>597</v>
      </c>
      <c r="E2190" s="225" t="s">
        <v>798</v>
      </c>
    </row>
    <row r="2191" spans="2:5" ht="15.75" thickBot="1">
      <c r="B2191" s="225" t="s">
        <v>3840</v>
      </c>
      <c r="C2191" s="226">
        <v>513693</v>
      </c>
      <c r="D2191" s="225" t="s">
        <v>597</v>
      </c>
      <c r="E2191" s="225" t="s">
        <v>629</v>
      </c>
    </row>
    <row r="2192" spans="2:5" ht="15.75" thickBot="1">
      <c r="B2192" s="225" t="s">
        <v>3841</v>
      </c>
      <c r="C2192" s="226">
        <v>540812</v>
      </c>
      <c r="D2192" s="225" t="s">
        <v>597</v>
      </c>
      <c r="E2192" s="225" t="s">
        <v>1067</v>
      </c>
    </row>
    <row r="2193" spans="2:5" ht="15.75" thickBot="1">
      <c r="B2193" s="225" t="s">
        <v>3842</v>
      </c>
      <c r="C2193" s="226">
        <v>507946</v>
      </c>
      <c r="D2193" s="225" t="s">
        <v>597</v>
      </c>
      <c r="E2193" s="225" t="s">
        <v>619</v>
      </c>
    </row>
    <row r="2194" spans="2:5" ht="15.75" thickBot="1">
      <c r="B2194" s="225" t="s">
        <v>3843</v>
      </c>
      <c r="C2194" s="226">
        <v>507946</v>
      </c>
      <c r="D2194" s="225" t="s">
        <v>597</v>
      </c>
      <c r="E2194" s="225" t="s">
        <v>619</v>
      </c>
    </row>
    <row r="2195" spans="2:5" ht="15.75" thickBot="1">
      <c r="B2195" s="225" t="s">
        <v>3844</v>
      </c>
      <c r="C2195" s="226">
        <v>535566</v>
      </c>
      <c r="D2195" s="225" t="s">
        <v>597</v>
      </c>
      <c r="E2195" s="225" t="s">
        <v>614</v>
      </c>
    </row>
    <row r="2196" spans="2:5" ht="15.75" thickBot="1">
      <c r="B2196" s="225" t="s">
        <v>3845</v>
      </c>
      <c r="C2196" s="226">
        <v>524699</v>
      </c>
      <c r="D2196" s="225" t="s">
        <v>597</v>
      </c>
      <c r="E2196" s="225" t="s">
        <v>645</v>
      </c>
    </row>
    <row r="2197" spans="2:5" ht="15.75" thickBot="1">
      <c r="B2197" s="225" t="s">
        <v>3846</v>
      </c>
      <c r="C2197" s="226">
        <v>522101</v>
      </c>
      <c r="D2197" s="225" t="s">
        <v>597</v>
      </c>
      <c r="E2197" s="225" t="s">
        <v>605</v>
      </c>
    </row>
    <row r="2198" spans="2:5" ht="15.75" thickBot="1">
      <c r="B2198" s="225" t="s">
        <v>3847</v>
      </c>
      <c r="C2198" s="226">
        <v>523218</v>
      </c>
      <c r="D2198" s="225" t="s">
        <v>3848</v>
      </c>
      <c r="E2198" s="225" t="s">
        <v>1139</v>
      </c>
    </row>
    <row r="2199" spans="2:5" ht="15.75" thickBot="1">
      <c r="B2199" s="225" t="s">
        <v>3849</v>
      </c>
      <c r="C2199" s="226">
        <v>524500</v>
      </c>
      <c r="D2199" s="225" t="s">
        <v>3850</v>
      </c>
      <c r="E2199" s="225" t="s">
        <v>635</v>
      </c>
    </row>
    <row r="2200" spans="2:5" ht="15.75" thickBot="1">
      <c r="B2200" s="225" t="s">
        <v>3851</v>
      </c>
      <c r="C2200" s="226">
        <v>524500</v>
      </c>
      <c r="D2200" s="225" t="s">
        <v>3850</v>
      </c>
      <c r="E2200" s="225" t="s">
        <v>635</v>
      </c>
    </row>
    <row r="2201" spans="2:5" ht="15.75" thickBot="1">
      <c r="B2201" s="225" t="s">
        <v>3852</v>
      </c>
      <c r="C2201" s="226">
        <v>532067</v>
      </c>
      <c r="D2201" s="225" t="s">
        <v>597</v>
      </c>
      <c r="E2201" s="225" t="s">
        <v>741</v>
      </c>
    </row>
    <row r="2202" spans="2:5" ht="15.75" thickBot="1">
      <c r="B2202" s="225" t="s">
        <v>3853</v>
      </c>
      <c r="C2202" s="226">
        <v>532067</v>
      </c>
      <c r="D2202" s="225" t="s">
        <v>597</v>
      </c>
      <c r="E2202" s="225" t="s">
        <v>741</v>
      </c>
    </row>
    <row r="2203" spans="2:5" ht="15.75" thickBot="1">
      <c r="B2203" s="225" t="s">
        <v>3854</v>
      </c>
      <c r="C2203" s="226">
        <v>530313</v>
      </c>
      <c r="D2203" s="225" t="s">
        <v>3855</v>
      </c>
      <c r="E2203" s="225" t="s">
        <v>635</v>
      </c>
    </row>
    <row r="2204" spans="2:5" ht="15.75" thickBot="1">
      <c r="B2204" s="225" t="s">
        <v>3856</v>
      </c>
      <c r="C2204" s="226">
        <v>500240</v>
      </c>
      <c r="D2204" s="225" t="s">
        <v>597</v>
      </c>
      <c r="E2204" s="225" t="s">
        <v>1255</v>
      </c>
    </row>
    <row r="2205" spans="2:5" ht="15.75" thickBot="1">
      <c r="B2205" s="225" t="s">
        <v>3857</v>
      </c>
      <c r="C2205" s="226">
        <v>531274</v>
      </c>
      <c r="D2205" s="225" t="s">
        <v>597</v>
      </c>
      <c r="E2205" s="225" t="s">
        <v>614</v>
      </c>
    </row>
    <row r="2206" spans="2:5" ht="15.75" thickBot="1">
      <c r="B2206" s="225" t="s">
        <v>3858</v>
      </c>
      <c r="C2206" s="226">
        <v>524019</v>
      </c>
      <c r="D2206" s="225" t="s">
        <v>3859</v>
      </c>
      <c r="E2206" s="225" t="s">
        <v>717</v>
      </c>
    </row>
    <row r="2207" spans="2:5" ht="15.75" thickBot="1">
      <c r="B2207" s="225" t="s">
        <v>3860</v>
      </c>
      <c r="C2207" s="226">
        <v>524019</v>
      </c>
      <c r="D2207" s="225" t="s">
        <v>3859</v>
      </c>
      <c r="E2207" s="225" t="s">
        <v>717</v>
      </c>
    </row>
    <row r="2208" spans="2:5" ht="15.75" thickBot="1">
      <c r="B2208" s="225" t="s">
        <v>3861</v>
      </c>
      <c r="C2208" s="226">
        <v>530215</v>
      </c>
      <c r="D2208" s="225" t="s">
        <v>597</v>
      </c>
      <c r="E2208" s="225" t="s">
        <v>683</v>
      </c>
    </row>
    <row r="2209" spans="2:5" ht="15.75" thickBot="1">
      <c r="B2209" s="225" t="s">
        <v>3862</v>
      </c>
      <c r="C2209" s="226">
        <v>512329</v>
      </c>
      <c r="D2209" s="225" t="s">
        <v>597</v>
      </c>
      <c r="E2209" s="225" t="s">
        <v>1018</v>
      </c>
    </row>
    <row r="2210" spans="2:5" ht="15.75" thickBot="1">
      <c r="B2210" s="225" t="s">
        <v>3863</v>
      </c>
      <c r="C2210" s="226">
        <v>540680</v>
      </c>
      <c r="D2210" s="225" t="s">
        <v>3864</v>
      </c>
      <c r="E2210" s="225" t="s">
        <v>629</v>
      </c>
    </row>
    <row r="2211" spans="2:5" ht="15.75" thickBot="1">
      <c r="B2211" s="225" t="s">
        <v>3865</v>
      </c>
      <c r="C2211" s="226">
        <v>531413</v>
      </c>
      <c r="D2211" s="225" t="s">
        <v>597</v>
      </c>
      <c r="E2211" s="225" t="s">
        <v>2589</v>
      </c>
    </row>
    <row r="2212" spans="2:5" ht="15.75" thickBot="1">
      <c r="B2212" s="225" t="s">
        <v>3866</v>
      </c>
      <c r="C2212" s="226">
        <v>537750</v>
      </c>
      <c r="D2212" s="225" t="s">
        <v>597</v>
      </c>
      <c r="E2212" s="225" t="s">
        <v>617</v>
      </c>
    </row>
    <row r="2213" spans="2:5" ht="15.75" thickBot="1">
      <c r="B2213" s="225" t="s">
        <v>3867</v>
      </c>
      <c r="C2213" s="226">
        <v>532967</v>
      </c>
      <c r="D2213" s="225" t="s">
        <v>3868</v>
      </c>
      <c r="E2213" s="225" t="s">
        <v>757</v>
      </c>
    </row>
    <row r="2214" spans="2:5" ht="15.75" thickBot="1">
      <c r="B2214" s="225" t="s">
        <v>3869</v>
      </c>
      <c r="C2214" s="226">
        <v>500241</v>
      </c>
      <c r="D2214" s="225" t="s">
        <v>3870</v>
      </c>
      <c r="E2214" s="225" t="s">
        <v>605</v>
      </c>
    </row>
    <row r="2215" spans="2:5" ht="15.75" thickBot="1">
      <c r="B2215" s="225" t="s">
        <v>3871</v>
      </c>
      <c r="C2215" s="226">
        <v>533193</v>
      </c>
      <c r="D2215" s="225" t="s">
        <v>3872</v>
      </c>
      <c r="E2215" s="225" t="s">
        <v>895</v>
      </c>
    </row>
    <row r="2216" spans="2:5" ht="15.75" thickBot="1">
      <c r="B2216" s="225" t="s">
        <v>3873</v>
      </c>
      <c r="C2216" s="226">
        <v>500245</v>
      </c>
      <c r="D2216" s="225" t="s">
        <v>597</v>
      </c>
      <c r="E2216" s="225" t="s">
        <v>629</v>
      </c>
    </row>
    <row r="2217" spans="2:5" ht="15.75" thickBot="1">
      <c r="B2217" s="225" t="s">
        <v>3874</v>
      </c>
      <c r="C2217" s="226">
        <v>500243</v>
      </c>
      <c r="D2217" s="225" t="s">
        <v>3875</v>
      </c>
      <c r="E2217" s="225" t="s">
        <v>605</v>
      </c>
    </row>
    <row r="2218" spans="2:5" ht="15.75" thickBot="1">
      <c r="B2218" s="225" t="s">
        <v>3876</v>
      </c>
      <c r="C2218" s="226">
        <v>533293</v>
      </c>
      <c r="D2218" s="225" t="s">
        <v>3877</v>
      </c>
      <c r="E2218" s="225" t="s">
        <v>952</v>
      </c>
    </row>
    <row r="2219" spans="2:5" ht="15.75" thickBot="1">
      <c r="B2219" s="225" t="s">
        <v>3878</v>
      </c>
      <c r="C2219" s="226">
        <v>505283</v>
      </c>
      <c r="D2219" s="225" t="s">
        <v>597</v>
      </c>
      <c r="E2219" s="225" t="s">
        <v>605</v>
      </c>
    </row>
    <row r="2220" spans="2:5" ht="15.75" thickBot="1">
      <c r="B2220" s="225" t="s">
        <v>3879</v>
      </c>
      <c r="C2220" s="226">
        <v>530145</v>
      </c>
      <c r="D2220" s="225" t="s">
        <v>597</v>
      </c>
      <c r="E2220" s="225" t="s">
        <v>717</v>
      </c>
    </row>
    <row r="2221" spans="2:5" ht="15.75" thickBot="1">
      <c r="B2221" s="225" t="s">
        <v>3880</v>
      </c>
      <c r="C2221" s="226">
        <v>521248</v>
      </c>
      <c r="D2221" s="225" t="s">
        <v>3881</v>
      </c>
      <c r="E2221" s="225" t="s">
        <v>711</v>
      </c>
    </row>
    <row r="2222" spans="2:5" ht="15.75" thickBot="1">
      <c r="B2222" s="225" t="s">
        <v>3882</v>
      </c>
      <c r="C2222" s="226">
        <v>532304</v>
      </c>
      <c r="D2222" s="225" t="s">
        <v>597</v>
      </c>
      <c r="E2222" s="225" t="s">
        <v>580</v>
      </c>
    </row>
    <row r="2223" spans="2:5" ht="15.75" thickBot="1">
      <c r="B2223" s="225" t="s">
        <v>3883</v>
      </c>
      <c r="C2223" s="226">
        <v>532304</v>
      </c>
      <c r="D2223" s="225" t="s">
        <v>597</v>
      </c>
      <c r="E2223" s="225" t="s">
        <v>580</v>
      </c>
    </row>
    <row r="2224" spans="2:5" ht="15.75" thickBot="1">
      <c r="B2224" s="225" t="s">
        <v>3884</v>
      </c>
      <c r="C2224" s="226">
        <v>530235</v>
      </c>
      <c r="D2224" s="225" t="s">
        <v>597</v>
      </c>
      <c r="E2224" s="225" t="s">
        <v>614</v>
      </c>
    </row>
    <row r="2225" spans="2:5" ht="15.75" thickBot="1">
      <c r="B2225" s="225" t="s">
        <v>3885</v>
      </c>
      <c r="C2225" s="226">
        <v>526409</v>
      </c>
      <c r="D2225" s="225" t="s">
        <v>597</v>
      </c>
      <c r="E2225" s="225" t="s">
        <v>717</v>
      </c>
    </row>
    <row r="2226" spans="2:5" ht="15.75" thickBot="1">
      <c r="B2226" s="225" t="s">
        <v>3886</v>
      </c>
      <c r="C2226" s="226">
        <v>526409</v>
      </c>
      <c r="D2226" s="225" t="s">
        <v>597</v>
      </c>
      <c r="E2226" s="225" t="s">
        <v>717</v>
      </c>
    </row>
    <row r="2227" spans="2:5" ht="15.75" thickBot="1">
      <c r="B2227" s="225" t="s">
        <v>3887</v>
      </c>
      <c r="C2227" s="226">
        <v>523652</v>
      </c>
      <c r="D2227" s="225" t="s">
        <v>597</v>
      </c>
      <c r="E2227" s="225" t="s">
        <v>717</v>
      </c>
    </row>
    <row r="2228" spans="2:5" ht="15.75" thickBot="1">
      <c r="B2228" s="225" t="s">
        <v>3888</v>
      </c>
      <c r="C2228" s="226">
        <v>521238</v>
      </c>
      <c r="D2228" s="225" t="s">
        <v>597</v>
      </c>
      <c r="E2228" s="225" t="s">
        <v>922</v>
      </c>
    </row>
    <row r="2229" spans="2:5" ht="15.75" thickBot="1">
      <c r="B2229" s="225" t="s">
        <v>3889</v>
      </c>
      <c r="C2229" s="225" t="s">
        <v>597</v>
      </c>
      <c r="D2229" s="225" t="s">
        <v>3890</v>
      </c>
      <c r="E2229" s="225" t="s">
        <v>608</v>
      </c>
    </row>
    <row r="2230" spans="2:5" ht="15.75" thickBot="1">
      <c r="B2230" s="225" t="s">
        <v>3891</v>
      </c>
      <c r="C2230" s="226">
        <v>530771</v>
      </c>
      <c r="D2230" s="225" t="s">
        <v>597</v>
      </c>
      <c r="E2230" s="225" t="s">
        <v>614</v>
      </c>
    </row>
    <row r="2231" spans="2:5" ht="15.75" thickBot="1">
      <c r="B2231" s="225" t="s">
        <v>3892</v>
      </c>
      <c r="C2231" s="226">
        <v>514221</v>
      </c>
      <c r="D2231" s="225" t="s">
        <v>597</v>
      </c>
      <c r="E2231" s="225" t="s">
        <v>612</v>
      </c>
    </row>
    <row r="2232" spans="2:5" ht="15.75" thickBot="1">
      <c r="B2232" s="225" t="s">
        <v>3893</v>
      </c>
      <c r="C2232" s="226">
        <v>517170</v>
      </c>
      <c r="D2232" s="225" t="s">
        <v>3894</v>
      </c>
      <c r="E2232" s="225" t="s">
        <v>895</v>
      </c>
    </row>
    <row r="2233" spans="2:5" ht="15.75" thickBot="1">
      <c r="B2233" s="225" t="s">
        <v>3895</v>
      </c>
      <c r="C2233" s="226">
        <v>524520</v>
      </c>
      <c r="D2233" s="225" t="s">
        <v>597</v>
      </c>
      <c r="E2233" s="225" t="s">
        <v>786</v>
      </c>
    </row>
    <row r="2234" spans="2:5" ht="15.75" thickBot="1">
      <c r="B2234" s="225" t="s">
        <v>3896</v>
      </c>
      <c r="C2234" s="226">
        <v>524520</v>
      </c>
      <c r="D2234" s="225" t="s">
        <v>597</v>
      </c>
      <c r="E2234" s="225" t="s">
        <v>786</v>
      </c>
    </row>
    <row r="2235" spans="2:5" ht="15.75" thickBot="1">
      <c r="B2235" s="225" t="s">
        <v>3897</v>
      </c>
      <c r="C2235" s="226">
        <v>531578</v>
      </c>
      <c r="D2235" s="225" t="s">
        <v>597</v>
      </c>
      <c r="E2235" s="225" t="s">
        <v>683</v>
      </c>
    </row>
    <row r="2236" spans="2:5" ht="15.75" thickBot="1">
      <c r="B2236" s="225" t="s">
        <v>3898</v>
      </c>
      <c r="C2236" s="226">
        <v>519415</v>
      </c>
      <c r="D2236" s="225" t="s">
        <v>597</v>
      </c>
      <c r="E2236" s="225" t="s">
        <v>657</v>
      </c>
    </row>
    <row r="2237" spans="2:5" ht="15.75" thickBot="1">
      <c r="B2237" s="225" t="s">
        <v>3899</v>
      </c>
      <c r="C2237" s="226">
        <v>540468</v>
      </c>
      <c r="D2237" s="225" t="s">
        <v>597</v>
      </c>
      <c r="E2237" s="225" t="s">
        <v>1562</v>
      </c>
    </row>
    <row r="2238" spans="2:5" ht="15.75" thickBot="1">
      <c r="B2238" s="225" t="s">
        <v>3900</v>
      </c>
      <c r="C2238" s="226">
        <v>532942</v>
      </c>
      <c r="D2238" s="225" t="s">
        <v>3901</v>
      </c>
      <c r="E2238" s="225" t="s">
        <v>995</v>
      </c>
    </row>
    <row r="2239" spans="2:5" ht="15.75" thickBot="1">
      <c r="B2239" s="225" t="s">
        <v>3902</v>
      </c>
      <c r="C2239" s="226">
        <v>512559</v>
      </c>
      <c r="D2239" s="225" t="s">
        <v>3903</v>
      </c>
      <c r="E2239" s="225" t="s">
        <v>795</v>
      </c>
    </row>
    <row r="2240" spans="2:5" ht="15.75" thickBot="1">
      <c r="B2240" s="225" t="s">
        <v>3904</v>
      </c>
      <c r="C2240" s="226">
        <v>523207</v>
      </c>
      <c r="D2240" s="225" t="s">
        <v>3905</v>
      </c>
      <c r="E2240" s="225" t="s">
        <v>1143</v>
      </c>
    </row>
    <row r="2241" spans="2:5" ht="15.75" thickBot="1">
      <c r="B2241" s="225" t="s">
        <v>3906</v>
      </c>
      <c r="C2241" s="226">
        <v>532924</v>
      </c>
      <c r="D2241" s="225" t="s">
        <v>3907</v>
      </c>
      <c r="E2241" s="225" t="s">
        <v>683</v>
      </c>
    </row>
    <row r="2242" spans="2:5" ht="15.75" thickBot="1">
      <c r="B2242" s="225" t="s">
        <v>3908</v>
      </c>
      <c r="C2242" s="226">
        <v>539910</v>
      </c>
      <c r="D2242" s="225" t="s">
        <v>597</v>
      </c>
      <c r="E2242" s="225" t="s">
        <v>600</v>
      </c>
    </row>
    <row r="2243" spans="2:5" ht="15.75" thickBot="1">
      <c r="B2243" s="225" t="s">
        <v>3909</v>
      </c>
      <c r="C2243" s="226">
        <v>514128</v>
      </c>
      <c r="D2243" s="225" t="s">
        <v>597</v>
      </c>
      <c r="E2243" s="225" t="s">
        <v>612</v>
      </c>
    </row>
    <row r="2244" spans="2:5" ht="15.75" thickBot="1">
      <c r="B2244" s="225" t="s">
        <v>3910</v>
      </c>
      <c r="C2244" s="226">
        <v>524280</v>
      </c>
      <c r="D2244" s="225" t="s">
        <v>3911</v>
      </c>
      <c r="E2244" s="225" t="s">
        <v>635</v>
      </c>
    </row>
    <row r="2245" spans="2:5" ht="15.75" thickBot="1">
      <c r="B2245" s="225" t="s">
        <v>3912</v>
      </c>
      <c r="C2245" s="226">
        <v>500247</v>
      </c>
      <c r="D2245" s="225" t="s">
        <v>3913</v>
      </c>
      <c r="E2245" s="225" t="s">
        <v>915</v>
      </c>
    </row>
    <row r="2246" spans="2:5" ht="15.75" thickBot="1">
      <c r="B2246" s="225" t="s">
        <v>3914</v>
      </c>
      <c r="C2246" s="226">
        <v>590097</v>
      </c>
      <c r="D2246" s="225" t="s">
        <v>3915</v>
      </c>
      <c r="E2246" s="225" t="s">
        <v>580</v>
      </c>
    </row>
    <row r="2247" spans="2:5" ht="15.75" thickBot="1">
      <c r="B2247" s="225" t="s">
        <v>3916</v>
      </c>
      <c r="C2247" s="226">
        <v>590107</v>
      </c>
      <c r="D2247" s="225" t="s">
        <v>3917</v>
      </c>
      <c r="E2247" s="225" t="s">
        <v>580</v>
      </c>
    </row>
    <row r="2248" spans="2:5" ht="15.75" thickBot="1">
      <c r="B2248" s="225" t="s">
        <v>3918</v>
      </c>
      <c r="C2248" s="226">
        <v>532985</v>
      </c>
      <c r="D2248" s="225" t="s">
        <v>3919</v>
      </c>
      <c r="E2248" s="225" t="s">
        <v>580</v>
      </c>
    </row>
    <row r="2249" spans="2:5" ht="15.75" thickBot="1">
      <c r="B2249" s="225" t="s">
        <v>3920</v>
      </c>
      <c r="C2249" s="226">
        <v>507474</v>
      </c>
      <c r="D2249" s="225" t="s">
        <v>597</v>
      </c>
      <c r="E2249" s="225" t="s">
        <v>677</v>
      </c>
    </row>
    <row r="2250" spans="2:5" ht="15.75" thickBot="1">
      <c r="B2250" s="225" t="s">
        <v>3921</v>
      </c>
      <c r="C2250" s="225" t="s">
        <v>597</v>
      </c>
      <c r="D2250" s="225" t="s">
        <v>3922</v>
      </c>
      <c r="E2250" s="225" t="s">
        <v>688</v>
      </c>
    </row>
    <row r="2251" spans="2:5" ht="15.75" thickBot="1">
      <c r="B2251" s="225" t="s">
        <v>3923</v>
      </c>
      <c r="C2251" s="226">
        <v>530299</v>
      </c>
      <c r="D2251" s="225" t="s">
        <v>3924</v>
      </c>
      <c r="E2251" s="225" t="s">
        <v>619</v>
      </c>
    </row>
    <row r="2252" spans="2:5" ht="15.75" thickBot="1">
      <c r="B2252" s="225" t="s">
        <v>3925</v>
      </c>
      <c r="C2252" s="225" t="s">
        <v>597</v>
      </c>
      <c r="D2252" s="225" t="s">
        <v>3926</v>
      </c>
      <c r="E2252" s="225" t="s">
        <v>688</v>
      </c>
    </row>
    <row r="2253" spans="2:5" ht="15.75" thickBot="1">
      <c r="B2253" s="225" t="s">
        <v>3927</v>
      </c>
      <c r="C2253" s="226">
        <v>511138</v>
      </c>
      <c r="D2253" s="225" t="s">
        <v>597</v>
      </c>
      <c r="E2253" s="225" t="s">
        <v>614</v>
      </c>
    </row>
    <row r="2254" spans="2:5" ht="15.75" thickBot="1">
      <c r="B2254" s="225" t="s">
        <v>3928</v>
      </c>
      <c r="C2254" s="226">
        <v>539599</v>
      </c>
      <c r="D2254" s="225" t="s">
        <v>597</v>
      </c>
      <c r="E2254" s="225" t="s">
        <v>631</v>
      </c>
    </row>
    <row r="2255" spans="2:5" ht="15.75" thickBot="1">
      <c r="B2255" s="225" t="s">
        <v>3929</v>
      </c>
      <c r="C2255" s="226">
        <v>523323</v>
      </c>
      <c r="D2255" s="225" t="s">
        <v>597</v>
      </c>
      <c r="E2255" s="225" t="s">
        <v>786</v>
      </c>
    </row>
    <row r="2256" spans="2:5" ht="15.75" thickBot="1">
      <c r="B2256" s="225" t="s">
        <v>3930</v>
      </c>
      <c r="C2256" s="226">
        <v>505585</v>
      </c>
      <c r="D2256" s="225" t="s">
        <v>597</v>
      </c>
      <c r="E2256" s="225" t="s">
        <v>1018</v>
      </c>
    </row>
    <row r="2257" spans="2:5" ht="15.75" thickBot="1">
      <c r="B2257" s="225" t="s">
        <v>3931</v>
      </c>
      <c r="C2257" s="226">
        <v>507598</v>
      </c>
      <c r="D2257" s="225" t="s">
        <v>597</v>
      </c>
      <c r="E2257" s="225" t="s">
        <v>677</v>
      </c>
    </row>
    <row r="2258" spans="2:5" ht="15.75" thickBot="1">
      <c r="B2258" s="225" t="s">
        <v>3932</v>
      </c>
      <c r="C2258" s="226">
        <v>532400</v>
      </c>
      <c r="D2258" s="225" t="s">
        <v>3933</v>
      </c>
      <c r="E2258" s="225" t="s">
        <v>583</v>
      </c>
    </row>
    <row r="2259" spans="2:5" ht="15.75" thickBot="1">
      <c r="B2259" s="225" t="s">
        <v>3934</v>
      </c>
      <c r="C2259" s="226">
        <v>542651</v>
      </c>
      <c r="D2259" s="225" t="s">
        <v>3935</v>
      </c>
      <c r="E2259" s="225" t="s">
        <v>3936</v>
      </c>
    </row>
    <row r="2260" spans="2:5" ht="15.75" thickBot="1">
      <c r="B2260" s="225" t="s">
        <v>3937</v>
      </c>
      <c r="C2260" s="226">
        <v>542459</v>
      </c>
      <c r="D2260" s="225" t="s">
        <v>3938</v>
      </c>
      <c r="E2260" s="225" t="s">
        <v>3936</v>
      </c>
    </row>
    <row r="2261" spans="2:5" ht="15.75" thickBot="1">
      <c r="B2261" s="225" t="s">
        <v>3939</v>
      </c>
      <c r="C2261" s="226">
        <v>501261</v>
      </c>
      <c r="D2261" s="225" t="s">
        <v>597</v>
      </c>
      <c r="E2261" s="225" t="s">
        <v>580</v>
      </c>
    </row>
    <row r="2262" spans="2:5" ht="15.75" thickBot="1">
      <c r="B2262" s="225" t="s">
        <v>3940</v>
      </c>
      <c r="C2262" s="226">
        <v>530813</v>
      </c>
      <c r="D2262" s="225" t="s">
        <v>3941</v>
      </c>
      <c r="E2262" s="225" t="s">
        <v>657</v>
      </c>
    </row>
    <row r="2263" spans="2:5" ht="15.75" thickBot="1">
      <c r="B2263" s="225" t="s">
        <v>3942</v>
      </c>
      <c r="C2263" s="226">
        <v>524518</v>
      </c>
      <c r="D2263" s="225" t="s">
        <v>3943</v>
      </c>
      <c r="E2263" s="225" t="s">
        <v>635</v>
      </c>
    </row>
    <row r="2264" spans="2:5" ht="15.75" thickBot="1">
      <c r="B2264" s="225" t="s">
        <v>3944</v>
      </c>
      <c r="C2264" s="226">
        <v>530139</v>
      </c>
      <c r="D2264" s="225" t="s">
        <v>597</v>
      </c>
      <c r="E2264" s="225" t="s">
        <v>614</v>
      </c>
    </row>
    <row r="2265" spans="2:5" ht="15.75" thickBot="1">
      <c r="B2265" s="225" t="s">
        <v>3945</v>
      </c>
      <c r="C2265" s="226">
        <v>531328</v>
      </c>
      <c r="D2265" s="225" t="s">
        <v>597</v>
      </c>
      <c r="E2265" s="225" t="s">
        <v>1562</v>
      </c>
    </row>
    <row r="2266" spans="2:5" ht="15.75" thickBot="1">
      <c r="B2266" s="225" t="s">
        <v>3946</v>
      </c>
      <c r="C2266" s="226">
        <v>533482</v>
      </c>
      <c r="D2266" s="225" t="s">
        <v>3947</v>
      </c>
      <c r="E2266" s="225" t="s">
        <v>995</v>
      </c>
    </row>
    <row r="2267" spans="2:5" ht="15.75" thickBot="1">
      <c r="B2267" s="225" t="s">
        <v>3948</v>
      </c>
      <c r="C2267" s="225" t="s">
        <v>597</v>
      </c>
      <c r="D2267" s="225" t="s">
        <v>3949</v>
      </c>
      <c r="E2267" s="225" t="s">
        <v>608</v>
      </c>
    </row>
    <row r="2268" spans="2:5" ht="15.75" thickBot="1">
      <c r="B2268" s="225" t="s">
        <v>3950</v>
      </c>
      <c r="C2268" s="226">
        <v>539384</v>
      </c>
      <c r="D2268" s="225" t="s">
        <v>597</v>
      </c>
      <c r="E2268" s="225" t="s">
        <v>614</v>
      </c>
    </row>
    <row r="2269" spans="2:5" ht="15.75" thickBot="1">
      <c r="B2269" s="225" t="s">
        <v>3951</v>
      </c>
      <c r="C2269" s="226">
        <v>504392</v>
      </c>
      <c r="D2269" s="225" t="s">
        <v>597</v>
      </c>
      <c r="E2269" s="225" t="s">
        <v>580</v>
      </c>
    </row>
    <row r="2270" spans="2:5" ht="15.75" thickBot="1">
      <c r="B2270" s="225" t="s">
        <v>3952</v>
      </c>
      <c r="C2270" s="226">
        <v>526423</v>
      </c>
      <c r="D2270" s="225" t="s">
        <v>597</v>
      </c>
      <c r="E2270" s="225" t="s">
        <v>717</v>
      </c>
    </row>
    <row r="2271" spans="2:5" ht="15.75" thickBot="1">
      <c r="B2271" s="225" t="s">
        <v>3953</v>
      </c>
      <c r="C2271" s="226">
        <v>526423</v>
      </c>
      <c r="D2271" s="225" t="s">
        <v>597</v>
      </c>
      <c r="E2271" s="225" t="s">
        <v>717</v>
      </c>
    </row>
    <row r="2272" spans="2:5" ht="15.75" thickBot="1">
      <c r="B2272" s="225" t="s">
        <v>3954</v>
      </c>
      <c r="C2272" s="226">
        <v>533210</v>
      </c>
      <c r="D2272" s="225" t="s">
        <v>597</v>
      </c>
      <c r="E2272" s="225" t="s">
        <v>846</v>
      </c>
    </row>
    <row r="2273" spans="2:5" ht="15.75" thickBot="1">
      <c r="B2273" s="225" t="s">
        <v>3955</v>
      </c>
      <c r="C2273" s="225" t="s">
        <v>597</v>
      </c>
      <c r="D2273" s="225" t="s">
        <v>3956</v>
      </c>
      <c r="E2273" s="225" t="s">
        <v>608</v>
      </c>
    </row>
    <row r="2274" spans="2:5" ht="15.75" thickBot="1">
      <c r="B2274" s="225" t="s">
        <v>3957</v>
      </c>
      <c r="C2274" s="226">
        <v>523550</v>
      </c>
      <c r="D2274" s="225" t="s">
        <v>597</v>
      </c>
      <c r="E2274" s="225" t="s">
        <v>586</v>
      </c>
    </row>
    <row r="2275" spans="2:5" ht="15.75" thickBot="1">
      <c r="B2275" s="225" t="s">
        <v>3958</v>
      </c>
      <c r="C2275" s="226">
        <v>500249</v>
      </c>
      <c r="D2275" s="225" t="s">
        <v>3959</v>
      </c>
      <c r="E2275" s="225" t="s">
        <v>605</v>
      </c>
    </row>
    <row r="2276" spans="2:5" ht="15.75" thickBot="1">
      <c r="B2276" s="225" t="s">
        <v>3960</v>
      </c>
      <c r="C2276" s="226">
        <v>519421</v>
      </c>
      <c r="D2276" s="225" t="s">
        <v>597</v>
      </c>
      <c r="E2276" s="225" t="s">
        <v>657</v>
      </c>
    </row>
    <row r="2277" spans="2:5" ht="15.75" thickBot="1">
      <c r="B2277" s="225" t="s">
        <v>3961</v>
      </c>
      <c r="C2277" s="225" t="s">
        <v>597</v>
      </c>
      <c r="D2277" s="225" t="s">
        <v>3962</v>
      </c>
      <c r="E2277" s="225" t="s">
        <v>608</v>
      </c>
    </row>
    <row r="2278" spans="2:5" ht="15.75" thickBot="1">
      <c r="B2278" s="225" t="s">
        <v>3963</v>
      </c>
      <c r="C2278" s="226">
        <v>503626</v>
      </c>
      <c r="D2278" s="225" t="s">
        <v>597</v>
      </c>
      <c r="E2278" s="225" t="s">
        <v>580</v>
      </c>
    </row>
    <row r="2279" spans="2:5" ht="15.75" thickBot="1">
      <c r="B2279" s="225" t="s">
        <v>3964</v>
      </c>
      <c r="C2279" s="226">
        <v>532997</v>
      </c>
      <c r="D2279" s="225" t="s">
        <v>3965</v>
      </c>
      <c r="E2279" s="225" t="s">
        <v>736</v>
      </c>
    </row>
    <row r="2280" spans="2:5" ht="15.75" thickBot="1">
      <c r="B2280" s="225" t="s">
        <v>3966</v>
      </c>
      <c r="C2280" s="226">
        <v>530149</v>
      </c>
      <c r="D2280" s="225" t="s">
        <v>597</v>
      </c>
      <c r="E2280" s="225" t="s">
        <v>612</v>
      </c>
    </row>
    <row r="2281" spans="2:5" ht="15.75" thickBot="1">
      <c r="B2281" s="225" t="s">
        <v>3967</v>
      </c>
      <c r="C2281" s="226">
        <v>532081</v>
      </c>
      <c r="D2281" s="225" t="s">
        <v>3968</v>
      </c>
      <c r="E2281" s="225" t="s">
        <v>600</v>
      </c>
    </row>
    <row r="2282" spans="2:5" ht="15.75" thickBot="1">
      <c r="B2282" s="225" t="s">
        <v>3969</v>
      </c>
      <c r="C2282" s="226">
        <v>532937</v>
      </c>
      <c r="D2282" s="225" t="s">
        <v>597</v>
      </c>
      <c r="E2282" s="225" t="s">
        <v>591</v>
      </c>
    </row>
    <row r="2283" spans="2:5" ht="15.75" thickBot="1">
      <c r="B2283" s="225" t="s">
        <v>3970</v>
      </c>
      <c r="C2283" s="226">
        <v>539408</v>
      </c>
      <c r="D2283" s="225" t="s">
        <v>597</v>
      </c>
      <c r="E2283" s="225" t="s">
        <v>614</v>
      </c>
    </row>
    <row r="2284" spans="2:5" ht="15.75" thickBot="1">
      <c r="B2284" s="225" t="s">
        <v>3971</v>
      </c>
      <c r="C2284" s="226">
        <v>505299</v>
      </c>
      <c r="D2284" s="225" t="s">
        <v>597</v>
      </c>
      <c r="E2284" s="225" t="s">
        <v>605</v>
      </c>
    </row>
    <row r="2285" spans="2:5" ht="15.75" thickBot="1">
      <c r="B2285" s="225" t="s">
        <v>3972</v>
      </c>
      <c r="C2285" s="226">
        <v>513703</v>
      </c>
      <c r="D2285" s="225" t="s">
        <v>597</v>
      </c>
      <c r="E2285" s="225" t="s">
        <v>612</v>
      </c>
    </row>
    <row r="2286" spans="2:5" ht="15.75" thickBot="1">
      <c r="B2286" s="225" t="s">
        <v>3973</v>
      </c>
      <c r="C2286" s="226">
        <v>523594</v>
      </c>
      <c r="D2286" s="225" t="s">
        <v>597</v>
      </c>
      <c r="E2286" s="225" t="s">
        <v>717</v>
      </c>
    </row>
    <row r="2287" spans="2:5" ht="15.75" thickBot="1">
      <c r="B2287" s="225" t="s">
        <v>3974</v>
      </c>
      <c r="C2287" s="226">
        <v>511048</v>
      </c>
      <c r="D2287" s="225" t="s">
        <v>597</v>
      </c>
      <c r="E2287" s="225" t="s">
        <v>619</v>
      </c>
    </row>
    <row r="2288" spans="2:5" ht="15.75" thickBot="1">
      <c r="B2288" s="225" t="s">
        <v>3975</v>
      </c>
      <c r="C2288" s="226">
        <v>514240</v>
      </c>
      <c r="D2288" s="225" t="s">
        <v>597</v>
      </c>
      <c r="E2288" s="225" t="s">
        <v>612</v>
      </c>
    </row>
    <row r="2289" spans="2:5" ht="15.75" thickBot="1">
      <c r="B2289" s="225" t="s">
        <v>3976</v>
      </c>
      <c r="C2289" s="226">
        <v>536170</v>
      </c>
      <c r="D2289" s="225" t="s">
        <v>597</v>
      </c>
      <c r="E2289" s="225" t="s">
        <v>619</v>
      </c>
    </row>
    <row r="2290" spans="2:5" ht="15.75" thickBot="1">
      <c r="B2290" s="225" t="s">
        <v>3977</v>
      </c>
      <c r="C2290" s="226">
        <v>530421</v>
      </c>
      <c r="D2290" s="225" t="s">
        <v>597</v>
      </c>
      <c r="E2290" s="225" t="s">
        <v>645</v>
      </c>
    </row>
    <row r="2291" spans="2:5" ht="15.75" thickBot="1">
      <c r="B2291" s="225" t="s">
        <v>3978</v>
      </c>
      <c r="C2291" s="226">
        <v>531206</v>
      </c>
      <c r="D2291" s="225" t="s">
        <v>597</v>
      </c>
      <c r="E2291" s="225" t="s">
        <v>614</v>
      </c>
    </row>
    <row r="2292" spans="2:5" ht="15.75" thickBot="1">
      <c r="B2292" s="225" t="s">
        <v>3979</v>
      </c>
      <c r="C2292" s="226">
        <v>531882</v>
      </c>
      <c r="D2292" s="225" t="s">
        <v>3980</v>
      </c>
      <c r="E2292" s="225" t="s">
        <v>657</v>
      </c>
    </row>
    <row r="2293" spans="2:5" ht="15.75" thickBot="1">
      <c r="B2293" s="225" t="s">
        <v>3981</v>
      </c>
      <c r="C2293" s="226">
        <v>539997</v>
      </c>
      <c r="D2293" s="225" t="s">
        <v>597</v>
      </c>
      <c r="E2293" s="225" t="s">
        <v>635</v>
      </c>
    </row>
    <row r="2294" spans="2:5" ht="15.75" thickBot="1">
      <c r="B2294" s="225" t="s">
        <v>3982</v>
      </c>
      <c r="C2294" s="226">
        <v>537669</v>
      </c>
      <c r="D2294" s="225" t="s">
        <v>597</v>
      </c>
      <c r="E2294" s="225" t="s">
        <v>675</v>
      </c>
    </row>
    <row r="2295" spans="2:5" ht="15.75" thickBot="1">
      <c r="B2295" s="225" t="s">
        <v>3983</v>
      </c>
      <c r="C2295" s="226">
        <v>533519</v>
      </c>
      <c r="D2295" s="225" t="s">
        <v>3984</v>
      </c>
      <c r="E2295" s="225" t="s">
        <v>763</v>
      </c>
    </row>
    <row r="2296" spans="2:5" ht="15.75" thickBot="1">
      <c r="B2296" s="225" t="s">
        <v>3985</v>
      </c>
      <c r="C2296" s="226">
        <v>540115</v>
      </c>
      <c r="D2296" s="225" t="s">
        <v>3986</v>
      </c>
      <c r="E2296" s="225" t="s">
        <v>603</v>
      </c>
    </row>
    <row r="2297" spans="2:5" ht="15.75" thickBot="1">
      <c r="B2297" s="225" t="s">
        <v>3987</v>
      </c>
      <c r="C2297" s="226">
        <v>526947</v>
      </c>
      <c r="D2297" s="225" t="s">
        <v>3988</v>
      </c>
      <c r="E2297" s="225" t="s">
        <v>1643</v>
      </c>
    </row>
    <row r="2298" spans="2:5" ht="15.75" thickBot="1">
      <c r="B2298" s="225" t="s">
        <v>3989</v>
      </c>
      <c r="C2298" s="226">
        <v>505693</v>
      </c>
      <c r="D2298" s="225" t="s">
        <v>3990</v>
      </c>
      <c r="E2298" s="225" t="s">
        <v>782</v>
      </c>
    </row>
    <row r="2299" spans="2:5" ht="15.75" thickBot="1">
      <c r="B2299" s="225" t="s">
        <v>3991</v>
      </c>
      <c r="C2299" s="226">
        <v>524202</v>
      </c>
      <c r="D2299" s="225" t="s">
        <v>597</v>
      </c>
      <c r="E2299" s="225" t="s">
        <v>677</v>
      </c>
    </row>
    <row r="2300" spans="2:5" ht="15.75" thickBot="1">
      <c r="B2300" s="225" t="s">
        <v>3992</v>
      </c>
      <c r="C2300" s="226">
        <v>524202</v>
      </c>
      <c r="D2300" s="225" t="s">
        <v>597</v>
      </c>
      <c r="E2300" s="225" t="s">
        <v>677</v>
      </c>
    </row>
    <row r="2301" spans="2:5" ht="15.75" thickBot="1">
      <c r="B2301" s="225" t="s">
        <v>3993</v>
      </c>
      <c r="C2301" s="226">
        <v>540026</v>
      </c>
      <c r="D2301" s="225" t="s">
        <v>597</v>
      </c>
      <c r="E2301" s="225" t="s">
        <v>683</v>
      </c>
    </row>
    <row r="2302" spans="2:5" ht="15.75" thickBot="1">
      <c r="B2302" s="225" t="s">
        <v>3994</v>
      </c>
      <c r="C2302" s="226">
        <v>530577</v>
      </c>
      <c r="D2302" s="225" t="s">
        <v>597</v>
      </c>
      <c r="E2302" s="225" t="s">
        <v>614</v>
      </c>
    </row>
    <row r="2303" spans="2:5" ht="15.75" thickBot="1">
      <c r="B2303" s="225" t="s">
        <v>3995</v>
      </c>
      <c r="C2303" s="226">
        <v>524522</v>
      </c>
      <c r="D2303" s="225" t="s">
        <v>597</v>
      </c>
      <c r="E2303" s="225" t="s">
        <v>645</v>
      </c>
    </row>
    <row r="2304" spans="2:5" ht="15.75" thickBot="1">
      <c r="B2304" s="225" t="s">
        <v>3996</v>
      </c>
      <c r="C2304" s="225" t="s">
        <v>597</v>
      </c>
      <c r="D2304" s="225" t="s">
        <v>3997</v>
      </c>
      <c r="E2304" s="225" t="s">
        <v>608</v>
      </c>
    </row>
    <row r="2305" spans="2:5" ht="15.75" thickBot="1">
      <c r="B2305" s="225" t="s">
        <v>3998</v>
      </c>
      <c r="C2305" s="226">
        <v>531842</v>
      </c>
      <c r="D2305" s="225" t="s">
        <v>597</v>
      </c>
      <c r="E2305" s="225" t="s">
        <v>619</v>
      </c>
    </row>
    <row r="2306" spans="2:5" ht="15.75" thickBot="1">
      <c r="B2306" s="225" t="s">
        <v>3999</v>
      </c>
      <c r="C2306" s="226">
        <v>535387</v>
      </c>
      <c r="D2306" s="225" t="s">
        <v>597</v>
      </c>
      <c r="E2306" s="225" t="s">
        <v>612</v>
      </c>
    </row>
    <row r="2307" spans="2:5" ht="15.75" thickBot="1">
      <c r="B2307" s="225" t="s">
        <v>4000</v>
      </c>
      <c r="C2307" s="226">
        <v>535387</v>
      </c>
      <c r="D2307" s="225" t="s">
        <v>597</v>
      </c>
      <c r="E2307" s="225" t="s">
        <v>612</v>
      </c>
    </row>
    <row r="2308" spans="2:5" ht="15.75" thickBot="1">
      <c r="B2308" s="225" t="s">
        <v>4001</v>
      </c>
      <c r="C2308" s="226">
        <v>505302</v>
      </c>
      <c r="D2308" s="225" t="s">
        <v>597</v>
      </c>
      <c r="E2308" s="225" t="s">
        <v>605</v>
      </c>
    </row>
    <row r="2309" spans="2:5" ht="15.75" thickBot="1">
      <c r="B2309" s="225" t="s">
        <v>4002</v>
      </c>
      <c r="C2309" s="226">
        <v>504258</v>
      </c>
      <c r="D2309" s="225" t="s">
        <v>597</v>
      </c>
      <c r="E2309" s="225" t="s">
        <v>895</v>
      </c>
    </row>
    <row r="2310" spans="2:5" ht="15.75" thickBot="1">
      <c r="B2310" s="225" t="s">
        <v>4003</v>
      </c>
      <c r="C2310" s="225" t="s">
        <v>597</v>
      </c>
      <c r="D2310" s="225" t="s">
        <v>4004</v>
      </c>
      <c r="E2310" s="225" t="s">
        <v>688</v>
      </c>
    </row>
    <row r="2311" spans="2:5" ht="15.75" thickBot="1">
      <c r="B2311" s="225" t="s">
        <v>4005</v>
      </c>
      <c r="C2311" s="226">
        <v>500252</v>
      </c>
      <c r="D2311" s="225" t="s">
        <v>4006</v>
      </c>
      <c r="E2311" s="225" t="s">
        <v>605</v>
      </c>
    </row>
    <row r="2312" spans="2:5" ht="15.75" thickBot="1">
      <c r="B2312" s="225" t="s">
        <v>4007</v>
      </c>
      <c r="C2312" s="226">
        <v>502958</v>
      </c>
      <c r="D2312" s="225" t="s">
        <v>597</v>
      </c>
      <c r="E2312" s="225" t="s">
        <v>612</v>
      </c>
    </row>
    <row r="2313" spans="2:5" ht="15.75" thickBot="1">
      <c r="B2313" s="225" t="s">
        <v>4008</v>
      </c>
      <c r="C2313" s="226">
        <v>506079</v>
      </c>
      <c r="D2313" s="225" t="s">
        <v>4009</v>
      </c>
      <c r="E2313" s="225" t="s">
        <v>920</v>
      </c>
    </row>
    <row r="2314" spans="2:5" ht="15.75" thickBot="1">
      <c r="B2314" s="225" t="s">
        <v>4010</v>
      </c>
      <c r="C2314" s="226">
        <v>534690</v>
      </c>
      <c r="D2314" s="225" t="s">
        <v>4011</v>
      </c>
      <c r="E2314" s="225" t="s">
        <v>915</v>
      </c>
    </row>
    <row r="2315" spans="2:5" ht="15.75" thickBot="1">
      <c r="B2315" s="225" t="s">
        <v>4012</v>
      </c>
      <c r="C2315" s="226">
        <v>590075</v>
      </c>
      <c r="D2315" s="225" t="s">
        <v>4013</v>
      </c>
      <c r="E2315" s="225" t="s">
        <v>612</v>
      </c>
    </row>
    <row r="2316" spans="2:5" ht="15.75" thickBot="1">
      <c r="B2316" s="225" t="s">
        <v>4014</v>
      </c>
      <c r="C2316" s="226">
        <v>539841</v>
      </c>
      <c r="D2316" s="225" t="s">
        <v>597</v>
      </c>
      <c r="E2316" s="225" t="s">
        <v>918</v>
      </c>
    </row>
    <row r="2317" spans="2:5" ht="15.75" thickBot="1">
      <c r="B2317" s="225" t="s">
        <v>4015</v>
      </c>
      <c r="C2317" s="226">
        <v>509048</v>
      </c>
      <c r="D2317" s="225" t="s">
        <v>597</v>
      </c>
      <c r="E2317" s="225" t="s">
        <v>683</v>
      </c>
    </row>
    <row r="2318" spans="2:5" ht="15.75" thickBot="1">
      <c r="B2318" s="225" t="s">
        <v>4016</v>
      </c>
      <c r="C2318" s="226">
        <v>532275</v>
      </c>
      <c r="D2318" s="225" t="s">
        <v>597</v>
      </c>
      <c r="E2318" s="225" t="s">
        <v>614</v>
      </c>
    </row>
    <row r="2319" spans="2:5" ht="15.75" thickBot="1">
      <c r="B2319" s="225" t="s">
        <v>4017</v>
      </c>
      <c r="C2319" s="226">
        <v>533012</v>
      </c>
      <c r="D2319" s="225" t="s">
        <v>4018</v>
      </c>
      <c r="E2319" s="225" t="s">
        <v>683</v>
      </c>
    </row>
    <row r="2320" spans="2:5" ht="15.75" thickBot="1">
      <c r="B2320" s="225" t="s">
        <v>4019</v>
      </c>
      <c r="C2320" s="226">
        <v>540005</v>
      </c>
      <c r="D2320" s="225" t="s">
        <v>4020</v>
      </c>
      <c r="E2320" s="225" t="s">
        <v>583</v>
      </c>
    </row>
    <row r="2321" spans="2:5" ht="15.75" thickBot="1">
      <c r="B2321" s="225" t="s">
        <v>4021</v>
      </c>
      <c r="C2321" s="226">
        <v>500510</v>
      </c>
      <c r="D2321" s="225" t="s">
        <v>4022</v>
      </c>
      <c r="E2321" s="225" t="s">
        <v>995</v>
      </c>
    </row>
    <row r="2322" spans="2:5" ht="15.75" thickBot="1">
      <c r="B2322" s="225" t="s">
        <v>4023</v>
      </c>
      <c r="C2322" s="226">
        <v>540702</v>
      </c>
      <c r="D2322" s="225" t="s">
        <v>4024</v>
      </c>
      <c r="E2322" s="225" t="s">
        <v>786</v>
      </c>
    </row>
    <row r="2323" spans="2:5" ht="15.75" thickBot="1">
      <c r="B2323" s="225" t="s">
        <v>4025</v>
      </c>
      <c r="C2323" s="226">
        <v>531164</v>
      </c>
      <c r="D2323" s="225" t="s">
        <v>597</v>
      </c>
      <c r="E2323" s="225" t="s">
        <v>711</v>
      </c>
    </row>
    <row r="2324" spans="2:5" ht="15.75" thickBot="1">
      <c r="B2324" s="225" t="s">
        <v>4026</v>
      </c>
      <c r="C2324" s="226">
        <v>539909</v>
      </c>
      <c r="D2324" s="225" t="s">
        <v>597</v>
      </c>
      <c r="E2324" s="225" t="s">
        <v>614</v>
      </c>
    </row>
    <row r="2325" spans="2:5" ht="15.75" thickBot="1">
      <c r="B2325" s="225" t="s">
        <v>4027</v>
      </c>
      <c r="C2325" s="225" t="s">
        <v>597</v>
      </c>
      <c r="D2325" s="225" t="s">
        <v>4028</v>
      </c>
      <c r="E2325" s="225" t="s">
        <v>608</v>
      </c>
    </row>
    <row r="2326" spans="2:5" ht="15.75" thickBot="1">
      <c r="B2326" s="225" t="s">
        <v>4029</v>
      </c>
      <c r="C2326" s="226">
        <v>540222</v>
      </c>
      <c r="D2326" s="225" t="s">
        <v>4030</v>
      </c>
      <c r="E2326" s="225" t="s">
        <v>635</v>
      </c>
    </row>
    <row r="2327" spans="2:5" ht="15.75" thickBot="1">
      <c r="B2327" s="225" t="s">
        <v>4031</v>
      </c>
      <c r="C2327" s="226">
        <v>532829</v>
      </c>
      <c r="D2327" s="225" t="s">
        <v>597</v>
      </c>
      <c r="E2327" s="225" t="s">
        <v>1023</v>
      </c>
    </row>
    <row r="2328" spans="2:5" ht="15.75" thickBot="1">
      <c r="B2328" s="225" t="s">
        <v>4032</v>
      </c>
      <c r="C2328" s="225" t="s">
        <v>597</v>
      </c>
      <c r="D2328" s="225" t="s">
        <v>4033</v>
      </c>
      <c r="E2328" s="225" t="s">
        <v>608</v>
      </c>
    </row>
    <row r="2329" spans="2:5" ht="15.75" thickBot="1">
      <c r="B2329" s="225" t="s">
        <v>4034</v>
      </c>
      <c r="C2329" s="226">
        <v>531288</v>
      </c>
      <c r="D2329" s="225" t="s">
        <v>597</v>
      </c>
      <c r="E2329" s="225" t="s">
        <v>614</v>
      </c>
    </row>
    <row r="2330" spans="2:5" ht="15.75" thickBot="1">
      <c r="B2330" s="225" t="s">
        <v>4035</v>
      </c>
      <c r="C2330" s="226">
        <v>540360</v>
      </c>
      <c r="D2330" s="225" t="s">
        <v>597</v>
      </c>
      <c r="E2330" s="225" t="s">
        <v>580</v>
      </c>
    </row>
    <row r="2331" spans="2:5" ht="15.75" thickBot="1">
      <c r="B2331" s="225" t="s">
        <v>4036</v>
      </c>
      <c r="C2331" s="226">
        <v>508306</v>
      </c>
      <c r="D2331" s="225" t="s">
        <v>597</v>
      </c>
      <c r="E2331" s="225" t="s">
        <v>1004</v>
      </c>
    </row>
    <row r="2332" spans="2:5" ht="15.75" thickBot="1">
      <c r="B2332" s="225" t="s">
        <v>4037</v>
      </c>
      <c r="C2332" s="226">
        <v>517415</v>
      </c>
      <c r="D2332" s="225" t="s">
        <v>597</v>
      </c>
      <c r="E2332" s="225" t="s">
        <v>927</v>
      </c>
    </row>
    <row r="2333" spans="2:5" ht="15.75" thickBot="1">
      <c r="B2333" s="225" t="s">
        <v>4038</v>
      </c>
      <c r="C2333" s="226">
        <v>517518</v>
      </c>
      <c r="D2333" s="225" t="s">
        <v>4039</v>
      </c>
      <c r="E2333" s="225" t="s">
        <v>605</v>
      </c>
    </row>
    <row r="2334" spans="2:5" ht="15.75" thickBot="1">
      <c r="B2334" s="225" t="s">
        <v>4040</v>
      </c>
      <c r="C2334" s="226">
        <v>509046</v>
      </c>
      <c r="D2334" s="225" t="s">
        <v>597</v>
      </c>
      <c r="E2334" s="225" t="s">
        <v>1018</v>
      </c>
    </row>
    <row r="2335" spans="2:5" ht="15.75" thickBot="1">
      <c r="B2335" s="225" t="s">
        <v>4041</v>
      </c>
      <c r="C2335" s="226">
        <v>780021</v>
      </c>
      <c r="D2335" s="225" t="s">
        <v>597</v>
      </c>
      <c r="E2335" s="225" t="s">
        <v>688</v>
      </c>
    </row>
    <row r="2336" spans="2:5" ht="15.75" thickBot="1">
      <c r="B2336" s="225" t="s">
        <v>4042</v>
      </c>
      <c r="C2336" s="226">
        <v>541233</v>
      </c>
      <c r="D2336" s="225" t="s">
        <v>4043</v>
      </c>
      <c r="E2336" s="225" t="s">
        <v>798</v>
      </c>
    </row>
    <row r="2337" spans="2:5" ht="15.75" thickBot="1">
      <c r="B2337" s="225" t="s">
        <v>4044</v>
      </c>
      <c r="C2337" s="226">
        <v>533602</v>
      </c>
      <c r="D2337" s="225" t="s">
        <v>597</v>
      </c>
      <c r="E2337" s="225" t="s">
        <v>617</v>
      </c>
    </row>
    <row r="2338" spans="2:5" ht="15.75" thickBot="1">
      <c r="B2338" s="225" t="s">
        <v>4045</v>
      </c>
      <c r="C2338" s="226">
        <v>541196</v>
      </c>
      <c r="D2338" s="225" t="s">
        <v>597</v>
      </c>
      <c r="E2338" s="225" t="s">
        <v>681</v>
      </c>
    </row>
    <row r="2339" spans="2:5" ht="15.75" thickBot="1">
      <c r="B2339" s="225" t="s">
        <v>4046</v>
      </c>
      <c r="C2339" s="225" t="s">
        <v>597</v>
      </c>
      <c r="D2339" s="225" t="s">
        <v>4047</v>
      </c>
      <c r="E2339" s="225" t="s">
        <v>608</v>
      </c>
    </row>
    <row r="2340" spans="2:5" ht="15.75" thickBot="1">
      <c r="B2340" s="225" t="s">
        <v>4048</v>
      </c>
      <c r="C2340" s="225" t="s">
        <v>597</v>
      </c>
      <c r="D2340" s="225" t="s">
        <v>4047</v>
      </c>
      <c r="E2340" s="225" t="s">
        <v>608</v>
      </c>
    </row>
    <row r="2341" spans="2:5" ht="15.75" thickBot="1">
      <c r="B2341" s="225" t="s">
        <v>4049</v>
      </c>
      <c r="C2341" s="226">
        <v>500250</v>
      </c>
      <c r="D2341" s="225" t="s">
        <v>4050</v>
      </c>
      <c r="E2341" s="225" t="s">
        <v>952</v>
      </c>
    </row>
    <row r="2342" spans="2:5" ht="15.75" thickBot="1">
      <c r="B2342" s="225" t="s">
        <v>4051</v>
      </c>
      <c r="C2342" s="226">
        <v>533007</v>
      </c>
      <c r="D2342" s="225" t="s">
        <v>4052</v>
      </c>
      <c r="E2342" s="225" t="s">
        <v>1517</v>
      </c>
    </row>
    <row r="2343" spans="2:5" ht="15.75" thickBot="1">
      <c r="B2343" s="225" t="s">
        <v>4053</v>
      </c>
      <c r="C2343" s="225" t="s">
        <v>597</v>
      </c>
      <c r="D2343" s="225" t="s">
        <v>4054</v>
      </c>
      <c r="E2343" s="225" t="s">
        <v>608</v>
      </c>
    </row>
    <row r="2344" spans="2:5" ht="15.75" thickBot="1">
      <c r="B2344" s="225" t="s">
        <v>4055</v>
      </c>
      <c r="C2344" s="226">
        <v>526596</v>
      </c>
      <c r="D2344" s="225" t="s">
        <v>4056</v>
      </c>
      <c r="E2344" s="225" t="s">
        <v>1023</v>
      </c>
    </row>
    <row r="2345" spans="2:5" ht="15.75" thickBot="1">
      <c r="B2345" s="225" t="s">
        <v>4057</v>
      </c>
      <c r="C2345" s="226">
        <v>511593</v>
      </c>
      <c r="D2345" s="225" t="s">
        <v>597</v>
      </c>
      <c r="E2345" s="225" t="s">
        <v>614</v>
      </c>
    </row>
    <row r="2346" spans="2:5" ht="15.75" thickBot="1">
      <c r="B2346" s="225" t="s">
        <v>4058</v>
      </c>
      <c r="C2346" s="226">
        <v>531027</v>
      </c>
      <c r="D2346" s="225" t="s">
        <v>597</v>
      </c>
      <c r="E2346" s="225" t="s">
        <v>580</v>
      </c>
    </row>
    <row r="2347" spans="2:5" ht="15.75" thickBot="1">
      <c r="B2347" s="225" t="s">
        <v>4059</v>
      </c>
      <c r="C2347" s="226">
        <v>500253</v>
      </c>
      <c r="D2347" s="225" t="s">
        <v>4060</v>
      </c>
      <c r="E2347" s="225" t="s">
        <v>655</v>
      </c>
    </row>
    <row r="2348" spans="2:5" ht="15.75" thickBot="1">
      <c r="B2348" s="225" t="s">
        <v>4061</v>
      </c>
      <c r="C2348" s="226">
        <v>539927</v>
      </c>
      <c r="D2348" s="225" t="s">
        <v>597</v>
      </c>
      <c r="E2348" s="225" t="s">
        <v>681</v>
      </c>
    </row>
    <row r="2349" spans="2:5" ht="15.75" thickBot="1">
      <c r="B2349" s="225" t="s">
        <v>4062</v>
      </c>
      <c r="C2349" s="226">
        <v>507759</v>
      </c>
      <c r="D2349" s="225" t="s">
        <v>597</v>
      </c>
      <c r="E2349" s="225" t="s">
        <v>645</v>
      </c>
    </row>
    <row r="2350" spans="2:5" ht="15.75" thickBot="1">
      <c r="B2350" s="225" t="s">
        <v>4063</v>
      </c>
      <c r="C2350" s="226">
        <v>517463</v>
      </c>
      <c r="D2350" s="225" t="s">
        <v>4064</v>
      </c>
      <c r="E2350" s="225" t="s">
        <v>1139</v>
      </c>
    </row>
    <row r="2351" spans="2:5" ht="15.75" thickBot="1">
      <c r="B2351" s="225" t="s">
        <v>4065</v>
      </c>
      <c r="C2351" s="226">
        <v>531241</v>
      </c>
      <c r="D2351" s="225" t="s">
        <v>4066</v>
      </c>
      <c r="E2351" s="225" t="s">
        <v>1143</v>
      </c>
    </row>
    <row r="2352" spans="2:5" ht="15.75" thickBot="1">
      <c r="B2352" s="225" t="s">
        <v>4067</v>
      </c>
      <c r="C2352" s="226">
        <v>531633</v>
      </c>
      <c r="D2352" s="225" t="s">
        <v>4068</v>
      </c>
      <c r="E2352" s="225" t="s">
        <v>635</v>
      </c>
    </row>
    <row r="2353" spans="2:5" ht="15.75" thickBot="1">
      <c r="B2353" s="225" t="s">
        <v>4069</v>
      </c>
      <c r="C2353" s="226">
        <v>523457</v>
      </c>
      <c r="D2353" s="225" t="s">
        <v>4070</v>
      </c>
      <c r="E2353" s="225" t="s">
        <v>1633</v>
      </c>
    </row>
    <row r="2354" spans="2:5" ht="15.75" thickBot="1">
      <c r="B2354" s="225" t="s">
        <v>4071</v>
      </c>
      <c r="C2354" s="226">
        <v>523457</v>
      </c>
      <c r="D2354" s="225" t="s">
        <v>4072</v>
      </c>
      <c r="E2354" s="225" t="s">
        <v>1633</v>
      </c>
    </row>
    <row r="2355" spans="2:5" ht="15.75" thickBot="1">
      <c r="B2355" s="225" t="s">
        <v>4073</v>
      </c>
      <c r="C2355" s="226">
        <v>524748</v>
      </c>
      <c r="D2355" s="225" t="s">
        <v>597</v>
      </c>
      <c r="E2355" s="225" t="s">
        <v>645</v>
      </c>
    </row>
    <row r="2356" spans="2:5" ht="15.75" thickBot="1">
      <c r="B2356" s="225" t="s">
        <v>4074</v>
      </c>
      <c r="C2356" s="226">
        <v>526604</v>
      </c>
      <c r="D2356" s="225" t="s">
        <v>597</v>
      </c>
      <c r="E2356" s="225" t="s">
        <v>605</v>
      </c>
    </row>
    <row r="2357" spans="2:5" ht="15.75" thickBot="1">
      <c r="B2357" s="225" t="s">
        <v>4075</v>
      </c>
      <c r="C2357" s="226">
        <v>507912</v>
      </c>
      <c r="D2357" s="225" t="s">
        <v>597</v>
      </c>
      <c r="E2357" s="225" t="s">
        <v>580</v>
      </c>
    </row>
    <row r="2358" spans="2:5" ht="15.75" thickBot="1">
      <c r="B2358" s="225" t="s">
        <v>4076</v>
      </c>
      <c r="C2358" s="226">
        <v>540192</v>
      </c>
      <c r="D2358" s="225" t="s">
        <v>597</v>
      </c>
      <c r="E2358" s="225" t="s">
        <v>580</v>
      </c>
    </row>
    <row r="2359" spans="2:5" ht="15.75" thickBot="1">
      <c r="B2359" s="225" t="s">
        <v>4077</v>
      </c>
      <c r="C2359" s="226">
        <v>512455</v>
      </c>
      <c r="D2359" s="225" t="s">
        <v>597</v>
      </c>
      <c r="E2359" s="225" t="s">
        <v>629</v>
      </c>
    </row>
    <row r="2360" spans="2:5" ht="15.75" thickBot="1">
      <c r="B2360" s="225" t="s">
        <v>4078</v>
      </c>
      <c r="C2360" s="226">
        <v>539992</v>
      </c>
      <c r="D2360" s="225" t="s">
        <v>4079</v>
      </c>
      <c r="E2360" s="225" t="s">
        <v>605</v>
      </c>
    </row>
    <row r="2361" spans="2:5" ht="15.75" thickBot="1">
      <c r="B2361" s="225" t="s">
        <v>4080</v>
      </c>
      <c r="C2361" s="226">
        <v>590082</v>
      </c>
      <c r="D2361" s="225" t="s">
        <v>597</v>
      </c>
      <c r="E2361" s="225" t="s">
        <v>580</v>
      </c>
    </row>
    <row r="2362" spans="2:5" ht="15.75" thickBot="1">
      <c r="B2362" s="225" t="s">
        <v>4081</v>
      </c>
      <c r="C2362" s="226">
        <v>532740</v>
      </c>
      <c r="D2362" s="225" t="s">
        <v>4082</v>
      </c>
      <c r="E2362" s="225" t="s">
        <v>605</v>
      </c>
    </row>
    <row r="2363" spans="2:5" ht="15.75" thickBot="1">
      <c r="B2363" s="225" t="s">
        <v>4083</v>
      </c>
      <c r="C2363" s="226">
        <v>526568</v>
      </c>
      <c r="D2363" s="225" t="s">
        <v>597</v>
      </c>
      <c r="E2363" s="225" t="s">
        <v>1004</v>
      </c>
    </row>
    <row r="2364" spans="2:5" ht="15.75" thickBot="1">
      <c r="B2364" s="225" t="s">
        <v>4084</v>
      </c>
      <c r="C2364" s="226">
        <v>534422</v>
      </c>
      <c r="D2364" s="225" t="s">
        <v>597</v>
      </c>
      <c r="E2364" s="225" t="s">
        <v>1067</v>
      </c>
    </row>
    <row r="2365" spans="2:5" ht="15.75" thickBot="1">
      <c r="B2365" s="225" t="s">
        <v>4085</v>
      </c>
      <c r="C2365" s="226">
        <v>500284</v>
      </c>
      <c r="D2365" s="225" t="s">
        <v>597</v>
      </c>
      <c r="E2365" s="225" t="s">
        <v>645</v>
      </c>
    </row>
    <row r="2366" spans="2:5" ht="15.75" thickBot="1">
      <c r="B2366" s="225" t="s">
        <v>4086</v>
      </c>
      <c r="C2366" s="226">
        <v>530065</v>
      </c>
      <c r="D2366" s="225" t="s">
        <v>597</v>
      </c>
      <c r="E2366" s="225" t="s">
        <v>798</v>
      </c>
    </row>
    <row r="2367" spans="2:5" ht="15.75" thickBot="1">
      <c r="B2367" s="225" t="s">
        <v>4087</v>
      </c>
      <c r="C2367" s="226">
        <v>540952</v>
      </c>
      <c r="D2367" s="225" t="s">
        <v>597</v>
      </c>
      <c r="E2367" s="225" t="s">
        <v>711</v>
      </c>
    </row>
    <row r="2368" spans="2:5" ht="15.75" thickBot="1">
      <c r="B2368" s="225" t="s">
        <v>4088</v>
      </c>
      <c r="C2368" s="226">
        <v>523475</v>
      </c>
      <c r="D2368" s="225" t="s">
        <v>597</v>
      </c>
      <c r="E2368" s="225" t="s">
        <v>657</v>
      </c>
    </row>
    <row r="2369" spans="2:5" ht="15.75" thickBot="1">
      <c r="B2369" s="225" t="s">
        <v>4089</v>
      </c>
      <c r="C2369" s="226">
        <v>532998</v>
      </c>
      <c r="D2369" s="225" t="s">
        <v>4090</v>
      </c>
      <c r="E2369" s="225" t="s">
        <v>1067</v>
      </c>
    </row>
    <row r="2370" spans="2:5" ht="15.75" thickBot="1">
      <c r="B2370" s="225" t="s">
        <v>4091</v>
      </c>
      <c r="C2370" s="226">
        <v>533343</v>
      </c>
      <c r="D2370" s="225" t="s">
        <v>4092</v>
      </c>
      <c r="E2370" s="225" t="s">
        <v>711</v>
      </c>
    </row>
    <row r="2371" spans="2:5" ht="15.75" thickBot="1">
      <c r="B2371" s="225" t="s">
        <v>4093</v>
      </c>
      <c r="C2371" s="226">
        <v>539227</v>
      </c>
      <c r="D2371" s="225" t="s">
        <v>597</v>
      </c>
      <c r="E2371" s="225" t="s">
        <v>605</v>
      </c>
    </row>
    <row r="2372" spans="2:5" ht="15.75" thickBot="1">
      <c r="B2372" s="225" t="s">
        <v>4094</v>
      </c>
      <c r="C2372" s="226">
        <v>514036</v>
      </c>
      <c r="D2372" s="225" t="s">
        <v>597</v>
      </c>
      <c r="E2372" s="225" t="s">
        <v>612</v>
      </c>
    </row>
    <row r="2373" spans="2:5" ht="15.75" thickBot="1">
      <c r="B2373" s="225" t="s">
        <v>4095</v>
      </c>
      <c r="C2373" s="226">
        <v>532783</v>
      </c>
      <c r="D2373" s="225" t="s">
        <v>4096</v>
      </c>
      <c r="E2373" s="225" t="s">
        <v>657</v>
      </c>
    </row>
    <row r="2374" spans="2:5" ht="15.75" thickBot="1">
      <c r="B2374" s="225" t="s">
        <v>4097</v>
      </c>
      <c r="C2374" s="226">
        <v>526179</v>
      </c>
      <c r="D2374" s="225" t="s">
        <v>597</v>
      </c>
      <c r="E2374" s="225" t="s">
        <v>834</v>
      </c>
    </row>
    <row r="2375" spans="2:5" ht="15.75" thickBot="1">
      <c r="B2375" s="225" t="s">
        <v>4098</v>
      </c>
      <c r="C2375" s="226">
        <v>512048</v>
      </c>
      <c r="D2375" s="225" t="s">
        <v>597</v>
      </c>
      <c r="E2375" s="225" t="s">
        <v>683</v>
      </c>
    </row>
    <row r="2376" spans="2:5" ht="15.75" thickBot="1">
      <c r="B2376" s="225" t="s">
        <v>4099</v>
      </c>
      <c r="C2376" s="226">
        <v>532796</v>
      </c>
      <c r="D2376" s="225" t="s">
        <v>4100</v>
      </c>
      <c r="E2376" s="225" t="s">
        <v>952</v>
      </c>
    </row>
    <row r="2377" spans="2:5" ht="15.75" thickBot="1">
      <c r="B2377" s="225" t="s">
        <v>4101</v>
      </c>
      <c r="C2377" s="226">
        <v>517206</v>
      </c>
      <c r="D2377" s="225" t="s">
        <v>4102</v>
      </c>
      <c r="E2377" s="225" t="s">
        <v>952</v>
      </c>
    </row>
    <row r="2378" spans="2:5" ht="15.75" thickBot="1">
      <c r="B2378" s="225" t="s">
        <v>4103</v>
      </c>
      <c r="C2378" s="226">
        <v>500257</v>
      </c>
      <c r="D2378" s="225" t="s">
        <v>4104</v>
      </c>
      <c r="E2378" s="225" t="s">
        <v>635</v>
      </c>
    </row>
    <row r="2379" spans="2:5" ht="15.75" thickBot="1">
      <c r="B2379" s="225" t="s">
        <v>4105</v>
      </c>
      <c r="C2379" s="226">
        <v>539542</v>
      </c>
      <c r="D2379" s="225" t="s">
        <v>4106</v>
      </c>
      <c r="E2379" s="225" t="s">
        <v>711</v>
      </c>
    </row>
    <row r="2380" spans="2:5" ht="15.75" thickBot="1">
      <c r="B2380" s="225" t="s">
        <v>4107</v>
      </c>
      <c r="C2380" s="226">
        <v>531402</v>
      </c>
      <c r="D2380" s="225" t="s">
        <v>597</v>
      </c>
      <c r="E2380" s="225" t="s">
        <v>619</v>
      </c>
    </row>
    <row r="2381" spans="2:5" ht="15.75" thickBot="1">
      <c r="B2381" s="225" t="s">
        <v>4108</v>
      </c>
      <c r="C2381" s="226">
        <v>500259</v>
      </c>
      <c r="D2381" s="225" t="s">
        <v>4109</v>
      </c>
      <c r="E2381" s="225" t="s">
        <v>635</v>
      </c>
    </row>
    <row r="2382" spans="2:5" ht="15.75" thickBot="1">
      <c r="B2382" s="225" t="s">
        <v>4110</v>
      </c>
      <c r="C2382" s="226">
        <v>530689</v>
      </c>
      <c r="D2382" s="225" t="s">
        <v>597</v>
      </c>
      <c r="E2382" s="225" t="s">
        <v>779</v>
      </c>
    </row>
    <row r="2383" spans="2:5" ht="15.75" thickBot="1">
      <c r="B2383" s="225" t="s">
        <v>4111</v>
      </c>
      <c r="C2383" s="226">
        <v>505320</v>
      </c>
      <c r="D2383" s="225" t="s">
        <v>597</v>
      </c>
      <c r="E2383" s="225" t="s">
        <v>605</v>
      </c>
    </row>
    <row r="2384" spans="2:5" ht="15.75" thickBot="1">
      <c r="B2384" s="225" t="s">
        <v>4112</v>
      </c>
      <c r="C2384" s="226">
        <v>534532</v>
      </c>
      <c r="D2384" s="225" t="s">
        <v>4113</v>
      </c>
      <c r="E2384" s="225" t="s">
        <v>711</v>
      </c>
    </row>
    <row r="2385" spans="2:5" ht="15.75" thickBot="1">
      <c r="B2385" s="225" t="s">
        <v>4114</v>
      </c>
      <c r="C2385" s="226">
        <v>526935</v>
      </c>
      <c r="D2385" s="225" t="s">
        <v>597</v>
      </c>
      <c r="E2385" s="225" t="s">
        <v>580</v>
      </c>
    </row>
    <row r="2386" spans="2:5" ht="15.75" thickBot="1">
      <c r="B2386" s="225" t="s">
        <v>4115</v>
      </c>
      <c r="C2386" s="226">
        <v>538890</v>
      </c>
      <c r="D2386" s="225" t="s">
        <v>597</v>
      </c>
      <c r="E2386" s="225" t="s">
        <v>612</v>
      </c>
    </row>
    <row r="2387" spans="2:5" ht="15.75" thickBot="1">
      <c r="B2387" s="225" t="s">
        <v>4116</v>
      </c>
      <c r="C2387" s="226">
        <v>538890</v>
      </c>
      <c r="D2387" s="225" t="s">
        <v>597</v>
      </c>
      <c r="E2387" s="225" t="s">
        <v>612</v>
      </c>
    </row>
    <row r="2388" spans="2:5" ht="15.75" thickBot="1">
      <c r="B2388" s="225" t="s">
        <v>4117</v>
      </c>
      <c r="C2388" s="225" t="s">
        <v>597</v>
      </c>
      <c r="D2388" s="225" t="s">
        <v>4118</v>
      </c>
      <c r="E2388" s="225" t="s">
        <v>608</v>
      </c>
    </row>
    <row r="2389" spans="2:5" ht="15.75" thickBot="1">
      <c r="B2389" s="225" t="s">
        <v>4119</v>
      </c>
      <c r="C2389" s="226">
        <v>506543</v>
      </c>
      <c r="D2389" s="225" t="s">
        <v>597</v>
      </c>
      <c r="E2389" s="225" t="s">
        <v>1105</v>
      </c>
    </row>
    <row r="2390" spans="2:5" ht="15.75" thickBot="1">
      <c r="B2390" s="225" t="s">
        <v>4120</v>
      </c>
      <c r="C2390" s="226">
        <v>532906</v>
      </c>
      <c r="D2390" s="225" t="s">
        <v>4121</v>
      </c>
      <c r="E2390" s="225" t="s">
        <v>995</v>
      </c>
    </row>
    <row r="2391" spans="2:5" ht="15.75" thickBot="1">
      <c r="B2391" s="225" t="s">
        <v>4122</v>
      </c>
      <c r="C2391" s="226">
        <v>507836</v>
      </c>
      <c r="D2391" s="225" t="s">
        <v>597</v>
      </c>
      <c r="E2391" s="225" t="s">
        <v>798</v>
      </c>
    </row>
    <row r="2392" spans="2:5" ht="15.75" thickBot="1">
      <c r="B2392" s="225" t="s">
        <v>4123</v>
      </c>
      <c r="C2392" s="226">
        <v>507836</v>
      </c>
      <c r="D2392" s="225" t="s">
        <v>597</v>
      </c>
      <c r="E2392" s="225" t="s">
        <v>798</v>
      </c>
    </row>
    <row r="2393" spans="2:5" ht="15.75" thickBot="1">
      <c r="B2393" s="225" t="s">
        <v>4124</v>
      </c>
      <c r="C2393" s="226">
        <v>541973</v>
      </c>
      <c r="D2393" s="225" t="s">
        <v>597</v>
      </c>
      <c r="E2393" s="225" t="s">
        <v>798</v>
      </c>
    </row>
    <row r="2394" spans="2:5" ht="15.75" thickBot="1">
      <c r="B2394" s="225" t="s">
        <v>4125</v>
      </c>
      <c r="C2394" s="226">
        <v>523248</v>
      </c>
      <c r="D2394" s="225" t="s">
        <v>597</v>
      </c>
      <c r="E2394" s="225" t="s">
        <v>717</v>
      </c>
    </row>
    <row r="2395" spans="2:5" ht="15.75" thickBot="1">
      <c r="B2395" s="225" t="s">
        <v>4126</v>
      </c>
      <c r="C2395" s="226">
        <v>501471</v>
      </c>
      <c r="D2395" s="225" t="s">
        <v>597</v>
      </c>
      <c r="E2395" s="225" t="s">
        <v>619</v>
      </c>
    </row>
    <row r="2396" spans="2:5" ht="15.75" thickBot="1">
      <c r="B2396" s="225" t="s">
        <v>4127</v>
      </c>
      <c r="C2396" s="225" t="s">
        <v>597</v>
      </c>
      <c r="D2396" s="225" t="s">
        <v>4128</v>
      </c>
      <c r="E2396" s="225" t="s">
        <v>608</v>
      </c>
    </row>
    <row r="2397" spans="2:5" ht="15.75" thickBot="1">
      <c r="B2397" s="225" t="s">
        <v>4129</v>
      </c>
      <c r="C2397" s="226">
        <v>512600</v>
      </c>
      <c r="D2397" s="225" t="s">
        <v>597</v>
      </c>
      <c r="E2397" s="225" t="s">
        <v>619</v>
      </c>
    </row>
    <row r="2398" spans="2:5" ht="15.75" thickBot="1">
      <c r="B2398" s="225" t="s">
        <v>4130</v>
      </c>
      <c r="C2398" s="225" t="s">
        <v>597</v>
      </c>
      <c r="D2398" s="225" t="s">
        <v>4131</v>
      </c>
      <c r="E2398" s="225" t="s">
        <v>608</v>
      </c>
    </row>
    <row r="2399" spans="2:5" ht="15.75" thickBot="1">
      <c r="B2399" s="225" t="s">
        <v>4132</v>
      </c>
      <c r="C2399" s="226">
        <v>539894</v>
      </c>
      <c r="D2399" s="225" t="s">
        <v>597</v>
      </c>
      <c r="E2399" s="225" t="s">
        <v>995</v>
      </c>
    </row>
    <row r="2400" spans="2:5" ht="15.75" thickBot="1">
      <c r="B2400" s="225" t="s">
        <v>4133</v>
      </c>
      <c r="C2400" s="226">
        <v>515093</v>
      </c>
      <c r="D2400" s="225" t="s">
        <v>4134</v>
      </c>
      <c r="E2400" s="225" t="s">
        <v>1125</v>
      </c>
    </row>
    <row r="2401" spans="2:5" ht="15.75" thickBot="1">
      <c r="B2401" s="225" t="s">
        <v>4135</v>
      </c>
      <c r="C2401" s="226">
        <v>780009</v>
      </c>
      <c r="D2401" s="225" t="s">
        <v>597</v>
      </c>
      <c r="E2401" s="225" t="s">
        <v>688</v>
      </c>
    </row>
    <row r="2402" spans="2:5" ht="15.75" thickBot="1">
      <c r="B2402" s="225" t="s">
        <v>4136</v>
      </c>
      <c r="C2402" s="226">
        <v>531497</v>
      </c>
      <c r="D2402" s="225" t="s">
        <v>4137</v>
      </c>
      <c r="E2402" s="225" t="s">
        <v>995</v>
      </c>
    </row>
    <row r="2403" spans="2:5" ht="15.75" thickBot="1">
      <c r="B2403" s="225" t="s">
        <v>4138</v>
      </c>
      <c r="C2403" s="226">
        <v>519279</v>
      </c>
      <c r="D2403" s="225" t="s">
        <v>597</v>
      </c>
      <c r="E2403" s="225" t="s">
        <v>795</v>
      </c>
    </row>
    <row r="2404" spans="2:5" ht="15.75" thickBot="1">
      <c r="B2404" s="225" t="s">
        <v>4139</v>
      </c>
      <c r="C2404" s="226">
        <v>515059</v>
      </c>
      <c r="D2404" s="225" t="s">
        <v>597</v>
      </c>
      <c r="E2404" s="225" t="s">
        <v>846</v>
      </c>
    </row>
    <row r="2405" spans="2:5" ht="15.75" thickBot="1">
      <c r="B2405" s="225" t="s">
        <v>4140</v>
      </c>
      <c r="C2405" s="226">
        <v>511000</v>
      </c>
      <c r="D2405" s="225" t="s">
        <v>597</v>
      </c>
      <c r="E2405" s="225" t="s">
        <v>614</v>
      </c>
    </row>
    <row r="2406" spans="2:5" ht="15.75" thickBot="1">
      <c r="B2406" s="225" t="s">
        <v>4141</v>
      </c>
      <c r="C2406" s="226">
        <v>531910</v>
      </c>
      <c r="D2406" s="225" t="s">
        <v>597</v>
      </c>
      <c r="E2406" s="225" t="s">
        <v>635</v>
      </c>
    </row>
    <row r="2407" spans="2:5" ht="15.75" thickBot="1">
      <c r="B2407" s="225" t="s">
        <v>4142</v>
      </c>
      <c r="C2407" s="225" t="s">
        <v>597</v>
      </c>
      <c r="D2407" s="225" t="s">
        <v>4143</v>
      </c>
      <c r="E2407" s="225" t="s">
        <v>608</v>
      </c>
    </row>
    <row r="2408" spans="2:5" ht="15.75" thickBot="1">
      <c r="B2408" s="225" t="s">
        <v>4144</v>
      </c>
      <c r="C2408" s="225" t="s">
        <v>597</v>
      </c>
      <c r="D2408" s="225" t="s">
        <v>4145</v>
      </c>
      <c r="E2408" s="225" t="s">
        <v>608</v>
      </c>
    </row>
    <row r="2409" spans="2:5" ht="15.75" thickBot="1">
      <c r="B2409" s="225" t="s">
        <v>4146</v>
      </c>
      <c r="C2409" s="226">
        <v>590134</v>
      </c>
      <c r="D2409" s="225" t="s">
        <v>4147</v>
      </c>
      <c r="E2409" s="225" t="s">
        <v>1105</v>
      </c>
    </row>
    <row r="2410" spans="2:5" ht="15.75" thickBot="1">
      <c r="B2410" s="225" t="s">
        <v>4148</v>
      </c>
      <c r="C2410" s="226">
        <v>538401</v>
      </c>
      <c r="D2410" s="225" t="s">
        <v>597</v>
      </c>
      <c r="E2410" s="225" t="s">
        <v>1139</v>
      </c>
    </row>
    <row r="2411" spans="2:5" ht="15.75" thickBot="1">
      <c r="B2411" s="225" t="s">
        <v>4149</v>
      </c>
      <c r="C2411" s="226">
        <v>500264</v>
      </c>
      <c r="D2411" s="225" t="s">
        <v>597</v>
      </c>
      <c r="E2411" s="225" t="s">
        <v>612</v>
      </c>
    </row>
    <row r="2412" spans="2:5" ht="15.75" thickBot="1">
      <c r="B2412" s="225" t="s">
        <v>4150</v>
      </c>
      <c r="C2412" s="226">
        <v>540650</v>
      </c>
      <c r="D2412" s="225" t="s">
        <v>4151</v>
      </c>
      <c r="E2412" s="225" t="s">
        <v>1296</v>
      </c>
    </row>
    <row r="2413" spans="2:5" ht="15.75" thickBot="1">
      <c r="B2413" s="225" t="s">
        <v>4152</v>
      </c>
      <c r="C2413" s="226">
        <v>524000</v>
      </c>
      <c r="D2413" s="225" t="s">
        <v>4153</v>
      </c>
      <c r="E2413" s="225" t="s">
        <v>614</v>
      </c>
    </row>
    <row r="2414" spans="2:5" ht="15.75" thickBot="1">
      <c r="B2414" s="225" t="s">
        <v>4154</v>
      </c>
      <c r="C2414" s="226">
        <v>517449</v>
      </c>
      <c r="D2414" s="225" t="s">
        <v>597</v>
      </c>
      <c r="E2414" s="225" t="s">
        <v>1517</v>
      </c>
    </row>
    <row r="2415" spans="2:5" ht="15.75" thickBot="1">
      <c r="B2415" s="225" t="s">
        <v>4155</v>
      </c>
      <c r="C2415" s="226">
        <v>512377</v>
      </c>
      <c r="D2415" s="225" t="s">
        <v>597</v>
      </c>
      <c r="E2415" s="225" t="s">
        <v>1018</v>
      </c>
    </row>
    <row r="2416" spans="2:5" ht="15.75" thickBot="1">
      <c r="B2416" s="225" t="s">
        <v>4156</v>
      </c>
      <c r="C2416" s="226">
        <v>532896</v>
      </c>
      <c r="D2416" s="225" t="s">
        <v>4157</v>
      </c>
      <c r="E2416" s="225" t="s">
        <v>591</v>
      </c>
    </row>
    <row r="2417" spans="2:5" ht="15.75" thickBot="1">
      <c r="B2417" s="225" t="s">
        <v>4158</v>
      </c>
      <c r="C2417" s="226">
        <v>523384</v>
      </c>
      <c r="D2417" s="225" t="s">
        <v>4159</v>
      </c>
      <c r="E2417" s="225" t="s">
        <v>614</v>
      </c>
    </row>
    <row r="2418" spans="2:5" ht="15.75" thickBot="1">
      <c r="B2418" s="225" t="s">
        <v>4160</v>
      </c>
      <c r="C2418" s="226">
        <v>519612</v>
      </c>
      <c r="D2418" s="225" t="s">
        <v>597</v>
      </c>
      <c r="E2418" s="225" t="s">
        <v>657</v>
      </c>
    </row>
    <row r="2419" spans="2:5" ht="15.75" thickBot="1">
      <c r="B2419" s="225" t="s">
        <v>4161</v>
      </c>
      <c r="C2419" s="226">
        <v>514450</v>
      </c>
      <c r="D2419" s="225" t="s">
        <v>597</v>
      </c>
      <c r="E2419" s="225" t="s">
        <v>1517</v>
      </c>
    </row>
    <row r="2420" spans="2:5" ht="15.75" thickBot="1">
      <c r="B2420" s="225" t="s">
        <v>4162</v>
      </c>
      <c r="C2420" s="226">
        <v>513460</v>
      </c>
      <c r="D2420" s="225" t="s">
        <v>597</v>
      </c>
      <c r="E2420" s="225" t="s">
        <v>920</v>
      </c>
    </row>
    <row r="2421" spans="2:5" ht="15.75" thickBot="1">
      <c r="B2421" s="225" t="s">
        <v>4163</v>
      </c>
      <c r="C2421" s="226">
        <v>513554</v>
      </c>
      <c r="D2421" s="225" t="s">
        <v>4164</v>
      </c>
      <c r="E2421" s="225" t="s">
        <v>920</v>
      </c>
    </row>
    <row r="2422" spans="2:5" ht="15.75" thickBot="1">
      <c r="B2422" s="225" t="s">
        <v>4165</v>
      </c>
      <c r="C2422" s="226">
        <v>531515</v>
      </c>
      <c r="D2422" s="225" t="s">
        <v>597</v>
      </c>
      <c r="E2422" s="225" t="s">
        <v>619</v>
      </c>
    </row>
    <row r="2423" spans="2:5" ht="15.75" thickBot="1">
      <c r="B2423" s="225" t="s">
        <v>4166</v>
      </c>
      <c r="C2423" s="226">
        <v>539957</v>
      </c>
      <c r="D2423" s="225" t="s">
        <v>4167</v>
      </c>
      <c r="E2423" s="225" t="s">
        <v>622</v>
      </c>
    </row>
    <row r="2424" spans="2:5" ht="15.75" thickBot="1">
      <c r="B2424" s="225" t="s">
        <v>4168</v>
      </c>
      <c r="C2424" s="226">
        <v>500108</v>
      </c>
      <c r="D2424" s="225" t="s">
        <v>4169</v>
      </c>
      <c r="E2424" s="225" t="s">
        <v>1541</v>
      </c>
    </row>
    <row r="2425" spans="2:5" ht="15.75" thickBot="1">
      <c r="B2425" s="225" t="s">
        <v>4170</v>
      </c>
      <c r="C2425" s="226">
        <v>530441</v>
      </c>
      <c r="D2425" s="225" t="s">
        <v>597</v>
      </c>
      <c r="E2425" s="225" t="s">
        <v>1018</v>
      </c>
    </row>
    <row r="2426" spans="2:5" ht="15.75" thickBot="1">
      <c r="B2426" s="225" t="s">
        <v>4171</v>
      </c>
      <c r="C2426" s="226">
        <v>530441</v>
      </c>
      <c r="D2426" s="225" t="s">
        <v>597</v>
      </c>
      <c r="E2426" s="225" t="s">
        <v>1018</v>
      </c>
    </row>
    <row r="2427" spans="2:5" ht="15.75" thickBot="1">
      <c r="B2427" s="225" t="s">
        <v>4172</v>
      </c>
      <c r="C2427" s="226">
        <v>505523</v>
      </c>
      <c r="D2427" s="225" t="s">
        <v>597</v>
      </c>
      <c r="E2427" s="225" t="s">
        <v>619</v>
      </c>
    </row>
    <row r="2428" spans="2:5" ht="15.75" thickBot="1">
      <c r="B2428" s="225" t="s">
        <v>4173</v>
      </c>
      <c r="C2428" s="226">
        <v>500266</v>
      </c>
      <c r="D2428" s="225" t="s">
        <v>4174</v>
      </c>
      <c r="E2428" s="225" t="s">
        <v>617</v>
      </c>
    </row>
    <row r="2429" spans="2:5" ht="15.75" thickBot="1">
      <c r="B2429" s="225" t="s">
        <v>4175</v>
      </c>
      <c r="C2429" s="226">
        <v>500265</v>
      </c>
      <c r="D2429" s="225" t="s">
        <v>4176</v>
      </c>
      <c r="E2429" s="225" t="s">
        <v>995</v>
      </c>
    </row>
    <row r="2430" spans="2:5" ht="15.75" thickBot="1">
      <c r="B2430" s="225" t="s">
        <v>4177</v>
      </c>
      <c r="C2430" s="226">
        <v>526795</v>
      </c>
      <c r="D2430" s="225" t="s">
        <v>597</v>
      </c>
      <c r="E2430" s="225" t="s">
        <v>669</v>
      </c>
    </row>
    <row r="2431" spans="2:5" ht="15.75" thickBot="1">
      <c r="B2431" s="225" t="s">
        <v>4178</v>
      </c>
      <c r="C2431" s="226">
        <v>512337</v>
      </c>
      <c r="D2431" s="225" t="s">
        <v>597</v>
      </c>
      <c r="E2431" s="225" t="s">
        <v>619</v>
      </c>
    </row>
    <row r="2432" spans="2:5" ht="15.75" thickBot="1">
      <c r="B2432" s="225" t="s">
        <v>4179</v>
      </c>
      <c r="C2432" s="226">
        <v>539383</v>
      </c>
      <c r="D2432" s="225" t="s">
        <v>597</v>
      </c>
      <c r="E2432" s="225" t="s">
        <v>583</v>
      </c>
    </row>
    <row r="2433" spans="2:5" ht="15.75" thickBot="1">
      <c r="B2433" s="225" t="s">
        <v>4180</v>
      </c>
      <c r="C2433" s="226">
        <v>531648</v>
      </c>
      <c r="D2433" s="225" t="s">
        <v>597</v>
      </c>
      <c r="E2433" s="225" t="s">
        <v>671</v>
      </c>
    </row>
    <row r="2434" spans="2:5" ht="15.75" thickBot="1">
      <c r="B2434" s="225" t="s">
        <v>4181</v>
      </c>
      <c r="C2434" s="226">
        <v>542677</v>
      </c>
      <c r="D2434" s="225" t="s">
        <v>4182</v>
      </c>
      <c r="E2434" s="225" t="s">
        <v>683</v>
      </c>
    </row>
    <row r="2435" spans="2:5" ht="15.75" thickBot="1">
      <c r="B2435" s="225" t="s">
        <v>4183</v>
      </c>
      <c r="C2435" s="225" t="s">
        <v>597</v>
      </c>
      <c r="D2435" s="225" t="s">
        <v>4184</v>
      </c>
      <c r="E2435" s="225" t="s">
        <v>608</v>
      </c>
    </row>
    <row r="2436" spans="2:5" ht="15.75" thickBot="1">
      <c r="B2436" s="225" t="s">
        <v>4185</v>
      </c>
      <c r="C2436" s="225" t="s">
        <v>597</v>
      </c>
      <c r="D2436" s="225" t="s">
        <v>4186</v>
      </c>
      <c r="E2436" s="225" t="s">
        <v>608</v>
      </c>
    </row>
    <row r="2437" spans="2:5" ht="15.75" thickBot="1">
      <c r="B2437" s="225" t="s">
        <v>4187</v>
      </c>
      <c r="C2437" s="226">
        <v>532720</v>
      </c>
      <c r="D2437" s="225" t="s">
        <v>4188</v>
      </c>
      <c r="E2437" s="225" t="s">
        <v>614</v>
      </c>
    </row>
    <row r="2438" spans="2:5" ht="15.75" thickBot="1">
      <c r="B2438" s="225" t="s">
        <v>4189</v>
      </c>
      <c r="C2438" s="226">
        <v>500520</v>
      </c>
      <c r="D2438" s="225" t="s">
        <v>4190</v>
      </c>
      <c r="E2438" s="225" t="s">
        <v>2526</v>
      </c>
    </row>
    <row r="2439" spans="2:5" ht="15.75" thickBot="1">
      <c r="B2439" s="225" t="s">
        <v>4191</v>
      </c>
      <c r="C2439" s="226">
        <v>532756</v>
      </c>
      <c r="D2439" s="225" t="s">
        <v>4192</v>
      </c>
      <c r="E2439" s="225" t="s">
        <v>1517</v>
      </c>
    </row>
    <row r="2440" spans="2:5" ht="15.75" thickBot="1">
      <c r="B2440" s="225" t="s">
        <v>4193</v>
      </c>
      <c r="C2440" s="226">
        <v>533088</v>
      </c>
      <c r="D2440" s="225" t="s">
        <v>4194</v>
      </c>
      <c r="E2440" s="225" t="s">
        <v>798</v>
      </c>
    </row>
    <row r="2441" spans="2:5" ht="15.75" thickBot="1">
      <c r="B2441" s="225" t="s">
        <v>4195</v>
      </c>
      <c r="C2441" s="226">
        <v>533088</v>
      </c>
      <c r="D2441" s="225" t="s">
        <v>4194</v>
      </c>
      <c r="E2441" s="225" t="s">
        <v>798</v>
      </c>
    </row>
    <row r="2442" spans="2:5" ht="15.75" thickBot="1">
      <c r="B2442" s="225" t="s">
        <v>4196</v>
      </c>
      <c r="C2442" s="226">
        <v>532313</v>
      </c>
      <c r="D2442" s="225" t="s">
        <v>4197</v>
      </c>
      <c r="E2442" s="225" t="s">
        <v>683</v>
      </c>
    </row>
    <row r="2443" spans="2:5" ht="15.75" thickBot="1">
      <c r="B2443" s="225" t="s">
        <v>4198</v>
      </c>
      <c r="C2443" s="226">
        <v>540768</v>
      </c>
      <c r="D2443" s="225" t="s">
        <v>4199</v>
      </c>
      <c r="E2443" s="225" t="s">
        <v>918</v>
      </c>
    </row>
    <row r="2444" spans="2:5" ht="15.75" thickBot="1">
      <c r="B2444" s="225" t="s">
        <v>4200</v>
      </c>
      <c r="C2444" s="226">
        <v>542503</v>
      </c>
      <c r="D2444" s="225" t="s">
        <v>4201</v>
      </c>
      <c r="E2444" s="225" t="s">
        <v>2574</v>
      </c>
    </row>
    <row r="2445" spans="2:5" ht="15.75" thickBot="1">
      <c r="B2445" s="225" t="s">
        <v>4202</v>
      </c>
      <c r="C2445" s="226">
        <v>590078</v>
      </c>
      <c r="D2445" s="225" t="s">
        <v>4203</v>
      </c>
      <c r="E2445" s="225" t="s">
        <v>629</v>
      </c>
    </row>
    <row r="2446" spans="2:5" ht="15.75" thickBot="1">
      <c r="B2446" s="225" t="s">
        <v>4204</v>
      </c>
      <c r="C2446" s="226">
        <v>513430</v>
      </c>
      <c r="D2446" s="225" t="s">
        <v>597</v>
      </c>
      <c r="E2446" s="225" t="s">
        <v>902</v>
      </c>
    </row>
    <row r="2447" spans="2:5" ht="15.75" thickBot="1">
      <c r="B2447" s="225" t="s">
        <v>4205</v>
      </c>
      <c r="C2447" s="226">
        <v>539289</v>
      </c>
      <c r="D2447" s="225" t="s">
        <v>4206</v>
      </c>
      <c r="E2447" s="225" t="s">
        <v>583</v>
      </c>
    </row>
    <row r="2448" spans="2:5" ht="15.75" thickBot="1">
      <c r="B2448" s="225" t="s">
        <v>4207</v>
      </c>
      <c r="C2448" s="226">
        <v>500267</v>
      </c>
      <c r="D2448" s="225" t="s">
        <v>597</v>
      </c>
      <c r="E2448" s="225" t="s">
        <v>1255</v>
      </c>
    </row>
    <row r="2449" spans="2:5" ht="15.75" thickBot="1">
      <c r="B2449" s="225" t="s">
        <v>4208</v>
      </c>
      <c r="C2449" s="226">
        <v>539229</v>
      </c>
      <c r="D2449" s="225" t="s">
        <v>597</v>
      </c>
      <c r="E2449" s="225" t="s">
        <v>586</v>
      </c>
    </row>
    <row r="2450" spans="2:5" ht="15.75" thickBot="1">
      <c r="B2450" s="225" t="s">
        <v>4209</v>
      </c>
      <c r="C2450" s="226">
        <v>506919</v>
      </c>
      <c r="D2450" s="225" t="s">
        <v>597</v>
      </c>
      <c r="E2450" s="225" t="s">
        <v>635</v>
      </c>
    </row>
    <row r="2451" spans="2:5" ht="15.75" thickBot="1">
      <c r="B2451" s="225" t="s">
        <v>4210</v>
      </c>
      <c r="C2451" s="226">
        <v>539400</v>
      </c>
      <c r="D2451" s="225" t="s">
        <v>597</v>
      </c>
      <c r="E2451" s="225" t="s">
        <v>711</v>
      </c>
    </row>
    <row r="2452" spans="2:5" ht="15.75" thickBot="1">
      <c r="B2452" s="225" t="s">
        <v>4211</v>
      </c>
      <c r="C2452" s="226">
        <v>539400</v>
      </c>
      <c r="D2452" s="225" t="s">
        <v>597</v>
      </c>
      <c r="E2452" s="225" t="s">
        <v>711</v>
      </c>
    </row>
    <row r="2453" spans="2:5" ht="15.75" thickBot="1">
      <c r="B2453" s="225" t="s">
        <v>4212</v>
      </c>
      <c r="C2453" s="226">
        <v>532728</v>
      </c>
      <c r="D2453" s="225" t="s">
        <v>4213</v>
      </c>
      <c r="E2453" s="225" t="s">
        <v>591</v>
      </c>
    </row>
    <row r="2454" spans="2:5" ht="15.75" thickBot="1">
      <c r="B2454" s="225" t="s">
        <v>4214</v>
      </c>
      <c r="C2454" s="226">
        <v>513269</v>
      </c>
      <c r="D2454" s="225" t="s">
        <v>4215</v>
      </c>
      <c r="E2454" s="225" t="s">
        <v>995</v>
      </c>
    </row>
    <row r="2455" spans="2:5" ht="15.75" thickBot="1">
      <c r="B2455" s="225" t="s">
        <v>4216</v>
      </c>
      <c r="C2455" s="226">
        <v>513269</v>
      </c>
      <c r="D2455" s="225" t="s">
        <v>4215</v>
      </c>
      <c r="E2455" s="225" t="s">
        <v>995</v>
      </c>
    </row>
    <row r="2456" spans="2:5" ht="15.75" thickBot="1">
      <c r="B2456" s="225" t="s">
        <v>4217</v>
      </c>
      <c r="C2456" s="226">
        <v>533169</v>
      </c>
      <c r="D2456" s="225" t="s">
        <v>4218</v>
      </c>
      <c r="E2456" s="225" t="s">
        <v>995</v>
      </c>
    </row>
    <row r="2457" spans="2:5" ht="15.75" thickBot="1">
      <c r="B2457" s="225" t="s">
        <v>4219</v>
      </c>
      <c r="C2457" s="226">
        <v>539045</v>
      </c>
      <c r="D2457" s="225" t="s">
        <v>4220</v>
      </c>
      <c r="E2457" s="225" t="s">
        <v>902</v>
      </c>
    </row>
    <row r="2458" spans="2:5" ht="15.75" thickBot="1">
      <c r="B2458" s="225" t="s">
        <v>4221</v>
      </c>
      <c r="C2458" s="226">
        <v>539046</v>
      </c>
      <c r="D2458" s="225" t="s">
        <v>4222</v>
      </c>
      <c r="E2458" s="225" t="s">
        <v>629</v>
      </c>
    </row>
    <row r="2459" spans="2:5" ht="15.75" thickBot="1">
      <c r="B2459" s="225" t="s">
        <v>4223</v>
      </c>
      <c r="C2459" s="226">
        <v>532932</v>
      </c>
      <c r="D2459" s="225" t="s">
        <v>4224</v>
      </c>
      <c r="E2459" s="225" t="s">
        <v>792</v>
      </c>
    </row>
    <row r="2460" spans="2:5" ht="15.75" thickBot="1">
      <c r="B2460" s="225" t="s">
        <v>4225</v>
      </c>
      <c r="C2460" s="226">
        <v>539044</v>
      </c>
      <c r="D2460" s="225" t="s">
        <v>4226</v>
      </c>
      <c r="E2460" s="225" t="s">
        <v>629</v>
      </c>
    </row>
    <row r="2461" spans="2:5" ht="15.75" thickBot="1">
      <c r="B2461" s="225" t="s">
        <v>4227</v>
      </c>
      <c r="C2461" s="226">
        <v>500268</v>
      </c>
      <c r="D2461" s="225" t="s">
        <v>4228</v>
      </c>
      <c r="E2461" s="225" t="s">
        <v>811</v>
      </c>
    </row>
    <row r="2462" spans="2:5" ht="15.75" thickBot="1">
      <c r="B2462" s="225" t="s">
        <v>4229</v>
      </c>
      <c r="C2462" s="226">
        <v>531213</v>
      </c>
      <c r="D2462" s="225" t="s">
        <v>4230</v>
      </c>
      <c r="E2462" s="225" t="s">
        <v>614</v>
      </c>
    </row>
    <row r="2463" spans="2:5" ht="15.75" thickBot="1">
      <c r="B2463" s="225" t="s">
        <v>4231</v>
      </c>
      <c r="C2463" s="226">
        <v>540402</v>
      </c>
      <c r="D2463" s="225" t="s">
        <v>597</v>
      </c>
      <c r="E2463" s="225" t="s">
        <v>683</v>
      </c>
    </row>
    <row r="2464" spans="2:5" ht="15.75" thickBot="1">
      <c r="B2464" s="225" t="s">
        <v>4232</v>
      </c>
      <c r="C2464" s="225" t="s">
        <v>597</v>
      </c>
      <c r="D2464" s="225" t="s">
        <v>4233</v>
      </c>
      <c r="E2464" s="225" t="s">
        <v>608</v>
      </c>
    </row>
    <row r="2465" spans="2:5" ht="15.75" thickBot="1">
      <c r="B2465" s="225" t="s">
        <v>4234</v>
      </c>
      <c r="C2465" s="226">
        <v>533204</v>
      </c>
      <c r="D2465" s="225" t="s">
        <v>4235</v>
      </c>
      <c r="E2465" s="225" t="s">
        <v>612</v>
      </c>
    </row>
    <row r="2466" spans="2:5" ht="15.75" thickBot="1">
      <c r="B2466" s="225" t="s">
        <v>4236</v>
      </c>
      <c r="C2466" s="226">
        <v>505850</v>
      </c>
      <c r="D2466" s="225" t="s">
        <v>4237</v>
      </c>
      <c r="E2466" s="225" t="s">
        <v>614</v>
      </c>
    </row>
    <row r="2467" spans="2:5" ht="15.75" thickBot="1">
      <c r="B2467" s="225" t="s">
        <v>4238</v>
      </c>
      <c r="C2467" s="226">
        <v>502157</v>
      </c>
      <c r="D2467" s="225" t="s">
        <v>4239</v>
      </c>
      <c r="E2467" s="225" t="s">
        <v>610</v>
      </c>
    </row>
    <row r="2468" spans="2:5" ht="15.75" thickBot="1">
      <c r="B2468" s="225" t="s">
        <v>4240</v>
      </c>
      <c r="C2468" s="226">
        <v>532637</v>
      </c>
      <c r="D2468" s="225" t="s">
        <v>4241</v>
      </c>
      <c r="E2468" s="225" t="s">
        <v>635</v>
      </c>
    </row>
    <row r="2469" spans="2:5" ht="15.75" thickBot="1">
      <c r="B2469" s="225" t="s">
        <v>4242</v>
      </c>
      <c r="C2469" s="226">
        <v>537800</v>
      </c>
      <c r="D2469" s="225" t="s">
        <v>597</v>
      </c>
      <c r="E2469" s="225" t="s">
        <v>614</v>
      </c>
    </row>
    <row r="2470" spans="2:5" ht="15.75" thickBot="1">
      <c r="B2470" s="225" t="s">
        <v>4243</v>
      </c>
      <c r="C2470" s="226">
        <v>514418</v>
      </c>
      <c r="D2470" s="225" t="s">
        <v>597</v>
      </c>
      <c r="E2470" s="225" t="s">
        <v>645</v>
      </c>
    </row>
    <row r="2471" spans="2:5" ht="15.75" thickBot="1">
      <c r="B2471" s="225" t="s">
        <v>4244</v>
      </c>
      <c r="C2471" s="226">
        <v>539275</v>
      </c>
      <c r="D2471" s="225" t="s">
        <v>597</v>
      </c>
      <c r="E2471" s="225" t="s">
        <v>795</v>
      </c>
    </row>
    <row r="2472" spans="2:5" ht="15.75" thickBot="1">
      <c r="B2472" s="225" t="s">
        <v>4245</v>
      </c>
      <c r="C2472" s="226">
        <v>516007</v>
      </c>
      <c r="D2472" s="225" t="s">
        <v>4246</v>
      </c>
      <c r="E2472" s="225" t="s">
        <v>1092</v>
      </c>
    </row>
    <row r="2473" spans="2:5" ht="15.75" thickBot="1">
      <c r="B2473" s="225" t="s">
        <v>4247</v>
      </c>
      <c r="C2473" s="226">
        <v>530011</v>
      </c>
      <c r="D2473" s="225" t="s">
        <v>4248</v>
      </c>
      <c r="E2473" s="225" t="s">
        <v>1105</v>
      </c>
    </row>
    <row r="2474" spans="2:5" ht="15.75" thickBot="1">
      <c r="B2474" s="225" t="s">
        <v>4249</v>
      </c>
      <c r="C2474" s="226">
        <v>500109</v>
      </c>
      <c r="D2474" s="225" t="s">
        <v>4250</v>
      </c>
      <c r="E2474" s="225" t="s">
        <v>1526</v>
      </c>
    </row>
    <row r="2475" spans="2:5" ht="15.75" thickBot="1">
      <c r="B2475" s="225" t="s">
        <v>4251</v>
      </c>
      <c r="C2475" s="226">
        <v>530243</v>
      </c>
      <c r="D2475" s="225" t="s">
        <v>597</v>
      </c>
      <c r="E2475" s="225" t="s">
        <v>690</v>
      </c>
    </row>
    <row r="2476" spans="2:5" ht="15.75" thickBot="1">
      <c r="B2476" s="225" t="s">
        <v>4252</v>
      </c>
      <c r="C2476" s="226">
        <v>507938</v>
      </c>
      <c r="D2476" s="225" t="s">
        <v>597</v>
      </c>
      <c r="E2476" s="225" t="s">
        <v>614</v>
      </c>
    </row>
    <row r="2477" spans="2:5" ht="15.75" thickBot="1">
      <c r="B2477" s="225" t="s">
        <v>4253</v>
      </c>
      <c r="C2477" s="226">
        <v>533078</v>
      </c>
      <c r="D2477" s="225" t="s">
        <v>597</v>
      </c>
      <c r="E2477" s="225" t="s">
        <v>683</v>
      </c>
    </row>
    <row r="2478" spans="2:5" ht="15.75" thickBot="1">
      <c r="B2478" s="225" t="s">
        <v>4254</v>
      </c>
      <c r="C2478" s="226">
        <v>540396</v>
      </c>
      <c r="D2478" s="225" t="s">
        <v>597</v>
      </c>
      <c r="E2478" s="225" t="s">
        <v>612</v>
      </c>
    </row>
    <row r="2479" spans="2:5" ht="15.75" thickBot="1">
      <c r="B2479" s="225" t="s">
        <v>4255</v>
      </c>
      <c r="C2479" s="226">
        <v>540396</v>
      </c>
      <c r="D2479" s="225" t="s">
        <v>597</v>
      </c>
      <c r="E2479" s="225" t="s">
        <v>612</v>
      </c>
    </row>
    <row r="2480" spans="2:5" ht="15.75" thickBot="1">
      <c r="B2480" s="225" t="s">
        <v>4256</v>
      </c>
      <c r="C2480" s="226">
        <v>541974</v>
      </c>
      <c r="D2480" s="225" t="s">
        <v>597</v>
      </c>
      <c r="E2480" s="225" t="s">
        <v>846</v>
      </c>
    </row>
    <row r="2481" spans="2:5" ht="15.75" thickBot="1">
      <c r="B2481" s="225" t="s">
        <v>4257</v>
      </c>
      <c r="C2481" s="226">
        <v>539207</v>
      </c>
      <c r="D2481" s="225" t="s">
        <v>4258</v>
      </c>
      <c r="E2481" s="225" t="s">
        <v>1032</v>
      </c>
    </row>
    <row r="2482" spans="2:5" ht="15.75" thickBot="1">
      <c r="B2482" s="225" t="s">
        <v>4259</v>
      </c>
      <c r="C2482" s="226">
        <v>530537</v>
      </c>
      <c r="D2482" s="225" t="s">
        <v>597</v>
      </c>
      <c r="E2482" s="225" t="s">
        <v>655</v>
      </c>
    </row>
    <row r="2483" spans="2:5" ht="15.75" thickBot="1">
      <c r="B2483" s="225" t="s">
        <v>4260</v>
      </c>
      <c r="C2483" s="226">
        <v>511758</v>
      </c>
      <c r="D2483" s="225" t="s">
        <v>597</v>
      </c>
      <c r="E2483" s="225" t="s">
        <v>614</v>
      </c>
    </row>
    <row r="2484" spans="2:5" ht="15.75" thickBot="1">
      <c r="B2484" s="225" t="s">
        <v>4261</v>
      </c>
      <c r="C2484" s="226">
        <v>512303</v>
      </c>
      <c r="D2484" s="225" t="s">
        <v>597</v>
      </c>
      <c r="E2484" s="225" t="s">
        <v>1018</v>
      </c>
    </row>
    <row r="2485" spans="2:5" ht="15.75" thickBot="1">
      <c r="B2485" s="225" t="s">
        <v>4262</v>
      </c>
      <c r="C2485" s="226">
        <v>505324</v>
      </c>
      <c r="D2485" s="225" t="s">
        <v>4263</v>
      </c>
      <c r="E2485" s="225" t="s">
        <v>605</v>
      </c>
    </row>
    <row r="2486" spans="2:5" ht="15.75" thickBot="1">
      <c r="B2486" s="225" t="s">
        <v>4264</v>
      </c>
      <c r="C2486" s="226">
        <v>505324</v>
      </c>
      <c r="D2486" s="225" t="s">
        <v>4263</v>
      </c>
      <c r="E2486" s="225" t="s">
        <v>605</v>
      </c>
    </row>
    <row r="2487" spans="2:5" ht="15.75" thickBot="1">
      <c r="B2487" s="225" t="s">
        <v>4265</v>
      </c>
      <c r="C2487" s="226">
        <v>538970</v>
      </c>
      <c r="D2487" s="225" t="s">
        <v>597</v>
      </c>
      <c r="E2487" s="225" t="s">
        <v>683</v>
      </c>
    </row>
    <row r="2488" spans="2:5" ht="15.75" thickBot="1">
      <c r="B2488" s="225" t="s">
        <v>4266</v>
      </c>
      <c r="C2488" s="226">
        <v>521018</v>
      </c>
      <c r="D2488" s="225" t="s">
        <v>4267</v>
      </c>
      <c r="E2488" s="225" t="s">
        <v>612</v>
      </c>
    </row>
    <row r="2489" spans="2:5" ht="15.75" thickBot="1">
      <c r="B2489" s="225" t="s">
        <v>4268</v>
      </c>
      <c r="C2489" s="226">
        <v>503101</v>
      </c>
      <c r="D2489" s="225" t="s">
        <v>4269</v>
      </c>
      <c r="E2489" s="225" t="s">
        <v>683</v>
      </c>
    </row>
    <row r="2490" spans="2:5" ht="15.75" thickBot="1">
      <c r="B2490" s="225" t="s">
        <v>4270</v>
      </c>
      <c r="C2490" s="226">
        <v>502250</v>
      </c>
      <c r="D2490" s="225" t="s">
        <v>597</v>
      </c>
      <c r="E2490" s="225" t="s">
        <v>1125</v>
      </c>
    </row>
    <row r="2491" spans="2:5" ht="15.75" thickBot="1">
      <c r="B2491" s="225" t="s">
        <v>4271</v>
      </c>
      <c r="C2491" s="226">
        <v>513544</v>
      </c>
      <c r="D2491" s="225" t="s">
        <v>597</v>
      </c>
      <c r="E2491" s="225" t="s">
        <v>671</v>
      </c>
    </row>
    <row r="2492" spans="2:5" ht="15.75" thickBot="1">
      <c r="B2492" s="225" t="s">
        <v>4272</v>
      </c>
      <c r="C2492" s="226">
        <v>530543</v>
      </c>
      <c r="D2492" s="225" t="s">
        <v>597</v>
      </c>
      <c r="E2492" s="225" t="s">
        <v>683</v>
      </c>
    </row>
    <row r="2493" spans="2:5" ht="15.75" thickBot="1">
      <c r="B2493" s="225" t="s">
        <v>4273</v>
      </c>
      <c r="C2493" s="226">
        <v>540254</v>
      </c>
      <c r="D2493" s="225" t="s">
        <v>597</v>
      </c>
      <c r="E2493" s="225" t="s">
        <v>614</v>
      </c>
    </row>
    <row r="2494" spans="2:5" ht="15.75" thickBot="1">
      <c r="B2494" s="225" t="s">
        <v>4274</v>
      </c>
      <c r="C2494" s="226">
        <v>500206</v>
      </c>
      <c r="D2494" s="225" t="s">
        <v>597</v>
      </c>
      <c r="E2494" s="225" t="s">
        <v>614</v>
      </c>
    </row>
    <row r="2495" spans="2:5" ht="15.75" thickBot="1">
      <c r="B2495" s="225" t="s">
        <v>4275</v>
      </c>
      <c r="C2495" s="226">
        <v>531642</v>
      </c>
      <c r="D2495" s="225" t="s">
        <v>4276</v>
      </c>
      <c r="E2495" s="225" t="s">
        <v>779</v>
      </c>
    </row>
    <row r="2496" spans="2:5" ht="15.75" thickBot="1">
      <c r="B2496" s="225" t="s">
        <v>4277</v>
      </c>
      <c r="C2496" s="225" t="s">
        <v>597</v>
      </c>
      <c r="D2496" s="225" t="s">
        <v>4278</v>
      </c>
      <c r="E2496" s="225" t="s">
        <v>608</v>
      </c>
    </row>
    <row r="2497" spans="2:5" ht="15.75" thickBot="1">
      <c r="B2497" s="225" t="s">
        <v>4279</v>
      </c>
      <c r="C2497" s="225" t="s">
        <v>597</v>
      </c>
      <c r="D2497" s="225" t="s">
        <v>4278</v>
      </c>
      <c r="E2497" s="225" t="s">
        <v>608</v>
      </c>
    </row>
    <row r="2498" spans="2:5" ht="15.75" thickBot="1">
      <c r="B2498" s="225" t="s">
        <v>4280</v>
      </c>
      <c r="C2498" s="226">
        <v>531503</v>
      </c>
      <c r="D2498" s="225" t="s">
        <v>597</v>
      </c>
      <c r="E2498" s="225" t="s">
        <v>612</v>
      </c>
    </row>
    <row r="2499" spans="2:5" ht="15.75" thickBot="1">
      <c r="B2499" s="225" t="s">
        <v>4281</v>
      </c>
      <c r="C2499" s="226">
        <v>526891</v>
      </c>
      <c r="D2499" s="225" t="s">
        <v>597</v>
      </c>
      <c r="E2499" s="225" t="s">
        <v>580</v>
      </c>
    </row>
    <row r="2500" spans="2:5" ht="15.75" thickBot="1">
      <c r="B2500" s="225" t="s">
        <v>4282</v>
      </c>
      <c r="C2500" s="226">
        <v>524404</v>
      </c>
      <c r="D2500" s="225" t="s">
        <v>4283</v>
      </c>
      <c r="E2500" s="225" t="s">
        <v>635</v>
      </c>
    </row>
    <row r="2501" spans="2:5" ht="15.75" thickBot="1">
      <c r="B2501" s="225" t="s">
        <v>4284</v>
      </c>
      <c r="C2501" s="225" t="s">
        <v>597</v>
      </c>
      <c r="D2501" s="225" t="s">
        <v>4285</v>
      </c>
      <c r="E2501" s="225" t="s">
        <v>608</v>
      </c>
    </row>
    <row r="2502" spans="2:5" ht="15.75" thickBot="1">
      <c r="B2502" s="225" t="s">
        <v>4286</v>
      </c>
      <c r="C2502" s="226">
        <v>517467</v>
      </c>
      <c r="D2502" s="225" t="s">
        <v>597</v>
      </c>
      <c r="E2502" s="225" t="s">
        <v>895</v>
      </c>
    </row>
    <row r="2503" spans="2:5" ht="15.75" thickBot="1">
      <c r="B2503" s="225" t="s">
        <v>4287</v>
      </c>
      <c r="C2503" s="226">
        <v>523566</v>
      </c>
      <c r="D2503" s="225" t="s">
        <v>597</v>
      </c>
      <c r="E2503" s="225" t="s">
        <v>683</v>
      </c>
    </row>
    <row r="2504" spans="2:5" ht="15.75" thickBot="1">
      <c r="B2504" s="225" t="s">
        <v>4288</v>
      </c>
      <c r="C2504" s="226">
        <v>531540</v>
      </c>
      <c r="D2504" s="225" t="s">
        <v>597</v>
      </c>
      <c r="E2504" s="225" t="s">
        <v>995</v>
      </c>
    </row>
    <row r="2505" spans="2:5" ht="15.75" thickBot="1">
      <c r="B2505" s="225" t="s">
        <v>4289</v>
      </c>
      <c r="C2505" s="226">
        <v>531319</v>
      </c>
      <c r="D2505" s="225" t="s">
        <v>597</v>
      </c>
      <c r="E2505" s="225" t="s">
        <v>614</v>
      </c>
    </row>
    <row r="2506" spans="2:5" ht="15.75" thickBot="1">
      <c r="B2506" s="225" t="s">
        <v>4290</v>
      </c>
      <c r="C2506" s="226">
        <v>532500</v>
      </c>
      <c r="D2506" s="225" t="s">
        <v>4291</v>
      </c>
      <c r="E2506" s="225" t="s">
        <v>2526</v>
      </c>
    </row>
    <row r="2507" spans="2:5" ht="15.75" thickBot="1">
      <c r="B2507" s="225" t="s">
        <v>4292</v>
      </c>
      <c r="C2507" s="226">
        <v>532500</v>
      </c>
      <c r="D2507" s="225" t="s">
        <v>4291</v>
      </c>
      <c r="E2507" s="225" t="s">
        <v>2526</v>
      </c>
    </row>
    <row r="2508" spans="2:5" ht="15.75" thickBot="1">
      <c r="B2508" s="225" t="s">
        <v>4293</v>
      </c>
      <c r="C2508" s="225" t="s">
        <v>597</v>
      </c>
      <c r="D2508" s="225" t="s">
        <v>4294</v>
      </c>
      <c r="E2508" s="225" t="s">
        <v>608</v>
      </c>
    </row>
    <row r="2509" spans="2:5" ht="15.75" thickBot="1">
      <c r="B2509" s="225" t="s">
        <v>4295</v>
      </c>
      <c r="C2509" s="226">
        <v>540749</v>
      </c>
      <c r="D2509" s="225" t="s">
        <v>4296</v>
      </c>
      <c r="E2509" s="225" t="s">
        <v>614</v>
      </c>
    </row>
    <row r="2510" spans="2:5" ht="15.75" thickBot="1">
      <c r="B2510" s="225" t="s">
        <v>4297</v>
      </c>
      <c r="C2510" s="225" t="s">
        <v>597</v>
      </c>
      <c r="D2510" s="225" t="s">
        <v>4298</v>
      </c>
      <c r="E2510" s="225" t="s">
        <v>688</v>
      </c>
    </row>
    <row r="2511" spans="2:5" ht="15.75" thickBot="1">
      <c r="B2511" s="225" t="s">
        <v>4299</v>
      </c>
      <c r="C2511" s="226">
        <v>523704</v>
      </c>
      <c r="D2511" s="225" t="s">
        <v>4300</v>
      </c>
      <c r="E2511" s="225" t="s">
        <v>690</v>
      </c>
    </row>
    <row r="2512" spans="2:5" ht="15.75" thickBot="1">
      <c r="B2512" s="225" t="s">
        <v>4301</v>
      </c>
      <c r="C2512" s="226">
        <v>506867</v>
      </c>
      <c r="D2512" s="225" t="s">
        <v>597</v>
      </c>
      <c r="E2512" s="225" t="s">
        <v>612</v>
      </c>
    </row>
    <row r="2513" spans="2:5" ht="15.75" thickBot="1">
      <c r="B2513" s="225" t="s">
        <v>4302</v>
      </c>
      <c r="C2513" s="226">
        <v>511768</v>
      </c>
      <c r="D2513" s="225" t="s">
        <v>597</v>
      </c>
      <c r="E2513" s="225" t="s">
        <v>614</v>
      </c>
    </row>
    <row r="2514" spans="2:5" ht="15.75" thickBot="1">
      <c r="B2514" s="225" t="s">
        <v>4303</v>
      </c>
      <c r="C2514" s="226">
        <v>511688</v>
      </c>
      <c r="D2514" s="225" t="s">
        <v>597</v>
      </c>
      <c r="E2514" s="225" t="s">
        <v>614</v>
      </c>
    </row>
    <row r="2515" spans="2:5" ht="15.75" thickBot="1">
      <c r="B2515" s="225" t="s">
        <v>4304</v>
      </c>
      <c r="C2515" s="226">
        <v>540704</v>
      </c>
      <c r="D2515" s="225" t="s">
        <v>4305</v>
      </c>
      <c r="E2515" s="225" t="s">
        <v>603</v>
      </c>
    </row>
    <row r="2516" spans="2:5" ht="15.75" thickBot="1">
      <c r="B2516" s="225" t="s">
        <v>4306</v>
      </c>
      <c r="C2516" s="226">
        <v>539219</v>
      </c>
      <c r="D2516" s="225" t="s">
        <v>597</v>
      </c>
      <c r="E2516" s="225" t="s">
        <v>1517</v>
      </c>
    </row>
    <row r="2517" spans="2:5" ht="15.75" thickBot="1">
      <c r="B2517" s="225" t="s">
        <v>4307</v>
      </c>
      <c r="C2517" s="226">
        <v>500248</v>
      </c>
      <c r="D2517" s="225" t="s">
        <v>597</v>
      </c>
      <c r="E2517" s="225" t="s">
        <v>717</v>
      </c>
    </row>
    <row r="2518" spans="2:5" ht="15.75" thickBot="1">
      <c r="B2518" s="225" t="s">
        <v>4308</v>
      </c>
      <c r="C2518" s="226">
        <v>523371</v>
      </c>
      <c r="D2518" s="225" t="s">
        <v>4309</v>
      </c>
      <c r="E2518" s="225" t="s">
        <v>1296</v>
      </c>
    </row>
    <row r="2519" spans="2:5" ht="15.75" thickBot="1">
      <c r="B2519" s="225" t="s">
        <v>4310</v>
      </c>
      <c r="C2519" s="226">
        <v>539981</v>
      </c>
      <c r="D2519" s="225" t="s">
        <v>4311</v>
      </c>
      <c r="E2519" s="225" t="s">
        <v>763</v>
      </c>
    </row>
    <row r="2520" spans="2:5" ht="15.75" thickBot="1">
      <c r="B2520" s="225" t="s">
        <v>4312</v>
      </c>
      <c r="C2520" s="226">
        <v>534563</v>
      </c>
      <c r="D2520" s="225" t="s">
        <v>4313</v>
      </c>
      <c r="E2520" s="225" t="s">
        <v>605</v>
      </c>
    </row>
    <row r="2521" spans="2:5" ht="15.75" thickBot="1">
      <c r="B2521" s="225" t="s">
        <v>4314</v>
      </c>
      <c r="C2521" s="226">
        <v>500271</v>
      </c>
      <c r="D2521" s="225" t="s">
        <v>4315</v>
      </c>
      <c r="E2521" s="225" t="s">
        <v>3009</v>
      </c>
    </row>
    <row r="2522" spans="2:5" ht="15.75" thickBot="1">
      <c r="B2522" s="225" t="s">
        <v>4316</v>
      </c>
      <c r="C2522" s="226">
        <v>539981</v>
      </c>
      <c r="D2522" s="225" t="s">
        <v>4317</v>
      </c>
      <c r="E2522" s="225" t="s">
        <v>763</v>
      </c>
    </row>
    <row r="2523" spans="2:5" ht="15.75" thickBot="1">
      <c r="B2523" s="225" t="s">
        <v>4318</v>
      </c>
      <c r="C2523" s="226">
        <v>539940</v>
      </c>
      <c r="D2523" s="225" t="s">
        <v>4319</v>
      </c>
      <c r="E2523" s="225" t="s">
        <v>763</v>
      </c>
    </row>
    <row r="2524" spans="2:5" ht="15.75" thickBot="1">
      <c r="B2524" s="225" t="s">
        <v>4320</v>
      </c>
      <c r="C2524" s="226">
        <v>534338</v>
      </c>
      <c r="D2524" s="225" t="s">
        <v>597</v>
      </c>
      <c r="E2524" s="225" t="s">
        <v>683</v>
      </c>
    </row>
    <row r="2525" spans="2:5" ht="15.75" thickBot="1">
      <c r="B2525" s="225" t="s">
        <v>4321</v>
      </c>
      <c r="C2525" s="226">
        <v>526538</v>
      </c>
      <c r="D2525" s="225" t="s">
        <v>597</v>
      </c>
      <c r="E2525" s="225" t="s">
        <v>635</v>
      </c>
    </row>
    <row r="2526" spans="2:5" ht="15.75" thickBot="1">
      <c r="B2526" s="225" t="s">
        <v>4322</v>
      </c>
      <c r="C2526" s="226">
        <v>540401</v>
      </c>
      <c r="D2526" s="225" t="s">
        <v>597</v>
      </c>
      <c r="E2526" s="225" t="s">
        <v>619</v>
      </c>
    </row>
    <row r="2527" spans="2:5" ht="15.75" thickBot="1">
      <c r="B2527" s="225" t="s">
        <v>4323</v>
      </c>
      <c r="C2527" s="226">
        <v>539519</v>
      </c>
      <c r="D2527" s="225" t="s">
        <v>597</v>
      </c>
      <c r="E2527" s="225" t="s">
        <v>631</v>
      </c>
    </row>
    <row r="2528" spans="2:5" ht="15.75" thickBot="1">
      <c r="B2528" s="225" t="s">
        <v>4324</v>
      </c>
      <c r="C2528" s="226">
        <v>531221</v>
      </c>
      <c r="D2528" s="225" t="s">
        <v>597</v>
      </c>
      <c r="E2528" s="225" t="s">
        <v>1125</v>
      </c>
    </row>
    <row r="2529" spans="2:5" ht="15.75" thickBot="1">
      <c r="B2529" s="225" t="s">
        <v>4325</v>
      </c>
      <c r="C2529" s="226">
        <v>531680</v>
      </c>
      <c r="D2529" s="225" t="s">
        <v>597</v>
      </c>
      <c r="E2529" s="225" t="s">
        <v>711</v>
      </c>
    </row>
    <row r="2530" spans="2:5" ht="15.75" thickBot="1">
      <c r="B2530" s="225" t="s">
        <v>4326</v>
      </c>
      <c r="C2530" s="226">
        <v>522249</v>
      </c>
      <c r="D2530" s="225" t="s">
        <v>4327</v>
      </c>
      <c r="E2530" s="225" t="s">
        <v>612</v>
      </c>
    </row>
    <row r="2531" spans="2:5" ht="15.75" thickBot="1">
      <c r="B2531" s="225" t="s">
        <v>4328</v>
      </c>
      <c r="C2531" s="226">
        <v>523792</v>
      </c>
      <c r="D2531" s="225" t="s">
        <v>4329</v>
      </c>
      <c r="E2531" s="225" t="s">
        <v>605</v>
      </c>
    </row>
    <row r="2532" spans="2:5" ht="15.75" thickBot="1">
      <c r="B2532" s="225" t="s">
        <v>4330</v>
      </c>
      <c r="C2532" s="226">
        <v>533152</v>
      </c>
      <c r="D2532" s="225" t="s">
        <v>4331</v>
      </c>
      <c r="E2532" s="225" t="s">
        <v>995</v>
      </c>
    </row>
    <row r="2533" spans="2:5" ht="15.75" thickBot="1">
      <c r="B2533" s="225" t="s">
        <v>4332</v>
      </c>
      <c r="C2533" s="226">
        <v>532852</v>
      </c>
      <c r="D2533" s="225" t="s">
        <v>4333</v>
      </c>
      <c r="E2533" s="225" t="s">
        <v>617</v>
      </c>
    </row>
    <row r="2534" spans="2:5" ht="15.75" thickBot="1">
      <c r="B2534" s="225" t="s">
        <v>4334</v>
      </c>
      <c r="C2534" s="226">
        <v>532654</v>
      </c>
      <c r="D2534" s="225" t="s">
        <v>4335</v>
      </c>
      <c r="E2534" s="225" t="s">
        <v>1004</v>
      </c>
    </row>
    <row r="2535" spans="2:5" ht="15.75" thickBot="1">
      <c r="B2535" s="225" t="s">
        <v>4336</v>
      </c>
      <c r="C2535" s="226">
        <v>532654</v>
      </c>
      <c r="D2535" s="225" t="s">
        <v>4335</v>
      </c>
      <c r="E2535" s="225" t="s">
        <v>1004</v>
      </c>
    </row>
    <row r="2536" spans="2:5" ht="15.75" thickBot="1">
      <c r="B2536" s="225" t="s">
        <v>4337</v>
      </c>
      <c r="C2536" s="226">
        <v>532629</v>
      </c>
      <c r="D2536" s="225" t="s">
        <v>4338</v>
      </c>
      <c r="E2536" s="225" t="s">
        <v>995</v>
      </c>
    </row>
    <row r="2537" spans="2:5" ht="15.75" thickBot="1">
      <c r="B2537" s="225" t="s">
        <v>4339</v>
      </c>
      <c r="C2537" s="226">
        <v>512267</v>
      </c>
      <c r="D2537" s="225" t="s">
        <v>597</v>
      </c>
      <c r="E2537" s="225" t="s">
        <v>600</v>
      </c>
    </row>
    <row r="2538" spans="2:5" ht="15.75" thickBot="1">
      <c r="B2538" s="225" t="s">
        <v>4340</v>
      </c>
      <c r="C2538" s="226">
        <v>531146</v>
      </c>
      <c r="D2538" s="225" t="s">
        <v>597</v>
      </c>
      <c r="E2538" s="225" t="s">
        <v>635</v>
      </c>
    </row>
    <row r="2539" spans="2:5" ht="15.75" thickBot="1">
      <c r="B2539" s="225" t="s">
        <v>4341</v>
      </c>
      <c r="C2539" s="226">
        <v>523144</v>
      </c>
      <c r="D2539" s="225" t="s">
        <v>597</v>
      </c>
      <c r="E2539" s="225" t="s">
        <v>635</v>
      </c>
    </row>
    <row r="2540" spans="2:5" ht="15.75" thickBot="1">
      <c r="B2540" s="225" t="s">
        <v>4342</v>
      </c>
      <c r="C2540" s="226">
        <v>539938</v>
      </c>
      <c r="D2540" s="225" t="s">
        <v>4343</v>
      </c>
      <c r="E2540" s="225" t="s">
        <v>580</v>
      </c>
    </row>
    <row r="2541" spans="2:5" ht="15.75" thickBot="1">
      <c r="B2541" s="225" t="s">
        <v>4344</v>
      </c>
      <c r="C2541" s="226">
        <v>540937</v>
      </c>
      <c r="D2541" s="225" t="s">
        <v>597</v>
      </c>
      <c r="E2541" s="225" t="s">
        <v>635</v>
      </c>
    </row>
    <row r="2542" spans="2:5" ht="15.75" thickBot="1">
      <c r="B2542" s="225" t="s">
        <v>4345</v>
      </c>
      <c r="C2542" s="226">
        <v>526301</v>
      </c>
      <c r="D2542" s="225" t="s">
        <v>597</v>
      </c>
      <c r="E2542" s="225" t="s">
        <v>786</v>
      </c>
    </row>
    <row r="2543" spans="2:5" ht="15.75" thickBot="1">
      <c r="B2543" s="225" t="s">
        <v>4346</v>
      </c>
      <c r="C2543" s="226">
        <v>538834</v>
      </c>
      <c r="D2543" s="225" t="s">
        <v>597</v>
      </c>
      <c r="E2543" s="225" t="s">
        <v>614</v>
      </c>
    </row>
    <row r="2544" spans="2:5" ht="15.75" thickBot="1">
      <c r="B2544" s="225" t="s">
        <v>4347</v>
      </c>
      <c r="C2544" s="226">
        <v>512505</v>
      </c>
      <c r="D2544" s="225" t="s">
        <v>597</v>
      </c>
      <c r="E2544" s="225" t="s">
        <v>920</v>
      </c>
    </row>
    <row r="2545" spans="2:5" ht="15.75" thickBot="1">
      <c r="B2545" s="225" t="s">
        <v>4348</v>
      </c>
      <c r="C2545" s="226">
        <v>540519</v>
      </c>
      <c r="D2545" s="225" t="s">
        <v>597</v>
      </c>
      <c r="E2545" s="225" t="s">
        <v>605</v>
      </c>
    </row>
    <row r="2546" spans="2:5" ht="15.75" thickBot="1">
      <c r="B2546" s="225" t="s">
        <v>4349</v>
      </c>
      <c r="C2546" s="226">
        <v>511276</v>
      </c>
      <c r="D2546" s="225" t="s">
        <v>597</v>
      </c>
      <c r="E2546" s="225" t="s">
        <v>795</v>
      </c>
    </row>
    <row r="2547" spans="2:5" ht="15.75" thickBot="1">
      <c r="B2547" s="225" t="s">
        <v>4350</v>
      </c>
      <c r="C2547" s="226">
        <v>531176</v>
      </c>
      <c r="D2547" s="225" t="s">
        <v>597</v>
      </c>
      <c r="E2547" s="225" t="s">
        <v>614</v>
      </c>
    </row>
    <row r="2548" spans="2:5" ht="15.75" thickBot="1">
      <c r="B2548" s="225" t="s">
        <v>4351</v>
      </c>
      <c r="C2548" s="226">
        <v>531417</v>
      </c>
      <c r="D2548" s="225" t="s">
        <v>597</v>
      </c>
      <c r="E2548" s="225" t="s">
        <v>614</v>
      </c>
    </row>
    <row r="2549" spans="2:5" ht="15.75" thickBot="1">
      <c r="B2549" s="225" t="s">
        <v>4352</v>
      </c>
      <c r="C2549" s="226">
        <v>532105</v>
      </c>
      <c r="D2549" s="225" t="s">
        <v>597</v>
      </c>
      <c r="E2549" s="225" t="s">
        <v>1018</v>
      </c>
    </row>
    <row r="2550" spans="2:5" ht="15.75" thickBot="1">
      <c r="B2550" s="225" t="s">
        <v>4353</v>
      </c>
      <c r="C2550" s="226">
        <v>532105</v>
      </c>
      <c r="D2550" s="225" t="s">
        <v>597</v>
      </c>
      <c r="E2550" s="225" t="s">
        <v>1018</v>
      </c>
    </row>
    <row r="2551" spans="2:5" ht="15.75" thickBot="1">
      <c r="B2551" s="225" t="s">
        <v>4354</v>
      </c>
      <c r="C2551" s="226">
        <v>539767</v>
      </c>
      <c r="D2551" s="225" t="s">
        <v>597</v>
      </c>
      <c r="E2551" s="225" t="s">
        <v>683</v>
      </c>
    </row>
    <row r="2552" spans="2:5" ht="15.75" thickBot="1">
      <c r="B2552" s="225" t="s">
        <v>4355</v>
      </c>
      <c r="C2552" s="226">
        <v>532408</v>
      </c>
      <c r="D2552" s="225" t="s">
        <v>4356</v>
      </c>
      <c r="E2552" s="225" t="s">
        <v>690</v>
      </c>
    </row>
    <row r="2553" spans="2:5" ht="15.75" thickBot="1">
      <c r="B2553" s="225" t="s">
        <v>4357</v>
      </c>
      <c r="C2553" s="226">
        <v>541352</v>
      </c>
      <c r="D2553" s="225" t="s">
        <v>597</v>
      </c>
      <c r="E2553" s="225" t="s">
        <v>677</v>
      </c>
    </row>
    <row r="2554" spans="2:5" ht="15.75" thickBot="1">
      <c r="B2554" s="225" t="s">
        <v>4358</v>
      </c>
      <c r="C2554" s="226">
        <v>532865</v>
      </c>
      <c r="D2554" s="225" t="s">
        <v>4359</v>
      </c>
      <c r="E2554" s="225" t="s">
        <v>757</v>
      </c>
    </row>
    <row r="2555" spans="2:5" ht="15.75" thickBot="1">
      <c r="B2555" s="225" t="s">
        <v>4360</v>
      </c>
      <c r="C2555" s="226">
        <v>511367</v>
      </c>
      <c r="D2555" s="225" t="s">
        <v>597</v>
      </c>
      <c r="E2555" s="225" t="s">
        <v>614</v>
      </c>
    </row>
    <row r="2556" spans="2:5" ht="15.75" thickBot="1">
      <c r="B2556" s="225" t="s">
        <v>4361</v>
      </c>
      <c r="C2556" s="226">
        <v>511367</v>
      </c>
      <c r="D2556" s="225" t="s">
        <v>597</v>
      </c>
      <c r="E2556" s="225" t="s">
        <v>614</v>
      </c>
    </row>
    <row r="2557" spans="2:5" ht="15.75" thickBot="1">
      <c r="B2557" s="225" t="s">
        <v>4362</v>
      </c>
      <c r="C2557" s="226">
        <v>539012</v>
      </c>
      <c r="D2557" s="225" t="s">
        <v>597</v>
      </c>
      <c r="E2557" s="225" t="s">
        <v>603</v>
      </c>
    </row>
    <row r="2558" spans="2:5" ht="15.75" thickBot="1">
      <c r="B2558" s="225" t="s">
        <v>4363</v>
      </c>
      <c r="C2558" s="226">
        <v>540730</v>
      </c>
      <c r="D2558" s="225" t="s">
        <v>597</v>
      </c>
      <c r="E2558" s="225" t="s">
        <v>619</v>
      </c>
    </row>
    <row r="2559" spans="2:5" ht="15.75" thickBot="1">
      <c r="B2559" s="225" t="s">
        <v>4364</v>
      </c>
      <c r="C2559" s="226">
        <v>511740</v>
      </c>
      <c r="D2559" s="225" t="s">
        <v>597</v>
      </c>
      <c r="E2559" s="225" t="s">
        <v>655</v>
      </c>
    </row>
    <row r="2560" spans="2:5" ht="15.75" thickBot="1">
      <c r="B2560" s="225" t="s">
        <v>4365</v>
      </c>
      <c r="C2560" s="226">
        <v>511377</v>
      </c>
      <c r="D2560" s="225" t="s">
        <v>597</v>
      </c>
      <c r="E2560" s="225" t="s">
        <v>614</v>
      </c>
    </row>
    <row r="2561" spans="2:5" ht="15.75" thickBot="1">
      <c r="B2561" s="225" t="s">
        <v>4366</v>
      </c>
      <c r="C2561" s="226">
        <v>511738</v>
      </c>
      <c r="D2561" s="225" t="s">
        <v>597</v>
      </c>
      <c r="E2561" s="225" t="s">
        <v>580</v>
      </c>
    </row>
    <row r="2562" spans="2:5" ht="15.75" thickBot="1">
      <c r="B2562" s="225" t="s">
        <v>4367</v>
      </c>
      <c r="C2562" s="226">
        <v>532307</v>
      </c>
      <c r="D2562" s="225" t="s">
        <v>4368</v>
      </c>
      <c r="E2562" s="225" t="s">
        <v>690</v>
      </c>
    </row>
    <row r="2563" spans="2:5" ht="15.75" thickBot="1">
      <c r="B2563" s="225" t="s">
        <v>4369</v>
      </c>
      <c r="C2563" s="226">
        <v>531127</v>
      </c>
      <c r="D2563" s="225" t="s">
        <v>597</v>
      </c>
      <c r="E2563" s="225" t="s">
        <v>614</v>
      </c>
    </row>
    <row r="2564" spans="2:5" ht="15.75" thickBot="1">
      <c r="B2564" s="225" t="s">
        <v>4370</v>
      </c>
      <c r="C2564" s="226">
        <v>523828</v>
      </c>
      <c r="D2564" s="225" t="s">
        <v>4371</v>
      </c>
      <c r="E2564" s="225" t="s">
        <v>952</v>
      </c>
    </row>
    <row r="2565" spans="2:5" ht="15.75" thickBot="1">
      <c r="B2565" s="225" t="s">
        <v>4372</v>
      </c>
      <c r="C2565" s="226">
        <v>531727</v>
      </c>
      <c r="D2565" s="225" t="s">
        <v>597</v>
      </c>
      <c r="E2565" s="225" t="s">
        <v>952</v>
      </c>
    </row>
    <row r="2566" spans="2:5" ht="15.75" thickBot="1">
      <c r="B2566" s="225" t="s">
        <v>4373</v>
      </c>
      <c r="C2566" s="226">
        <v>539126</v>
      </c>
      <c r="D2566" s="225" t="s">
        <v>4374</v>
      </c>
      <c r="E2566" s="225" t="s">
        <v>1192</v>
      </c>
    </row>
    <row r="2567" spans="2:5" ht="15.75" thickBot="1">
      <c r="B2567" s="225" t="s">
        <v>4375</v>
      </c>
      <c r="C2567" s="226">
        <v>538942</v>
      </c>
      <c r="D2567" s="225" t="s">
        <v>597</v>
      </c>
      <c r="E2567" s="225" t="s">
        <v>1018</v>
      </c>
    </row>
    <row r="2568" spans="2:5" ht="15.75" thickBot="1">
      <c r="B2568" s="225" t="s">
        <v>4376</v>
      </c>
      <c r="C2568" s="226">
        <v>526235</v>
      </c>
      <c r="D2568" s="225" t="s">
        <v>4377</v>
      </c>
      <c r="E2568" s="225" t="s">
        <v>586</v>
      </c>
    </row>
    <row r="2569" spans="2:5" ht="15.75" thickBot="1">
      <c r="B2569" s="225" t="s">
        <v>4378</v>
      </c>
      <c r="C2569" s="226">
        <v>500126</v>
      </c>
      <c r="D2569" s="225" t="s">
        <v>4379</v>
      </c>
      <c r="E2569" s="225" t="s">
        <v>635</v>
      </c>
    </row>
    <row r="2570" spans="2:5" ht="15.75" thickBot="1">
      <c r="B2570" s="225" t="s">
        <v>4380</v>
      </c>
      <c r="C2570" s="226">
        <v>538964</v>
      </c>
      <c r="D2570" s="225" t="s">
        <v>597</v>
      </c>
      <c r="E2570" s="225" t="s">
        <v>635</v>
      </c>
    </row>
    <row r="2571" spans="2:5" ht="15.75" thickBot="1">
      <c r="B2571" s="225" t="s">
        <v>4381</v>
      </c>
      <c r="C2571" s="226">
        <v>531357</v>
      </c>
      <c r="D2571" s="225" t="s">
        <v>597</v>
      </c>
      <c r="E2571" s="225" t="s">
        <v>619</v>
      </c>
    </row>
    <row r="2572" spans="2:5" ht="15.75" thickBot="1">
      <c r="B2572" s="225" t="s">
        <v>4382</v>
      </c>
      <c r="C2572" s="226">
        <v>512415</v>
      </c>
      <c r="D2572" s="225" t="s">
        <v>597</v>
      </c>
      <c r="E2572" s="225" t="s">
        <v>1018</v>
      </c>
    </row>
    <row r="2573" spans="2:5" ht="15.75" thickBot="1">
      <c r="B2573" s="225" t="s">
        <v>4383</v>
      </c>
      <c r="C2573" s="226">
        <v>500274</v>
      </c>
      <c r="D2573" s="225" t="s">
        <v>597</v>
      </c>
      <c r="E2573" s="225" t="s">
        <v>635</v>
      </c>
    </row>
    <row r="2574" spans="2:5" ht="15.75" thickBot="1">
      <c r="B2574" s="225" t="s">
        <v>4384</v>
      </c>
      <c r="C2574" s="226">
        <v>531810</v>
      </c>
      <c r="D2574" s="225" t="s">
        <v>597</v>
      </c>
      <c r="E2574" s="225" t="s">
        <v>920</v>
      </c>
    </row>
    <row r="2575" spans="2:5" ht="15.75" thickBot="1">
      <c r="B2575" s="225" t="s">
        <v>4385</v>
      </c>
      <c r="C2575" s="226">
        <v>531810</v>
      </c>
      <c r="D2575" s="225" t="s">
        <v>597</v>
      </c>
      <c r="E2575" s="225" t="s">
        <v>920</v>
      </c>
    </row>
    <row r="2576" spans="2:5" ht="15.75" thickBot="1">
      <c r="B2576" s="225" t="s">
        <v>4386</v>
      </c>
      <c r="C2576" s="226">
        <v>513335</v>
      </c>
      <c r="D2576" s="225" t="s">
        <v>4387</v>
      </c>
      <c r="E2576" s="225" t="s">
        <v>1517</v>
      </c>
    </row>
    <row r="2577" spans="2:5" ht="15.75" thickBot="1">
      <c r="B2577" s="225" t="s">
        <v>4388</v>
      </c>
      <c r="C2577" s="226">
        <v>532990</v>
      </c>
      <c r="D2577" s="225" t="s">
        <v>4389</v>
      </c>
      <c r="E2577" s="225" t="s">
        <v>629</v>
      </c>
    </row>
    <row r="2578" spans="2:5" ht="15.75" thickBot="1">
      <c r="B2578" s="225" t="s">
        <v>4390</v>
      </c>
      <c r="C2578" s="226">
        <v>500159</v>
      </c>
      <c r="D2578" s="225" t="s">
        <v>597</v>
      </c>
      <c r="E2578" s="225" t="s">
        <v>591</v>
      </c>
    </row>
    <row r="2579" spans="2:5" ht="15.75" thickBot="1">
      <c r="B2579" s="225" t="s">
        <v>4391</v>
      </c>
      <c r="C2579" s="226">
        <v>542650</v>
      </c>
      <c r="D2579" s="225" t="s">
        <v>4392</v>
      </c>
      <c r="E2579" s="225" t="s">
        <v>786</v>
      </c>
    </row>
    <row r="2580" spans="2:5" ht="15.75" thickBot="1">
      <c r="B2580" s="225" t="s">
        <v>4393</v>
      </c>
      <c r="C2580" s="226">
        <v>540150</v>
      </c>
      <c r="D2580" s="225" t="s">
        <v>597</v>
      </c>
      <c r="E2580" s="225" t="s">
        <v>995</v>
      </c>
    </row>
    <row r="2581" spans="2:5" ht="15.75" thickBot="1">
      <c r="B2581" s="225" t="s">
        <v>4394</v>
      </c>
      <c r="C2581" s="226">
        <v>513496</v>
      </c>
      <c r="D2581" s="225" t="s">
        <v>597</v>
      </c>
      <c r="E2581" s="225" t="s">
        <v>3112</v>
      </c>
    </row>
    <row r="2582" spans="2:5" ht="15.75" thickBot="1">
      <c r="B2582" s="225" t="s">
        <v>4395</v>
      </c>
      <c r="C2582" s="226">
        <v>531613</v>
      </c>
      <c r="D2582" s="225" t="s">
        <v>4396</v>
      </c>
      <c r="E2582" s="225" t="s">
        <v>1153</v>
      </c>
    </row>
    <row r="2583" spans="2:5" ht="15.75" thickBot="1">
      <c r="B2583" s="225" t="s">
        <v>4397</v>
      </c>
      <c r="C2583" s="226">
        <v>526622</v>
      </c>
      <c r="D2583" s="225" t="s">
        <v>597</v>
      </c>
      <c r="E2583" s="225" t="s">
        <v>918</v>
      </c>
    </row>
    <row r="2584" spans="2:5" ht="15.75" thickBot="1">
      <c r="B2584" s="225" t="s">
        <v>4398</v>
      </c>
      <c r="C2584" s="226">
        <v>526622</v>
      </c>
      <c r="D2584" s="225" t="s">
        <v>597</v>
      </c>
      <c r="E2584" s="225" t="s">
        <v>918</v>
      </c>
    </row>
    <row r="2585" spans="2:5" ht="15.75" thickBot="1">
      <c r="B2585" s="225" t="s">
        <v>4399</v>
      </c>
      <c r="C2585" s="226">
        <v>513721</v>
      </c>
      <c r="D2585" s="225" t="s">
        <v>597</v>
      </c>
      <c r="E2585" s="225" t="s">
        <v>629</v>
      </c>
    </row>
    <row r="2586" spans="2:5" ht="15.75" thickBot="1">
      <c r="B2586" s="225" t="s">
        <v>4400</v>
      </c>
      <c r="C2586" s="226">
        <v>532850</v>
      </c>
      <c r="D2586" s="225" t="s">
        <v>4401</v>
      </c>
      <c r="E2586" s="225" t="s">
        <v>1139</v>
      </c>
    </row>
    <row r="2587" spans="2:5" ht="15.75" thickBot="1">
      <c r="B2587" s="225" t="s">
        <v>4402</v>
      </c>
      <c r="C2587" s="226">
        <v>523343</v>
      </c>
      <c r="D2587" s="225" t="s">
        <v>597</v>
      </c>
      <c r="E2587" s="225" t="s">
        <v>614</v>
      </c>
    </row>
    <row r="2588" spans="2:5" ht="15.75" thickBot="1">
      <c r="B2588" s="225" t="s">
        <v>4403</v>
      </c>
      <c r="C2588" s="226">
        <v>523343</v>
      </c>
      <c r="D2588" s="225" t="s">
        <v>597</v>
      </c>
      <c r="E2588" s="225" t="s">
        <v>614</v>
      </c>
    </row>
    <row r="2589" spans="2:5" ht="15.75" thickBot="1">
      <c r="B2589" s="225" t="s">
        <v>4404</v>
      </c>
      <c r="C2589" s="226">
        <v>526251</v>
      </c>
      <c r="D2589" s="225" t="s">
        <v>597</v>
      </c>
      <c r="E2589" s="225" t="s">
        <v>580</v>
      </c>
    </row>
    <row r="2590" spans="2:5" ht="15.75" thickBot="1">
      <c r="B2590" s="225" t="s">
        <v>4405</v>
      </c>
      <c r="C2590" s="226">
        <v>500277</v>
      </c>
      <c r="D2590" s="225" t="s">
        <v>597</v>
      </c>
      <c r="E2590" s="225" t="s">
        <v>612</v>
      </c>
    </row>
    <row r="2591" spans="2:5" ht="15.75" thickBot="1">
      <c r="B2591" s="225" t="s">
        <v>4406</v>
      </c>
      <c r="C2591" s="226">
        <v>531192</v>
      </c>
      <c r="D2591" s="225" t="s">
        <v>597</v>
      </c>
      <c r="E2591" s="225" t="s">
        <v>614</v>
      </c>
    </row>
    <row r="2592" spans="2:5" ht="15.75" thickBot="1">
      <c r="B2592" s="225" t="s">
        <v>4407</v>
      </c>
      <c r="C2592" s="226">
        <v>540744</v>
      </c>
      <c r="D2592" s="225" t="s">
        <v>597</v>
      </c>
      <c r="E2592" s="225" t="s">
        <v>629</v>
      </c>
    </row>
    <row r="2593" spans="2:5" ht="15.75" thickBot="1">
      <c r="B2593" s="225" t="s">
        <v>4408</v>
      </c>
      <c r="C2593" s="226">
        <v>533310</v>
      </c>
      <c r="D2593" s="225" t="s">
        <v>4409</v>
      </c>
      <c r="E2593" s="225" t="s">
        <v>4410</v>
      </c>
    </row>
    <row r="2594" spans="2:5" ht="15.75" thickBot="1">
      <c r="B2594" s="225" t="s">
        <v>4411</v>
      </c>
      <c r="C2594" s="226">
        <v>526570</v>
      </c>
      <c r="D2594" s="225" t="s">
        <v>597</v>
      </c>
      <c r="E2594" s="225" t="s">
        <v>1125</v>
      </c>
    </row>
    <row r="2595" spans="2:5" ht="15.75" thickBot="1">
      <c r="B2595" s="225" t="s">
        <v>4412</v>
      </c>
      <c r="C2595" s="226">
        <v>538895</v>
      </c>
      <c r="D2595" s="225" t="s">
        <v>597</v>
      </c>
      <c r="E2595" s="225" t="s">
        <v>619</v>
      </c>
    </row>
    <row r="2596" spans="2:5" ht="15.75" thickBot="1">
      <c r="B2596" s="225" t="s">
        <v>4413</v>
      </c>
      <c r="C2596" s="226">
        <v>541337</v>
      </c>
      <c r="D2596" s="225" t="s">
        <v>597</v>
      </c>
      <c r="E2596" s="225" t="s">
        <v>874</v>
      </c>
    </row>
    <row r="2597" spans="2:5" ht="15.75" thickBot="1">
      <c r="B2597" s="225" t="s">
        <v>4414</v>
      </c>
      <c r="C2597" s="226">
        <v>531338</v>
      </c>
      <c r="D2597" s="225" t="s">
        <v>597</v>
      </c>
      <c r="E2597" s="225" t="s">
        <v>1125</v>
      </c>
    </row>
    <row r="2598" spans="2:5" ht="15.75" thickBot="1">
      <c r="B2598" s="225" t="s">
        <v>4415</v>
      </c>
      <c r="C2598" s="226">
        <v>511018</v>
      </c>
      <c r="D2598" s="225" t="s">
        <v>597</v>
      </c>
      <c r="E2598" s="225" t="s">
        <v>1018</v>
      </c>
    </row>
    <row r="2599" spans="2:5" ht="15.75" thickBot="1">
      <c r="B2599" s="225" t="s">
        <v>4416</v>
      </c>
      <c r="C2599" s="226">
        <v>507621</v>
      </c>
      <c r="D2599" s="225" t="s">
        <v>597</v>
      </c>
      <c r="E2599" s="225" t="s">
        <v>657</v>
      </c>
    </row>
    <row r="2600" spans="2:5" ht="15.75" thickBot="1">
      <c r="B2600" s="225" t="s">
        <v>4417</v>
      </c>
      <c r="C2600" s="226">
        <v>511187</v>
      </c>
      <c r="D2600" s="225" t="s">
        <v>597</v>
      </c>
      <c r="E2600" s="225" t="s">
        <v>1018</v>
      </c>
    </row>
    <row r="2601" spans="2:5" ht="15.75" thickBot="1">
      <c r="B2601" s="225" t="s">
        <v>4418</v>
      </c>
      <c r="C2601" s="225" t="s">
        <v>597</v>
      </c>
      <c r="D2601" s="225" t="s">
        <v>4419</v>
      </c>
      <c r="E2601" s="225" t="s">
        <v>608</v>
      </c>
    </row>
    <row r="2602" spans="2:5" ht="15.75" thickBot="1">
      <c r="B2602" s="225" t="s">
        <v>4420</v>
      </c>
      <c r="C2602" s="226">
        <v>531456</v>
      </c>
      <c r="D2602" s="225" t="s">
        <v>597</v>
      </c>
      <c r="E2602" s="225" t="s">
        <v>612</v>
      </c>
    </row>
    <row r="2603" spans="2:5" ht="15.75" thickBot="1">
      <c r="B2603" s="225" t="s">
        <v>4421</v>
      </c>
      <c r="C2603" s="226">
        <v>538962</v>
      </c>
      <c r="D2603" s="225" t="s">
        <v>4422</v>
      </c>
      <c r="E2603" s="225" t="s">
        <v>952</v>
      </c>
    </row>
    <row r="2604" spans="2:5" ht="15.75" thickBot="1">
      <c r="B2604" s="225" t="s">
        <v>4423</v>
      </c>
      <c r="C2604" s="226">
        <v>539303</v>
      </c>
      <c r="D2604" s="225" t="s">
        <v>597</v>
      </c>
      <c r="E2604" s="225" t="s">
        <v>614</v>
      </c>
    </row>
    <row r="2605" spans="2:5" ht="15.75" thickBot="1">
      <c r="B2605" s="225" t="s">
        <v>4424</v>
      </c>
      <c r="C2605" s="226">
        <v>532539</v>
      </c>
      <c r="D2605" s="225" t="s">
        <v>4425</v>
      </c>
      <c r="E2605" s="225" t="s">
        <v>952</v>
      </c>
    </row>
    <row r="2606" spans="2:5" ht="15.75" thickBot="1">
      <c r="B2606" s="225" t="s">
        <v>4426</v>
      </c>
      <c r="C2606" s="226">
        <v>517344</v>
      </c>
      <c r="D2606" s="225" t="s">
        <v>4427</v>
      </c>
      <c r="E2606" s="225" t="s">
        <v>690</v>
      </c>
    </row>
    <row r="2607" spans="2:5" ht="15.75" thickBot="1">
      <c r="B2607" s="225" t="s">
        <v>4428</v>
      </c>
      <c r="C2607" s="226">
        <v>517344</v>
      </c>
      <c r="D2607" s="225" t="s">
        <v>4427</v>
      </c>
      <c r="E2607" s="225" t="s">
        <v>690</v>
      </c>
    </row>
    <row r="2608" spans="2:5" ht="15.75" thickBot="1">
      <c r="B2608" s="225" t="s">
        <v>4429</v>
      </c>
      <c r="C2608" s="226">
        <v>532819</v>
      </c>
      <c r="D2608" s="225" t="s">
        <v>4430</v>
      </c>
      <c r="E2608" s="225" t="s">
        <v>583</v>
      </c>
    </row>
    <row r="2609" spans="2:5" ht="15.75" thickBot="1">
      <c r="B2609" s="225" t="s">
        <v>4431</v>
      </c>
      <c r="C2609" s="226">
        <v>523373</v>
      </c>
      <c r="D2609" s="225" t="s">
        <v>597</v>
      </c>
      <c r="E2609" s="225" t="s">
        <v>711</v>
      </c>
    </row>
    <row r="2610" spans="2:5" ht="15.75" thickBot="1">
      <c r="B2610" s="225" t="s">
        <v>4432</v>
      </c>
      <c r="C2610" s="226">
        <v>523373</v>
      </c>
      <c r="D2610" s="225" t="s">
        <v>597</v>
      </c>
      <c r="E2610" s="225" t="s">
        <v>711</v>
      </c>
    </row>
    <row r="2611" spans="2:5" ht="15.75" thickBot="1">
      <c r="B2611" s="225" t="s">
        <v>4433</v>
      </c>
      <c r="C2611" s="226">
        <v>532164</v>
      </c>
      <c r="D2611" s="225" t="s">
        <v>597</v>
      </c>
      <c r="E2611" s="225" t="s">
        <v>614</v>
      </c>
    </row>
    <row r="2612" spans="2:5" ht="15.75" thickBot="1">
      <c r="B2612" s="225" t="s">
        <v>4434</v>
      </c>
      <c r="C2612" s="226">
        <v>505797</v>
      </c>
      <c r="D2612" s="225" t="s">
        <v>597</v>
      </c>
      <c r="E2612" s="225" t="s">
        <v>782</v>
      </c>
    </row>
    <row r="2613" spans="2:5" ht="15.75" thickBot="1">
      <c r="B2613" s="225" t="s">
        <v>4435</v>
      </c>
      <c r="C2613" s="226">
        <v>500279</v>
      </c>
      <c r="D2613" s="225" t="s">
        <v>4436</v>
      </c>
      <c r="E2613" s="225" t="s">
        <v>966</v>
      </c>
    </row>
    <row r="2614" spans="2:5" ht="15.75" thickBot="1">
      <c r="B2614" s="225" t="s">
        <v>4437</v>
      </c>
      <c r="C2614" s="226">
        <v>505336</v>
      </c>
      <c r="D2614" s="225" t="s">
        <v>597</v>
      </c>
      <c r="E2614" s="225" t="s">
        <v>605</v>
      </c>
    </row>
    <row r="2615" spans="2:5" ht="15.75" thickBot="1">
      <c r="B2615" s="225" t="s">
        <v>4438</v>
      </c>
      <c r="C2615" s="226">
        <v>505336</v>
      </c>
      <c r="D2615" s="225" t="s">
        <v>597</v>
      </c>
      <c r="E2615" s="225" t="s">
        <v>605</v>
      </c>
    </row>
    <row r="2616" spans="2:5" ht="15.75" thickBot="1">
      <c r="B2616" s="225" t="s">
        <v>4439</v>
      </c>
      <c r="C2616" s="226">
        <v>526642</v>
      </c>
      <c r="D2616" s="225" t="s">
        <v>4440</v>
      </c>
      <c r="E2616" s="225" t="s">
        <v>1023</v>
      </c>
    </row>
    <row r="2617" spans="2:5" ht="15.75" thickBot="1">
      <c r="B2617" s="225" t="s">
        <v>4441</v>
      </c>
      <c r="C2617" s="226">
        <v>539220</v>
      </c>
      <c r="D2617" s="225" t="s">
        <v>597</v>
      </c>
      <c r="E2617" s="225" t="s">
        <v>711</v>
      </c>
    </row>
    <row r="2618" spans="2:5" ht="15.75" thickBot="1">
      <c r="B2618" s="225" t="s">
        <v>4442</v>
      </c>
      <c r="C2618" s="226">
        <v>541195</v>
      </c>
      <c r="D2618" s="225" t="s">
        <v>4443</v>
      </c>
      <c r="E2618" s="225" t="s">
        <v>920</v>
      </c>
    </row>
    <row r="2619" spans="2:5" ht="15.75" thickBot="1">
      <c r="B2619" s="225" t="s">
        <v>4444</v>
      </c>
      <c r="C2619" s="226">
        <v>539594</v>
      </c>
      <c r="D2619" s="225" t="s">
        <v>597</v>
      </c>
      <c r="E2619" s="225" t="s">
        <v>795</v>
      </c>
    </row>
    <row r="2620" spans="2:5" ht="15.75" thickBot="1">
      <c r="B2620" s="225" t="s">
        <v>4445</v>
      </c>
      <c r="C2620" s="225" t="s">
        <v>597</v>
      </c>
      <c r="D2620" s="225" t="s">
        <v>4446</v>
      </c>
      <c r="E2620" s="225" t="s">
        <v>608</v>
      </c>
    </row>
    <row r="2621" spans="2:5" ht="15.75" thickBot="1">
      <c r="B2621" s="225" t="s">
        <v>4447</v>
      </c>
      <c r="C2621" s="226">
        <v>523782</v>
      </c>
      <c r="D2621" s="225" t="s">
        <v>597</v>
      </c>
      <c r="E2621" s="225" t="s">
        <v>619</v>
      </c>
    </row>
    <row r="2622" spans="2:5" ht="15.75" thickBot="1">
      <c r="B2622" s="225" t="s">
        <v>4448</v>
      </c>
      <c r="C2622" s="226">
        <v>523782</v>
      </c>
      <c r="D2622" s="225" t="s">
        <v>597</v>
      </c>
      <c r="E2622" s="225" t="s">
        <v>619</v>
      </c>
    </row>
    <row r="2623" spans="2:5" ht="15.75" thickBot="1">
      <c r="B2623" s="225" t="s">
        <v>4449</v>
      </c>
      <c r="C2623" s="226">
        <v>540078</v>
      </c>
      <c r="D2623" s="225" t="s">
        <v>597</v>
      </c>
      <c r="E2623" s="225" t="s">
        <v>792</v>
      </c>
    </row>
    <row r="2624" spans="2:5" ht="15.75" thickBot="1">
      <c r="B2624" s="225" t="s">
        <v>4450</v>
      </c>
      <c r="C2624" s="225" t="s">
        <v>597</v>
      </c>
      <c r="D2624" s="225" t="s">
        <v>4451</v>
      </c>
      <c r="E2624" s="225" t="s">
        <v>608</v>
      </c>
    </row>
    <row r="2625" spans="2:5" ht="15.75" thickBot="1">
      <c r="B2625" s="225" t="s">
        <v>4452</v>
      </c>
      <c r="C2625" s="226">
        <v>522036</v>
      </c>
      <c r="D2625" s="225" t="s">
        <v>4453</v>
      </c>
      <c r="E2625" s="225" t="s">
        <v>782</v>
      </c>
    </row>
    <row r="2626" spans="2:5" ht="15.75" thickBot="1">
      <c r="B2626" s="225" t="s">
        <v>4454</v>
      </c>
      <c r="C2626" s="226">
        <v>522241</v>
      </c>
      <c r="D2626" s="225" t="s">
        <v>4455</v>
      </c>
      <c r="E2626" s="225" t="s">
        <v>1517</v>
      </c>
    </row>
    <row r="2627" spans="2:5" ht="15.75" thickBot="1">
      <c r="B2627" s="225" t="s">
        <v>4456</v>
      </c>
      <c r="C2627" s="226">
        <v>509196</v>
      </c>
      <c r="D2627" s="225" t="s">
        <v>4457</v>
      </c>
      <c r="E2627" s="225" t="s">
        <v>4458</v>
      </c>
    </row>
    <row r="2628" spans="2:5" ht="15.75" thickBot="1">
      <c r="B2628" s="225" t="s">
        <v>4459</v>
      </c>
      <c r="C2628" s="225" t="s">
        <v>597</v>
      </c>
      <c r="D2628" s="225" t="s">
        <v>4460</v>
      </c>
      <c r="E2628" s="225" t="s">
        <v>608</v>
      </c>
    </row>
    <row r="2629" spans="2:5" ht="15.75" thickBot="1">
      <c r="B2629" s="225" t="s">
        <v>4461</v>
      </c>
      <c r="C2629" s="226">
        <v>513377</v>
      </c>
      <c r="D2629" s="225" t="s">
        <v>4462</v>
      </c>
      <c r="E2629" s="225" t="s">
        <v>619</v>
      </c>
    </row>
    <row r="2630" spans="2:5" ht="15.75" thickBot="1">
      <c r="B2630" s="225" t="s">
        <v>4463</v>
      </c>
      <c r="C2630" s="226">
        <v>503772</v>
      </c>
      <c r="D2630" s="225" t="s">
        <v>597</v>
      </c>
      <c r="E2630" s="225" t="s">
        <v>619</v>
      </c>
    </row>
    <row r="2631" spans="2:5" ht="15.75" thickBot="1">
      <c r="B2631" s="225" t="s">
        <v>4464</v>
      </c>
      <c r="C2631" s="226">
        <v>503015</v>
      </c>
      <c r="D2631" s="225" t="s">
        <v>597</v>
      </c>
      <c r="E2631" s="225" t="s">
        <v>619</v>
      </c>
    </row>
    <row r="2632" spans="2:5" ht="15.75" thickBot="1">
      <c r="B2632" s="225" t="s">
        <v>4465</v>
      </c>
      <c r="C2632" s="226">
        <v>539762</v>
      </c>
      <c r="D2632" s="225" t="s">
        <v>597</v>
      </c>
      <c r="E2632" s="225" t="s">
        <v>795</v>
      </c>
    </row>
    <row r="2633" spans="2:5" ht="15.75" thickBot="1">
      <c r="B2633" s="225" t="s">
        <v>4466</v>
      </c>
      <c r="C2633" s="226">
        <v>519287</v>
      </c>
      <c r="D2633" s="225" t="s">
        <v>597</v>
      </c>
      <c r="E2633" s="225" t="s">
        <v>657</v>
      </c>
    </row>
    <row r="2634" spans="2:5" ht="15.75" thickBot="1">
      <c r="B2634" s="225" t="s">
        <v>4467</v>
      </c>
      <c r="C2634" s="226">
        <v>503015</v>
      </c>
      <c r="D2634" s="225" t="s">
        <v>597</v>
      </c>
      <c r="E2634" s="225" t="s">
        <v>619</v>
      </c>
    </row>
    <row r="2635" spans="2:5" ht="15.75" thickBot="1">
      <c r="B2635" s="225" t="s">
        <v>4468</v>
      </c>
      <c r="C2635" s="226">
        <v>509760</v>
      </c>
      <c r="D2635" s="225" t="s">
        <v>597</v>
      </c>
      <c r="E2635" s="225" t="s">
        <v>580</v>
      </c>
    </row>
    <row r="2636" spans="2:5" ht="15.75" thickBot="1">
      <c r="B2636" s="225" t="s">
        <v>4469</v>
      </c>
      <c r="C2636" s="226">
        <v>513303</v>
      </c>
      <c r="D2636" s="225" t="s">
        <v>4470</v>
      </c>
      <c r="E2636" s="225" t="s">
        <v>4471</v>
      </c>
    </row>
    <row r="2637" spans="2:5" ht="15.75" thickBot="1">
      <c r="B2637" s="225" t="s">
        <v>4472</v>
      </c>
      <c r="C2637" s="226">
        <v>537092</v>
      </c>
      <c r="D2637" s="225" t="s">
        <v>597</v>
      </c>
      <c r="E2637" s="225" t="s">
        <v>580</v>
      </c>
    </row>
    <row r="2638" spans="2:5" ht="15.75" thickBot="1">
      <c r="B2638" s="225" t="s">
        <v>4473</v>
      </c>
      <c r="C2638" s="226">
        <v>519003</v>
      </c>
      <c r="D2638" s="225" t="s">
        <v>597</v>
      </c>
      <c r="E2638" s="225" t="s">
        <v>795</v>
      </c>
    </row>
    <row r="2639" spans="2:5" ht="15.75" thickBot="1">
      <c r="B2639" s="225" t="s">
        <v>4474</v>
      </c>
      <c r="C2639" s="226">
        <v>500890</v>
      </c>
      <c r="D2639" s="225" t="s">
        <v>4475</v>
      </c>
      <c r="E2639" s="225" t="s">
        <v>1077</v>
      </c>
    </row>
    <row r="2640" spans="2:5" ht="15.75" thickBot="1">
      <c r="B2640" s="225" t="s">
        <v>4476</v>
      </c>
      <c r="C2640" s="226">
        <v>503776</v>
      </c>
      <c r="D2640" s="225" t="s">
        <v>597</v>
      </c>
      <c r="E2640" s="225" t="s">
        <v>741</v>
      </c>
    </row>
    <row r="2641" spans="2:5" ht="15.75" thickBot="1">
      <c r="B2641" s="225" t="s">
        <v>4477</v>
      </c>
      <c r="C2641" s="226">
        <v>506261</v>
      </c>
      <c r="D2641" s="225" t="s">
        <v>597</v>
      </c>
      <c r="E2641" s="225" t="s">
        <v>895</v>
      </c>
    </row>
    <row r="2642" spans="2:5" ht="15.75" thickBot="1">
      <c r="B2642" s="225" t="s">
        <v>4478</v>
      </c>
      <c r="C2642" s="225" t="s">
        <v>597</v>
      </c>
      <c r="D2642" s="225" t="s">
        <v>4479</v>
      </c>
      <c r="E2642" s="225" t="s">
        <v>608</v>
      </c>
    </row>
    <row r="2643" spans="2:5" ht="15.75" thickBot="1">
      <c r="B2643" s="225" t="s">
        <v>4480</v>
      </c>
      <c r="C2643" s="226">
        <v>531453</v>
      </c>
      <c r="D2643" s="225" t="s">
        <v>4481</v>
      </c>
      <c r="E2643" s="225" t="s">
        <v>612</v>
      </c>
    </row>
    <row r="2644" spans="2:5" ht="15.75" thickBot="1">
      <c r="B2644" s="225" t="s">
        <v>4482</v>
      </c>
      <c r="C2644" s="226">
        <v>530169</v>
      </c>
      <c r="D2644" s="225" t="s">
        <v>597</v>
      </c>
      <c r="E2644" s="225" t="s">
        <v>591</v>
      </c>
    </row>
    <row r="2645" spans="2:5" ht="15.75" thickBot="1">
      <c r="B2645" s="225" t="s">
        <v>4483</v>
      </c>
      <c r="C2645" s="226">
        <v>532140</v>
      </c>
      <c r="D2645" s="225" t="s">
        <v>597</v>
      </c>
      <c r="E2645" s="225" t="s">
        <v>612</v>
      </c>
    </row>
    <row r="2646" spans="2:5" ht="15.75" thickBot="1">
      <c r="B2646" s="225" t="s">
        <v>4484</v>
      </c>
      <c r="C2646" s="226">
        <v>530047</v>
      </c>
      <c r="D2646" s="225" t="s">
        <v>4485</v>
      </c>
      <c r="E2646" s="225" t="s">
        <v>612</v>
      </c>
    </row>
    <row r="2647" spans="2:5" ht="15.75" thickBot="1">
      <c r="B2647" s="225" t="s">
        <v>4486</v>
      </c>
      <c r="C2647" s="226">
        <v>533286</v>
      </c>
      <c r="D2647" s="225" t="s">
        <v>4487</v>
      </c>
      <c r="E2647" s="225" t="s">
        <v>577</v>
      </c>
    </row>
    <row r="2648" spans="2:5" ht="15.75" thickBot="1">
      <c r="B2648" s="225" t="s">
        <v>4488</v>
      </c>
      <c r="C2648" s="225" t="s">
        <v>597</v>
      </c>
      <c r="D2648" s="225" t="s">
        <v>4489</v>
      </c>
      <c r="E2648" s="225" t="s">
        <v>608</v>
      </c>
    </row>
    <row r="2649" spans="2:5" ht="15.75" thickBot="1">
      <c r="B2649" s="225" t="s">
        <v>4490</v>
      </c>
      <c r="C2649" s="226">
        <v>533080</v>
      </c>
      <c r="D2649" s="225" t="s">
        <v>4491</v>
      </c>
      <c r="E2649" s="225" t="s">
        <v>792</v>
      </c>
    </row>
    <row r="2650" spans="2:5" ht="15.75" thickBot="1">
      <c r="B2650" s="225" t="s">
        <v>4492</v>
      </c>
      <c r="C2650" s="226">
        <v>526263</v>
      </c>
      <c r="D2650" s="225" t="s">
        <v>4493</v>
      </c>
      <c r="E2650" s="225" t="s">
        <v>927</v>
      </c>
    </row>
    <row r="2651" spans="2:5" ht="15.75" thickBot="1">
      <c r="B2651" s="225" t="s">
        <v>4494</v>
      </c>
      <c r="C2651" s="226">
        <v>511551</v>
      </c>
      <c r="D2651" s="225" t="s">
        <v>597</v>
      </c>
      <c r="E2651" s="225" t="s">
        <v>580</v>
      </c>
    </row>
    <row r="2652" spans="2:5" ht="15.75" thickBot="1">
      <c r="B2652" s="225" t="s">
        <v>4495</v>
      </c>
      <c r="C2652" s="226">
        <v>535910</v>
      </c>
      <c r="D2652" s="225" t="s">
        <v>597</v>
      </c>
      <c r="E2652" s="225" t="s">
        <v>614</v>
      </c>
    </row>
    <row r="2653" spans="2:5" ht="15.75" thickBot="1">
      <c r="B2653" s="225" t="s">
        <v>4496</v>
      </c>
      <c r="C2653" s="226">
        <v>532078</v>
      </c>
      <c r="D2653" s="225" t="s">
        <v>597</v>
      </c>
      <c r="E2653" s="225" t="s">
        <v>629</v>
      </c>
    </row>
    <row r="2654" spans="2:5" ht="15.75" thickBot="1">
      <c r="B2654" s="225" t="s">
        <v>4497</v>
      </c>
      <c r="C2654" s="226">
        <v>513446</v>
      </c>
      <c r="D2654" s="225" t="s">
        <v>4498</v>
      </c>
      <c r="E2654" s="225" t="s">
        <v>629</v>
      </c>
    </row>
    <row r="2655" spans="2:5" ht="15.75" thickBot="1">
      <c r="B2655" s="225" t="s">
        <v>4499</v>
      </c>
      <c r="C2655" s="226">
        <v>532723</v>
      </c>
      <c r="D2655" s="225" t="s">
        <v>597</v>
      </c>
      <c r="E2655" s="225" t="s">
        <v>683</v>
      </c>
    </row>
    <row r="2656" spans="2:5" ht="15.75" thickBot="1">
      <c r="B2656" s="225" t="s">
        <v>4500</v>
      </c>
      <c r="C2656" s="226">
        <v>505343</v>
      </c>
      <c r="D2656" s="225" t="s">
        <v>597</v>
      </c>
      <c r="E2656" s="225" t="s">
        <v>1018</v>
      </c>
    </row>
    <row r="2657" spans="2:5" ht="15.75" thickBot="1">
      <c r="B2657" s="225" t="s">
        <v>4501</v>
      </c>
      <c r="C2657" s="226">
        <v>505343</v>
      </c>
      <c r="D2657" s="225" t="s">
        <v>597</v>
      </c>
      <c r="E2657" s="225" t="s">
        <v>1018</v>
      </c>
    </row>
    <row r="2658" spans="2:5" ht="15.75" thickBot="1">
      <c r="B2658" s="225" t="s">
        <v>4502</v>
      </c>
      <c r="C2658" s="226">
        <v>524084</v>
      </c>
      <c r="D2658" s="225" t="s">
        <v>4503</v>
      </c>
      <c r="E2658" s="225" t="s">
        <v>741</v>
      </c>
    </row>
    <row r="2659" spans="2:5" ht="15.75" thickBot="1">
      <c r="B2659" s="225" t="s">
        <v>4504</v>
      </c>
      <c r="C2659" s="226">
        <v>524084</v>
      </c>
      <c r="D2659" s="225" t="s">
        <v>4503</v>
      </c>
      <c r="E2659" s="225" t="s">
        <v>741</v>
      </c>
    </row>
    <row r="2660" spans="2:5" ht="15.75" thickBot="1">
      <c r="B2660" s="225" t="s">
        <v>4505</v>
      </c>
      <c r="C2660" s="226">
        <v>538836</v>
      </c>
      <c r="D2660" s="225" t="s">
        <v>4506</v>
      </c>
      <c r="E2660" s="225" t="s">
        <v>711</v>
      </c>
    </row>
    <row r="2661" spans="2:5" ht="15.75" thickBot="1">
      <c r="B2661" s="225" t="s">
        <v>4507</v>
      </c>
      <c r="C2661" s="226">
        <v>530167</v>
      </c>
      <c r="D2661" s="225" t="s">
        <v>597</v>
      </c>
      <c r="E2661" s="225" t="s">
        <v>614</v>
      </c>
    </row>
    <row r="2662" spans="2:5" ht="15.75" thickBot="1">
      <c r="B2662" s="225" t="s">
        <v>4508</v>
      </c>
      <c r="C2662" s="226">
        <v>539199</v>
      </c>
      <c r="D2662" s="225" t="s">
        <v>597</v>
      </c>
      <c r="E2662" s="225" t="s">
        <v>580</v>
      </c>
    </row>
    <row r="2663" spans="2:5" ht="15.75" thickBot="1">
      <c r="B2663" s="225" t="s">
        <v>4509</v>
      </c>
      <c r="C2663" s="226">
        <v>532621</v>
      </c>
      <c r="D2663" s="225" t="s">
        <v>4510</v>
      </c>
      <c r="E2663" s="225" t="s">
        <v>612</v>
      </c>
    </row>
    <row r="2664" spans="2:5" ht="15.75" thickBot="1">
      <c r="B2664" s="225" t="s">
        <v>4511</v>
      </c>
      <c r="C2664" s="226">
        <v>511549</v>
      </c>
      <c r="D2664" s="225" t="s">
        <v>597</v>
      </c>
      <c r="E2664" s="225" t="s">
        <v>614</v>
      </c>
    </row>
    <row r="2665" spans="2:5" ht="15.75" thickBot="1">
      <c r="B2665" s="225" t="s">
        <v>4512</v>
      </c>
      <c r="C2665" s="226">
        <v>500288</v>
      </c>
      <c r="D2665" s="225" t="s">
        <v>4513</v>
      </c>
      <c r="E2665" s="225" t="s">
        <v>635</v>
      </c>
    </row>
    <row r="2666" spans="2:5" ht="15.75" thickBot="1">
      <c r="B2666" s="225" t="s">
        <v>4514</v>
      </c>
      <c r="C2666" s="226">
        <v>526237</v>
      </c>
      <c r="D2666" s="225" t="s">
        <v>597</v>
      </c>
      <c r="E2666" s="225" t="s">
        <v>614</v>
      </c>
    </row>
    <row r="2667" spans="2:5" ht="15.75" thickBot="1">
      <c r="B2667" s="225" t="s">
        <v>4515</v>
      </c>
      <c r="C2667" s="226">
        <v>523160</v>
      </c>
      <c r="D2667" s="225" t="s">
        <v>597</v>
      </c>
      <c r="E2667" s="225" t="s">
        <v>782</v>
      </c>
    </row>
    <row r="2668" spans="2:5" ht="15.75" thickBot="1">
      <c r="B2668" s="225" t="s">
        <v>4516</v>
      </c>
      <c r="C2668" s="226">
        <v>523160</v>
      </c>
      <c r="D2668" s="225" t="s">
        <v>597</v>
      </c>
      <c r="E2668" s="225" t="s">
        <v>782</v>
      </c>
    </row>
    <row r="2669" spans="2:5" ht="15.75" thickBot="1">
      <c r="B2669" s="225" t="s">
        <v>4517</v>
      </c>
      <c r="C2669" s="226">
        <v>513305</v>
      </c>
      <c r="D2669" s="225" t="s">
        <v>4518</v>
      </c>
      <c r="E2669" s="225" t="s">
        <v>1018</v>
      </c>
    </row>
    <row r="2670" spans="2:5" ht="15.75" thickBot="1">
      <c r="B2670" s="225" t="s">
        <v>4519</v>
      </c>
      <c r="C2670" s="226">
        <v>532407</v>
      </c>
      <c r="D2670" s="225" t="s">
        <v>597</v>
      </c>
      <c r="E2670" s="225" t="s">
        <v>690</v>
      </c>
    </row>
    <row r="2671" spans="2:5" ht="15.75" thickBot="1">
      <c r="B2671" s="225" t="s">
        <v>4520</v>
      </c>
      <c r="C2671" s="225" t="s">
        <v>597</v>
      </c>
      <c r="D2671" s="225" t="s">
        <v>4521</v>
      </c>
      <c r="E2671" s="225" t="s">
        <v>688</v>
      </c>
    </row>
    <row r="2672" spans="2:5" ht="15.75" thickBot="1">
      <c r="B2672" s="225" t="s">
        <v>4522</v>
      </c>
      <c r="C2672" s="226">
        <v>517334</v>
      </c>
      <c r="D2672" s="225" t="s">
        <v>4523</v>
      </c>
      <c r="E2672" s="225" t="s">
        <v>952</v>
      </c>
    </row>
    <row r="2673" spans="2:5" ht="15.75" thickBot="1">
      <c r="B2673" s="225" t="s">
        <v>4524</v>
      </c>
      <c r="C2673" s="226">
        <v>532892</v>
      </c>
      <c r="D2673" s="225" t="s">
        <v>4525</v>
      </c>
      <c r="E2673" s="225" t="s">
        <v>614</v>
      </c>
    </row>
    <row r="2674" spans="2:5" ht="15.75" thickBot="1">
      <c r="B2674" s="225" t="s">
        <v>4526</v>
      </c>
      <c r="C2674" s="226">
        <v>590115</v>
      </c>
      <c r="D2674" s="225" t="s">
        <v>4527</v>
      </c>
      <c r="E2674" s="225" t="s">
        <v>580</v>
      </c>
    </row>
    <row r="2675" spans="2:5" ht="15.75" thickBot="1">
      <c r="B2675" s="225" t="s">
        <v>4528</v>
      </c>
      <c r="C2675" s="226">
        <v>533385</v>
      </c>
      <c r="D2675" s="225" t="s">
        <v>4529</v>
      </c>
      <c r="E2675" s="225" t="s">
        <v>580</v>
      </c>
    </row>
    <row r="2676" spans="2:5" ht="15.75" thickBot="1">
      <c r="B2676" s="225" t="s">
        <v>4530</v>
      </c>
      <c r="C2676" s="226">
        <v>507522</v>
      </c>
      <c r="D2676" s="225" t="s">
        <v>597</v>
      </c>
      <c r="E2676" s="225" t="s">
        <v>1229</v>
      </c>
    </row>
    <row r="2677" spans="2:5" ht="15.75" thickBot="1">
      <c r="B2677" s="225" t="s">
        <v>4531</v>
      </c>
      <c r="C2677" s="226">
        <v>526299</v>
      </c>
      <c r="D2677" s="225" t="s">
        <v>4532</v>
      </c>
      <c r="E2677" s="225" t="s">
        <v>583</v>
      </c>
    </row>
    <row r="2678" spans="2:5" ht="15.75" thickBot="1">
      <c r="B2678" s="225" t="s">
        <v>4533</v>
      </c>
      <c r="C2678" s="226">
        <v>500450</v>
      </c>
      <c r="D2678" s="225" t="s">
        <v>597</v>
      </c>
      <c r="E2678" s="225" t="s">
        <v>580</v>
      </c>
    </row>
    <row r="2679" spans="2:5" ht="15.75" thickBot="1">
      <c r="B2679" s="225" t="s">
        <v>4534</v>
      </c>
      <c r="C2679" s="226">
        <v>526143</v>
      </c>
      <c r="D2679" s="225" t="s">
        <v>597</v>
      </c>
      <c r="E2679" s="225" t="s">
        <v>792</v>
      </c>
    </row>
    <row r="2680" spans="2:5" ht="15.75" thickBot="1">
      <c r="B2680" s="225" t="s">
        <v>4535</v>
      </c>
      <c r="C2680" s="226">
        <v>532440</v>
      </c>
      <c r="D2680" s="225" t="s">
        <v>4536</v>
      </c>
      <c r="E2680" s="225" t="s">
        <v>2589</v>
      </c>
    </row>
    <row r="2681" spans="2:5" ht="15.75" thickBot="1">
      <c r="B2681" s="225" t="s">
        <v>4537</v>
      </c>
      <c r="C2681" s="226">
        <v>540809</v>
      </c>
      <c r="D2681" s="225" t="s">
        <v>597</v>
      </c>
      <c r="E2681" s="225" t="s">
        <v>619</v>
      </c>
    </row>
    <row r="2682" spans="2:5" ht="15.75" thickBot="1">
      <c r="B2682" s="225" t="s">
        <v>4538</v>
      </c>
      <c r="C2682" s="226">
        <v>500290</v>
      </c>
      <c r="D2682" s="225" t="s">
        <v>4539</v>
      </c>
      <c r="E2682" s="225" t="s">
        <v>1077</v>
      </c>
    </row>
    <row r="2683" spans="2:5" ht="15.75" thickBot="1">
      <c r="B2683" s="225" t="s">
        <v>4540</v>
      </c>
      <c r="C2683" s="226">
        <v>532376</v>
      </c>
      <c r="D2683" s="225" t="s">
        <v>4541</v>
      </c>
      <c r="E2683" s="225" t="s">
        <v>743</v>
      </c>
    </row>
    <row r="2684" spans="2:5" ht="15.75" thickBot="1">
      <c r="B2684" s="225" t="s">
        <v>4542</v>
      </c>
      <c r="C2684" s="226">
        <v>512065</v>
      </c>
      <c r="D2684" s="225" t="s">
        <v>597</v>
      </c>
      <c r="E2684" s="225" t="s">
        <v>614</v>
      </c>
    </row>
    <row r="2685" spans="2:5" ht="15.75" thickBot="1">
      <c r="B2685" s="225" t="s">
        <v>4543</v>
      </c>
      <c r="C2685" s="226">
        <v>532650</v>
      </c>
      <c r="D2685" s="225" t="s">
        <v>4544</v>
      </c>
      <c r="E2685" s="225" t="s">
        <v>920</v>
      </c>
    </row>
    <row r="2686" spans="2:5" ht="15.75" thickBot="1">
      <c r="B2686" s="225" t="s">
        <v>4545</v>
      </c>
      <c r="C2686" s="226">
        <v>508922</v>
      </c>
      <c r="D2686" s="225" t="s">
        <v>597</v>
      </c>
      <c r="E2686" s="225" t="s">
        <v>1643</v>
      </c>
    </row>
    <row r="2687" spans="2:5" ht="15.75" thickBot="1">
      <c r="B2687" s="225" t="s">
        <v>4546</v>
      </c>
      <c r="C2687" s="226">
        <v>508922</v>
      </c>
      <c r="D2687" s="225" t="s">
        <v>597</v>
      </c>
      <c r="E2687" s="225" t="s">
        <v>1643</v>
      </c>
    </row>
    <row r="2688" spans="2:5" ht="15.75" thickBot="1">
      <c r="B2688" s="225" t="s">
        <v>4547</v>
      </c>
      <c r="C2688" s="225" t="s">
        <v>597</v>
      </c>
      <c r="D2688" s="225" t="s">
        <v>4548</v>
      </c>
      <c r="E2688" s="225" t="s">
        <v>1643</v>
      </c>
    </row>
    <row r="2689" spans="2:5" ht="15.75" thickBot="1">
      <c r="B2689" s="225" t="s">
        <v>4549</v>
      </c>
      <c r="C2689" s="226">
        <v>542597</v>
      </c>
      <c r="D2689" s="225" t="s">
        <v>4550</v>
      </c>
      <c r="E2689" s="225" t="s">
        <v>963</v>
      </c>
    </row>
    <row r="2690" spans="2:5" ht="15.75" thickBot="1">
      <c r="B2690" s="225" t="s">
        <v>4551</v>
      </c>
      <c r="C2690" s="226">
        <v>534312</v>
      </c>
      <c r="D2690" s="225" t="s">
        <v>4552</v>
      </c>
      <c r="E2690" s="225" t="s">
        <v>702</v>
      </c>
    </row>
    <row r="2691" spans="2:5" ht="15.75" thickBot="1">
      <c r="B2691" s="225" t="s">
        <v>4553</v>
      </c>
      <c r="C2691" s="226">
        <v>531919</v>
      </c>
      <c r="D2691" s="225" t="s">
        <v>597</v>
      </c>
      <c r="E2691" s="225" t="s">
        <v>617</v>
      </c>
    </row>
    <row r="2692" spans="2:5" ht="15.75" thickBot="1">
      <c r="B2692" s="225" t="s">
        <v>4554</v>
      </c>
      <c r="C2692" s="226">
        <v>539819</v>
      </c>
      <c r="D2692" s="225" t="s">
        <v>597</v>
      </c>
      <c r="E2692" s="225" t="s">
        <v>580</v>
      </c>
    </row>
    <row r="2693" spans="2:5" ht="15.75" thickBot="1">
      <c r="B2693" s="225" t="s">
        <v>4555</v>
      </c>
      <c r="C2693" s="226">
        <v>538743</v>
      </c>
      <c r="D2693" s="225" t="s">
        <v>597</v>
      </c>
      <c r="E2693" s="225" t="s">
        <v>583</v>
      </c>
    </row>
    <row r="2694" spans="2:5" ht="15.75" thickBot="1">
      <c r="B2694" s="225" t="s">
        <v>4556</v>
      </c>
      <c r="C2694" s="226">
        <v>532097</v>
      </c>
      <c r="D2694" s="225" t="s">
        <v>4557</v>
      </c>
      <c r="E2694" s="225" t="s">
        <v>995</v>
      </c>
    </row>
    <row r="2695" spans="2:5" ht="15.75" thickBot="1">
      <c r="B2695" s="225" t="s">
        <v>4558</v>
      </c>
      <c r="C2695" s="226">
        <v>500460</v>
      </c>
      <c r="D2695" s="225" t="s">
        <v>4559</v>
      </c>
      <c r="E2695" s="225" t="s">
        <v>629</v>
      </c>
    </row>
    <row r="2696" spans="2:5" ht="15.75" thickBot="1">
      <c r="B2696" s="225" t="s">
        <v>4560</v>
      </c>
      <c r="C2696" s="226">
        <v>523832</v>
      </c>
      <c r="D2696" s="225" t="s">
        <v>4561</v>
      </c>
      <c r="E2696" s="225" t="s">
        <v>715</v>
      </c>
    </row>
    <row r="2697" spans="2:5" ht="15.75" thickBot="1">
      <c r="B2697" s="225" t="s">
        <v>4562</v>
      </c>
      <c r="C2697" s="226">
        <v>530341</v>
      </c>
      <c r="D2697" s="225" t="s">
        <v>597</v>
      </c>
      <c r="E2697" s="225" t="s">
        <v>580</v>
      </c>
    </row>
    <row r="2698" spans="2:5" ht="15.75" thickBot="1">
      <c r="B2698" s="225" t="s">
        <v>4563</v>
      </c>
      <c r="C2698" s="226">
        <v>535204</v>
      </c>
      <c r="D2698" s="225" t="s">
        <v>597</v>
      </c>
      <c r="E2698" s="225" t="s">
        <v>619</v>
      </c>
    </row>
    <row r="2699" spans="2:5" ht="15.75" thickBot="1">
      <c r="B2699" s="225" t="s">
        <v>4564</v>
      </c>
      <c r="C2699" s="226">
        <v>532357</v>
      </c>
      <c r="D2699" s="225" t="s">
        <v>4565</v>
      </c>
      <c r="E2699" s="225" t="s">
        <v>600</v>
      </c>
    </row>
    <row r="2700" spans="2:5" ht="15.75" thickBot="1">
      <c r="B2700" s="225" t="s">
        <v>4566</v>
      </c>
      <c r="C2700" s="226">
        <v>501477</v>
      </c>
      <c r="D2700" s="225" t="s">
        <v>597</v>
      </c>
      <c r="E2700" s="225" t="s">
        <v>619</v>
      </c>
    </row>
    <row r="2701" spans="2:5" ht="15.75" thickBot="1">
      <c r="B2701" s="225" t="s">
        <v>4567</v>
      </c>
      <c r="C2701" s="226">
        <v>501477</v>
      </c>
      <c r="D2701" s="225" t="s">
        <v>597</v>
      </c>
      <c r="E2701" s="225" t="s">
        <v>619</v>
      </c>
    </row>
    <row r="2702" spans="2:5" ht="15.75" thickBot="1">
      <c r="B2702" s="225" t="s">
        <v>4568</v>
      </c>
      <c r="C2702" s="226">
        <v>534091</v>
      </c>
      <c r="D2702" s="225" t="s">
        <v>4569</v>
      </c>
      <c r="E2702" s="225" t="s">
        <v>617</v>
      </c>
    </row>
    <row r="2703" spans="2:5" ht="15.75" thickBot="1">
      <c r="B2703" s="225" t="s">
        <v>4570</v>
      </c>
      <c r="C2703" s="226">
        <v>534091</v>
      </c>
      <c r="D2703" s="225" t="s">
        <v>4569</v>
      </c>
      <c r="E2703" s="225" t="s">
        <v>617</v>
      </c>
    </row>
    <row r="2704" spans="2:5" ht="15.75" thickBot="1">
      <c r="B2704" s="225" t="s">
        <v>4571</v>
      </c>
      <c r="C2704" s="226">
        <v>526169</v>
      </c>
      <c r="D2704" s="225" t="s">
        <v>597</v>
      </c>
      <c r="E2704" s="225" t="s">
        <v>1077</v>
      </c>
    </row>
    <row r="2705" spans="2:5" ht="15.75" thickBot="1">
      <c r="B2705" s="225" t="s">
        <v>4572</v>
      </c>
      <c r="C2705" s="226">
        <v>526169</v>
      </c>
      <c r="D2705" s="225" t="s">
        <v>597</v>
      </c>
      <c r="E2705" s="225" t="s">
        <v>1077</v>
      </c>
    </row>
    <row r="2706" spans="2:5" ht="15.75" thickBot="1">
      <c r="B2706" s="225" t="s">
        <v>4573</v>
      </c>
      <c r="C2706" s="226">
        <v>505594</v>
      </c>
      <c r="D2706" s="225" t="s">
        <v>597</v>
      </c>
      <c r="E2706" s="225" t="s">
        <v>1018</v>
      </c>
    </row>
    <row r="2707" spans="2:5" ht="15.75" thickBot="1">
      <c r="B2707" s="225" t="s">
        <v>4574</v>
      </c>
      <c r="C2707" s="226">
        <v>504356</v>
      </c>
      <c r="D2707" s="225" t="s">
        <v>597</v>
      </c>
      <c r="E2707" s="225" t="s">
        <v>1018</v>
      </c>
    </row>
    <row r="2708" spans="2:5" ht="15.75" thickBot="1">
      <c r="B2708" s="225" t="s">
        <v>4575</v>
      </c>
      <c r="C2708" s="226">
        <v>520059</v>
      </c>
      <c r="D2708" s="225" t="s">
        <v>4576</v>
      </c>
      <c r="E2708" s="225" t="s">
        <v>952</v>
      </c>
    </row>
    <row r="2709" spans="2:5" ht="15.75" thickBot="1">
      <c r="B2709" s="225" t="s">
        <v>4577</v>
      </c>
      <c r="C2709" s="226">
        <v>520043</v>
      </c>
      <c r="D2709" s="225" t="s">
        <v>4578</v>
      </c>
      <c r="E2709" s="225" t="s">
        <v>952</v>
      </c>
    </row>
    <row r="2710" spans="2:5" ht="15.75" thickBot="1">
      <c r="B2710" s="225" t="s">
        <v>4579</v>
      </c>
      <c r="C2710" s="226">
        <v>511200</v>
      </c>
      <c r="D2710" s="225" t="s">
        <v>597</v>
      </c>
      <c r="E2710" s="225" t="s">
        <v>1018</v>
      </c>
    </row>
    <row r="2711" spans="2:5" ht="15.75" thickBot="1">
      <c r="B2711" s="225" t="s">
        <v>4580</v>
      </c>
      <c r="C2711" s="226">
        <v>511401</v>
      </c>
      <c r="D2711" s="225" t="s">
        <v>4581</v>
      </c>
      <c r="E2711" s="225" t="s">
        <v>580</v>
      </c>
    </row>
    <row r="2712" spans="2:5" ht="15.75" thickBot="1">
      <c r="B2712" s="225" t="s">
        <v>4582</v>
      </c>
      <c r="C2712" s="226">
        <v>531821</v>
      </c>
      <c r="D2712" s="225" t="s">
        <v>597</v>
      </c>
      <c r="E2712" s="225" t="s">
        <v>580</v>
      </c>
    </row>
    <row r="2713" spans="2:5" ht="15.75" thickBot="1">
      <c r="B2713" s="225" t="s">
        <v>4583</v>
      </c>
      <c r="C2713" s="226">
        <v>515037</v>
      </c>
      <c r="D2713" s="225" t="s">
        <v>4584</v>
      </c>
      <c r="E2713" s="225" t="s">
        <v>874</v>
      </c>
    </row>
    <row r="2714" spans="2:5" ht="15.75" thickBot="1">
      <c r="B2714" s="225" t="s">
        <v>4585</v>
      </c>
      <c r="C2714" s="226">
        <v>540366</v>
      </c>
      <c r="D2714" s="225" t="s">
        <v>4586</v>
      </c>
      <c r="E2714" s="225" t="s">
        <v>1336</v>
      </c>
    </row>
    <row r="2715" spans="2:5" ht="15.75" thickBot="1">
      <c r="B2715" s="225" t="s">
        <v>4587</v>
      </c>
      <c r="C2715" s="226">
        <v>511766</v>
      </c>
      <c r="D2715" s="225" t="s">
        <v>4588</v>
      </c>
      <c r="E2715" s="225" t="s">
        <v>614</v>
      </c>
    </row>
    <row r="2716" spans="2:5" ht="15.75" thickBot="1">
      <c r="B2716" s="225" t="s">
        <v>4589</v>
      </c>
      <c r="C2716" s="226">
        <v>533398</v>
      </c>
      <c r="D2716" s="225" t="s">
        <v>4590</v>
      </c>
      <c r="E2716" s="225" t="s">
        <v>614</v>
      </c>
    </row>
    <row r="2717" spans="2:5" ht="15.75" thickBot="1">
      <c r="B2717" s="225" t="s">
        <v>4591</v>
      </c>
      <c r="C2717" s="226">
        <v>532991</v>
      </c>
      <c r="D2717" s="225" t="s">
        <v>4592</v>
      </c>
      <c r="E2717" s="225" t="s">
        <v>683</v>
      </c>
    </row>
    <row r="2718" spans="2:5" ht="15.75" thickBot="1">
      <c r="B2718" s="225" t="s">
        <v>4593</v>
      </c>
      <c r="C2718" s="226">
        <v>538862</v>
      </c>
      <c r="D2718" s="225" t="s">
        <v>597</v>
      </c>
      <c r="E2718" s="225" t="s">
        <v>580</v>
      </c>
    </row>
    <row r="2719" spans="2:5" ht="15.75" thickBot="1">
      <c r="B2719" s="225" t="s">
        <v>4594</v>
      </c>
      <c r="C2719" s="226">
        <v>506734</v>
      </c>
      <c r="D2719" s="225" t="s">
        <v>597</v>
      </c>
      <c r="E2719" s="225" t="s">
        <v>645</v>
      </c>
    </row>
    <row r="2720" spans="2:5" ht="15.75" thickBot="1">
      <c r="B2720" s="225" t="s">
        <v>4595</v>
      </c>
      <c r="C2720" s="226">
        <v>535205</v>
      </c>
      <c r="D2720" s="225" t="s">
        <v>597</v>
      </c>
      <c r="E2720" s="225" t="s">
        <v>619</v>
      </c>
    </row>
    <row r="2721" spans="2:5" ht="15.75" thickBot="1">
      <c r="B2721" s="225" t="s">
        <v>4596</v>
      </c>
      <c r="C2721" s="225" t="s">
        <v>597</v>
      </c>
      <c r="D2721" s="225" t="s">
        <v>4597</v>
      </c>
      <c r="E2721" s="225" t="s">
        <v>688</v>
      </c>
    </row>
    <row r="2722" spans="2:5" ht="15.75" thickBot="1">
      <c r="B2722" s="225" t="s">
        <v>4598</v>
      </c>
      <c r="C2722" s="226">
        <v>512024</v>
      </c>
      <c r="D2722" s="225" t="s">
        <v>597</v>
      </c>
      <c r="E2722" s="225" t="s">
        <v>671</v>
      </c>
    </row>
    <row r="2723" spans="2:5" ht="15.75" thickBot="1">
      <c r="B2723" s="225" t="s">
        <v>4599</v>
      </c>
      <c r="C2723" s="226">
        <v>530897</v>
      </c>
      <c r="D2723" s="225" t="s">
        <v>597</v>
      </c>
      <c r="E2723" s="225" t="s">
        <v>786</v>
      </c>
    </row>
    <row r="2724" spans="2:5" ht="15.75" thickBot="1">
      <c r="B2724" s="225" t="s">
        <v>4600</v>
      </c>
      <c r="C2724" s="226">
        <v>516082</v>
      </c>
      <c r="D2724" s="225" t="s">
        <v>4601</v>
      </c>
      <c r="E2724" s="225" t="s">
        <v>591</v>
      </c>
    </row>
    <row r="2725" spans="2:5" ht="15.75" thickBot="1">
      <c r="B2725" s="225" t="s">
        <v>4602</v>
      </c>
      <c r="C2725" s="226">
        <v>532623</v>
      </c>
      <c r="D2725" s="225" t="s">
        <v>597</v>
      </c>
      <c r="E2725" s="225" t="s">
        <v>619</v>
      </c>
    </row>
    <row r="2726" spans="2:5" ht="15.75" thickBot="1">
      <c r="B2726" s="225" t="s">
        <v>4603</v>
      </c>
      <c r="C2726" s="226">
        <v>512279</v>
      </c>
      <c r="D2726" s="225" t="s">
        <v>597</v>
      </c>
      <c r="E2726" s="225" t="s">
        <v>1018</v>
      </c>
    </row>
    <row r="2727" spans="2:5" ht="15.75" thickBot="1">
      <c r="B2727" s="225" t="s">
        <v>4604</v>
      </c>
      <c r="C2727" s="226">
        <v>524709</v>
      </c>
      <c r="D2727" s="225" t="s">
        <v>4605</v>
      </c>
      <c r="E2727" s="225" t="s">
        <v>741</v>
      </c>
    </row>
    <row r="2728" spans="2:5" ht="15.75" thickBot="1">
      <c r="B2728" s="225" t="s">
        <v>4606</v>
      </c>
      <c r="C2728" s="225" t="s">
        <v>597</v>
      </c>
      <c r="D2728" s="225" t="s">
        <v>4607</v>
      </c>
      <c r="E2728" s="225" t="s">
        <v>688</v>
      </c>
    </row>
    <row r="2729" spans="2:5" ht="15.75" thickBot="1">
      <c r="B2729" s="225" t="s">
        <v>4608</v>
      </c>
      <c r="C2729" s="226">
        <v>531832</v>
      </c>
      <c r="D2729" s="225" t="s">
        <v>597</v>
      </c>
      <c r="E2729" s="225" t="s">
        <v>795</v>
      </c>
    </row>
    <row r="2730" spans="2:5" ht="15.75" thickBot="1">
      <c r="B2730" s="225" t="s">
        <v>4609</v>
      </c>
      <c r="C2730" s="226">
        <v>539917</v>
      </c>
      <c r="D2730" s="225" t="s">
        <v>4610</v>
      </c>
      <c r="E2730" s="225" t="s">
        <v>1105</v>
      </c>
    </row>
    <row r="2731" spans="2:5" ht="15.75" thickBot="1">
      <c r="B2731" s="225" t="s">
        <v>4611</v>
      </c>
      <c r="C2731" s="226">
        <v>534184</v>
      </c>
      <c r="D2731" s="225" t="s">
        <v>4612</v>
      </c>
      <c r="E2731" s="225" t="s">
        <v>660</v>
      </c>
    </row>
    <row r="2732" spans="2:5" ht="15.75" thickBot="1">
      <c r="B2732" s="225" t="s">
        <v>4613</v>
      </c>
      <c r="C2732" s="226">
        <v>532362</v>
      </c>
      <c r="D2732" s="225" t="s">
        <v>597</v>
      </c>
      <c r="E2732" s="225" t="s">
        <v>629</v>
      </c>
    </row>
    <row r="2733" spans="2:5" ht="15.75" thickBot="1">
      <c r="B2733" s="225" t="s">
        <v>4614</v>
      </c>
      <c r="C2733" s="226">
        <v>532895</v>
      </c>
      <c r="D2733" s="225" t="s">
        <v>4615</v>
      </c>
      <c r="E2733" s="225" t="s">
        <v>617</v>
      </c>
    </row>
    <row r="2734" spans="2:5" ht="15.75" thickBot="1">
      <c r="B2734" s="225" t="s">
        <v>4616</v>
      </c>
      <c r="C2734" s="226">
        <v>521109</v>
      </c>
      <c r="D2734" s="225" t="s">
        <v>4617</v>
      </c>
      <c r="E2734" s="225" t="s">
        <v>612</v>
      </c>
    </row>
    <row r="2735" spans="2:5" ht="15.75" thickBot="1">
      <c r="B2735" s="225" t="s">
        <v>4618</v>
      </c>
      <c r="C2735" s="226">
        <v>532952</v>
      </c>
      <c r="D2735" s="225" t="s">
        <v>4619</v>
      </c>
      <c r="E2735" s="225" t="s">
        <v>617</v>
      </c>
    </row>
    <row r="2736" spans="2:5" ht="15.75" thickBot="1">
      <c r="B2736" s="225" t="s">
        <v>4620</v>
      </c>
      <c r="C2736" s="226">
        <v>519136</v>
      </c>
      <c r="D2736" s="225" t="s">
        <v>4621</v>
      </c>
      <c r="E2736" s="225" t="s">
        <v>612</v>
      </c>
    </row>
    <row r="2737" spans="2:5" ht="15.75" thickBot="1">
      <c r="B2737" s="225" t="s">
        <v>4622</v>
      </c>
      <c r="C2737" s="226">
        <v>523391</v>
      </c>
      <c r="D2737" s="225" t="s">
        <v>4623</v>
      </c>
      <c r="E2737" s="225" t="s">
        <v>612</v>
      </c>
    </row>
    <row r="2738" spans="2:5" ht="15.75" thickBot="1">
      <c r="B2738" s="225" t="s">
        <v>4624</v>
      </c>
      <c r="C2738" s="226">
        <v>500296</v>
      </c>
      <c r="D2738" s="225" t="s">
        <v>4625</v>
      </c>
      <c r="E2738" s="225" t="s">
        <v>612</v>
      </c>
    </row>
    <row r="2739" spans="2:5" ht="15.75" thickBot="1">
      <c r="B2739" s="225" t="s">
        <v>4626</v>
      </c>
      <c r="C2739" s="226">
        <v>541418</v>
      </c>
      <c r="D2739" s="225" t="s">
        <v>597</v>
      </c>
      <c r="E2739" s="225" t="s">
        <v>657</v>
      </c>
    </row>
    <row r="2740" spans="2:5" ht="15.75" thickBot="1">
      <c r="B2740" s="225" t="s">
        <v>4627</v>
      </c>
      <c r="C2740" s="226">
        <v>531212</v>
      </c>
      <c r="D2740" s="225" t="s">
        <v>597</v>
      </c>
      <c r="E2740" s="225" t="s">
        <v>614</v>
      </c>
    </row>
    <row r="2741" spans="2:5" ht="15.75" thickBot="1">
      <c r="B2741" s="225" t="s">
        <v>4628</v>
      </c>
      <c r="C2741" s="226">
        <v>532256</v>
      </c>
      <c r="D2741" s="225" t="s">
        <v>4629</v>
      </c>
      <c r="E2741" s="225" t="s">
        <v>614</v>
      </c>
    </row>
    <row r="2742" spans="2:5" ht="15.75" thickBot="1">
      <c r="B2742" s="225" t="s">
        <v>4630</v>
      </c>
      <c r="C2742" s="226">
        <v>538395</v>
      </c>
      <c r="D2742" s="225" t="s">
        <v>597</v>
      </c>
      <c r="E2742" s="225" t="s">
        <v>580</v>
      </c>
    </row>
    <row r="2743" spans="2:5" ht="15.75" thickBot="1">
      <c r="B2743" s="225" t="s">
        <v>4631</v>
      </c>
      <c r="C2743" s="226">
        <v>532641</v>
      </c>
      <c r="D2743" s="225" t="s">
        <v>4632</v>
      </c>
      <c r="E2743" s="225" t="s">
        <v>612</v>
      </c>
    </row>
    <row r="2744" spans="2:5" ht="15.75" thickBot="1">
      <c r="B2744" s="225" t="s">
        <v>4633</v>
      </c>
      <c r="C2744" s="225" t="s">
        <v>597</v>
      </c>
      <c r="D2744" s="225" t="s">
        <v>4634</v>
      </c>
      <c r="E2744" s="225" t="s">
        <v>608</v>
      </c>
    </row>
    <row r="2745" spans="2:5" ht="15.75" thickBot="1">
      <c r="B2745" s="225" t="s">
        <v>4635</v>
      </c>
      <c r="C2745" s="226">
        <v>539551</v>
      </c>
      <c r="D2745" s="225" t="s">
        <v>4636</v>
      </c>
      <c r="E2745" s="225" t="s">
        <v>1067</v>
      </c>
    </row>
    <row r="2746" spans="2:5" ht="15.75" thickBot="1">
      <c r="B2746" s="225" t="s">
        <v>4637</v>
      </c>
      <c r="C2746" s="226">
        <v>540080</v>
      </c>
      <c r="D2746" s="225" t="s">
        <v>597</v>
      </c>
      <c r="E2746" s="225" t="s">
        <v>629</v>
      </c>
    </row>
    <row r="2747" spans="2:5" ht="15.75" thickBot="1">
      <c r="B2747" s="225" t="s">
        <v>4638</v>
      </c>
      <c r="C2747" s="226">
        <v>519455</v>
      </c>
      <c r="D2747" s="225" t="s">
        <v>597</v>
      </c>
      <c r="E2747" s="225" t="s">
        <v>711</v>
      </c>
    </row>
    <row r="2748" spans="2:5" ht="15.75" thickBot="1">
      <c r="B2748" s="225" t="s">
        <v>4639</v>
      </c>
      <c r="C2748" s="226">
        <v>540204</v>
      </c>
      <c r="D2748" s="225" t="s">
        <v>4640</v>
      </c>
      <c r="E2748" s="225" t="s">
        <v>681</v>
      </c>
    </row>
    <row r="2749" spans="2:5" ht="15.75" thickBot="1">
      <c r="B2749" s="225" t="s">
        <v>4641</v>
      </c>
      <c r="C2749" s="226">
        <v>531416</v>
      </c>
      <c r="D2749" s="225" t="s">
        <v>597</v>
      </c>
      <c r="E2749" s="225" t="s">
        <v>683</v>
      </c>
    </row>
    <row r="2750" spans="2:5" ht="15.75" thickBot="1">
      <c r="B2750" s="225" t="s">
        <v>4642</v>
      </c>
      <c r="C2750" s="225" t="s">
        <v>597</v>
      </c>
      <c r="D2750" s="225" t="s">
        <v>4643</v>
      </c>
      <c r="E2750" s="225" t="s">
        <v>608</v>
      </c>
    </row>
    <row r="2751" spans="2:5" ht="15.75" thickBot="1">
      <c r="B2751" s="225" t="s">
        <v>4644</v>
      </c>
      <c r="C2751" s="226">
        <v>526739</v>
      </c>
      <c r="D2751" s="225" t="s">
        <v>597</v>
      </c>
      <c r="E2751" s="225" t="s">
        <v>757</v>
      </c>
    </row>
    <row r="2752" spans="2:5" ht="15.75" thickBot="1">
      <c r="B2752" s="225" t="s">
        <v>4645</v>
      </c>
      <c r="C2752" s="226">
        <v>517431</v>
      </c>
      <c r="D2752" s="225" t="s">
        <v>4646</v>
      </c>
      <c r="E2752" s="225" t="s">
        <v>717</v>
      </c>
    </row>
    <row r="2753" spans="2:5" ht="15.75" thickBot="1">
      <c r="B2753" s="225" t="s">
        <v>4647</v>
      </c>
      <c r="C2753" s="226">
        <v>539595</v>
      </c>
      <c r="D2753" s="225" t="s">
        <v>597</v>
      </c>
      <c r="E2753" s="225" t="s">
        <v>580</v>
      </c>
    </row>
    <row r="2754" spans="2:5" ht="15.75" thickBot="1">
      <c r="B2754" s="225" t="s">
        <v>4648</v>
      </c>
      <c r="C2754" s="226">
        <v>524816</v>
      </c>
      <c r="D2754" s="225" t="s">
        <v>4649</v>
      </c>
      <c r="E2754" s="225" t="s">
        <v>635</v>
      </c>
    </row>
    <row r="2755" spans="2:5" ht="15.75" thickBot="1">
      <c r="B2755" s="225" t="s">
        <v>4650</v>
      </c>
      <c r="C2755" s="226">
        <v>537291</v>
      </c>
      <c r="D2755" s="225" t="s">
        <v>4651</v>
      </c>
      <c r="E2755" s="225" t="s">
        <v>795</v>
      </c>
    </row>
    <row r="2756" spans="2:5" ht="15.75" thickBot="1">
      <c r="B2756" s="225" t="s">
        <v>4652</v>
      </c>
      <c r="C2756" s="226">
        <v>537291</v>
      </c>
      <c r="D2756" s="225" t="s">
        <v>4651</v>
      </c>
      <c r="E2756" s="225" t="s">
        <v>795</v>
      </c>
    </row>
    <row r="2757" spans="2:5" ht="15.75" thickBot="1">
      <c r="B2757" s="225" t="s">
        <v>4653</v>
      </c>
      <c r="C2757" s="226">
        <v>502407</v>
      </c>
      <c r="D2757" s="225" t="s">
        <v>597</v>
      </c>
      <c r="E2757" s="225" t="s">
        <v>591</v>
      </c>
    </row>
    <row r="2758" spans="2:5" ht="15.75" thickBot="1">
      <c r="B2758" s="225" t="s">
        <v>4654</v>
      </c>
      <c r="C2758" s="226">
        <v>532234</v>
      </c>
      <c r="D2758" s="225" t="s">
        <v>4655</v>
      </c>
      <c r="E2758" s="225" t="s">
        <v>902</v>
      </c>
    </row>
    <row r="2759" spans="2:5" ht="15.75" thickBot="1">
      <c r="B2759" s="225" t="s">
        <v>4656</v>
      </c>
      <c r="C2759" s="226">
        <v>523630</v>
      </c>
      <c r="D2759" s="225" t="s">
        <v>4657</v>
      </c>
      <c r="E2759" s="225" t="s">
        <v>1105</v>
      </c>
    </row>
    <row r="2760" spans="2:5" ht="15.75" thickBot="1">
      <c r="B2760" s="225" t="s">
        <v>4658</v>
      </c>
      <c r="C2760" s="226">
        <v>531289</v>
      </c>
      <c r="D2760" s="225" t="s">
        <v>597</v>
      </c>
      <c r="E2760" s="225" t="s">
        <v>920</v>
      </c>
    </row>
    <row r="2761" spans="2:5" ht="15.75" thickBot="1">
      <c r="B2761" s="225" t="s">
        <v>4659</v>
      </c>
      <c r="C2761" s="226">
        <v>531651</v>
      </c>
      <c r="D2761" s="225" t="s">
        <v>597</v>
      </c>
      <c r="E2761" s="225" t="s">
        <v>629</v>
      </c>
    </row>
    <row r="2762" spans="2:5" ht="15.75" thickBot="1">
      <c r="B2762" s="225" t="s">
        <v>4660</v>
      </c>
      <c r="C2762" s="226">
        <v>507813</v>
      </c>
      <c r="D2762" s="225" t="s">
        <v>597</v>
      </c>
      <c r="E2762" s="225" t="s">
        <v>1633</v>
      </c>
    </row>
    <row r="2763" spans="2:5" ht="15.75" thickBot="1">
      <c r="B2763" s="225" t="s">
        <v>4661</v>
      </c>
      <c r="C2763" s="226">
        <v>500298</v>
      </c>
      <c r="D2763" s="225" t="s">
        <v>597</v>
      </c>
      <c r="E2763" s="225" t="s">
        <v>645</v>
      </c>
    </row>
    <row r="2764" spans="2:5" ht="15.75" thickBot="1">
      <c r="B2764" s="225" t="s">
        <v>4662</v>
      </c>
      <c r="C2764" s="226">
        <v>526616</v>
      </c>
      <c r="D2764" s="225" t="s">
        <v>597</v>
      </c>
      <c r="E2764" s="225" t="s">
        <v>717</v>
      </c>
    </row>
    <row r="2765" spans="2:5" ht="15.75" thickBot="1">
      <c r="B2765" s="225" t="s">
        <v>4663</v>
      </c>
      <c r="C2765" s="226">
        <v>531287</v>
      </c>
      <c r="D2765" s="225" t="s">
        <v>597</v>
      </c>
      <c r="E2765" s="225" t="s">
        <v>717</v>
      </c>
    </row>
    <row r="2766" spans="2:5" ht="15.75" thickBot="1">
      <c r="B2766" s="225" t="s">
        <v>4664</v>
      </c>
      <c r="C2766" s="226">
        <v>516062</v>
      </c>
      <c r="D2766" s="225" t="s">
        <v>597</v>
      </c>
      <c r="E2766" s="225" t="s">
        <v>1092</v>
      </c>
    </row>
    <row r="2767" spans="2:5" ht="15.75" thickBot="1">
      <c r="B2767" s="225" t="s">
        <v>4665</v>
      </c>
      <c r="C2767" s="226">
        <v>504882</v>
      </c>
      <c r="D2767" s="225" t="s">
        <v>597</v>
      </c>
      <c r="E2767" s="225" t="s">
        <v>683</v>
      </c>
    </row>
    <row r="2768" spans="2:5" ht="15.75" thickBot="1">
      <c r="B2768" s="225" t="s">
        <v>4666</v>
      </c>
      <c r="C2768" s="226">
        <v>504882</v>
      </c>
      <c r="D2768" s="225" t="s">
        <v>597</v>
      </c>
      <c r="E2768" s="225" t="s">
        <v>683</v>
      </c>
    </row>
    <row r="2769" spans="2:5" ht="15.75" thickBot="1">
      <c r="B2769" s="225" t="s">
        <v>4667</v>
      </c>
      <c r="C2769" s="226">
        <v>513179</v>
      </c>
      <c r="D2769" s="225" t="s">
        <v>4668</v>
      </c>
      <c r="E2769" s="225" t="s">
        <v>629</v>
      </c>
    </row>
    <row r="2770" spans="2:5" ht="15.75" thickBot="1">
      <c r="B2770" s="225" t="s">
        <v>4669</v>
      </c>
      <c r="C2770" s="226">
        <v>530119</v>
      </c>
      <c r="D2770" s="225" t="s">
        <v>597</v>
      </c>
      <c r="E2770" s="225" t="s">
        <v>846</v>
      </c>
    </row>
    <row r="2771" spans="2:5" ht="15.75" thickBot="1">
      <c r="B2771" s="225" t="s">
        <v>4670</v>
      </c>
      <c r="C2771" s="226">
        <v>531834</v>
      </c>
      <c r="D2771" s="225" t="s">
        <v>597</v>
      </c>
      <c r="E2771" s="225" t="s">
        <v>795</v>
      </c>
    </row>
    <row r="2772" spans="2:5" ht="15.75" thickBot="1">
      <c r="B2772" s="225" t="s">
        <v>4671</v>
      </c>
      <c r="C2772" s="226">
        <v>524654</v>
      </c>
      <c r="D2772" s="225" t="s">
        <v>597</v>
      </c>
      <c r="E2772" s="225" t="s">
        <v>635</v>
      </c>
    </row>
    <row r="2773" spans="2:5" ht="15.75" thickBot="1">
      <c r="B2773" s="225" t="s">
        <v>4672</v>
      </c>
      <c r="C2773" s="226">
        <v>538926</v>
      </c>
      <c r="D2773" s="225" t="s">
        <v>597</v>
      </c>
      <c r="E2773" s="225" t="s">
        <v>795</v>
      </c>
    </row>
    <row r="2774" spans="2:5" ht="15.75" thickBot="1">
      <c r="B2774" s="225" t="s">
        <v>4673</v>
      </c>
      <c r="C2774" s="226">
        <v>513023</v>
      </c>
      <c r="D2774" s="225" t="s">
        <v>4674</v>
      </c>
      <c r="E2774" s="225" t="s">
        <v>736</v>
      </c>
    </row>
    <row r="2775" spans="2:5" ht="15.75" thickBot="1">
      <c r="B2775" s="225" t="s">
        <v>4675</v>
      </c>
      <c r="C2775" s="226">
        <v>539521</v>
      </c>
      <c r="D2775" s="225" t="s">
        <v>597</v>
      </c>
      <c r="E2775" s="225" t="s">
        <v>580</v>
      </c>
    </row>
    <row r="2776" spans="2:5" ht="15.75" thickBot="1">
      <c r="B2776" s="225" t="s">
        <v>4676</v>
      </c>
      <c r="C2776" s="226">
        <v>532504</v>
      </c>
      <c r="D2776" s="225" t="s">
        <v>4677</v>
      </c>
      <c r="E2776" s="225" t="s">
        <v>645</v>
      </c>
    </row>
    <row r="2777" spans="2:5" ht="15.75" thickBot="1">
      <c r="B2777" s="225" t="s">
        <v>4678</v>
      </c>
      <c r="C2777" s="226">
        <v>531494</v>
      </c>
      <c r="D2777" s="225" t="s">
        <v>597</v>
      </c>
      <c r="E2777" s="225" t="s">
        <v>683</v>
      </c>
    </row>
    <row r="2778" spans="2:5" ht="15.75" thickBot="1">
      <c r="B2778" s="225" t="s">
        <v>4679</v>
      </c>
      <c r="C2778" s="226">
        <v>539332</v>
      </c>
      <c r="D2778" s="225" t="s">
        <v>4680</v>
      </c>
      <c r="E2778" s="225" t="s">
        <v>720</v>
      </c>
    </row>
    <row r="2779" spans="2:5" ht="15.75" thickBot="1">
      <c r="B2779" s="225" t="s">
        <v>4681</v>
      </c>
      <c r="C2779" s="226">
        <v>539525</v>
      </c>
      <c r="D2779" s="225" t="s">
        <v>597</v>
      </c>
      <c r="E2779" s="225" t="s">
        <v>631</v>
      </c>
    </row>
    <row r="2780" spans="2:5" ht="15.75" thickBot="1">
      <c r="B2780" s="225" t="s">
        <v>4682</v>
      </c>
      <c r="C2780" s="226">
        <v>508989</v>
      </c>
      <c r="D2780" s="225" t="s">
        <v>4683</v>
      </c>
      <c r="E2780" s="225" t="s">
        <v>1121</v>
      </c>
    </row>
    <row r="2781" spans="2:5" ht="15.75" thickBot="1">
      <c r="B2781" s="225" t="s">
        <v>4684</v>
      </c>
      <c r="C2781" s="226">
        <v>538668</v>
      </c>
      <c r="D2781" s="225" t="s">
        <v>597</v>
      </c>
      <c r="E2781" s="225" t="s">
        <v>614</v>
      </c>
    </row>
    <row r="2782" spans="2:5" ht="15.75" thickBot="1">
      <c r="B2782" s="225" t="s">
        <v>4685</v>
      </c>
      <c r="C2782" s="226">
        <v>523242</v>
      </c>
      <c r="D2782" s="225" t="s">
        <v>597</v>
      </c>
      <c r="E2782" s="225" t="s">
        <v>1023</v>
      </c>
    </row>
    <row r="2783" spans="2:5" ht="15.75" thickBot="1">
      <c r="B2783" s="225" t="s">
        <v>4686</v>
      </c>
      <c r="C2783" s="226">
        <v>534309</v>
      </c>
      <c r="D2783" s="225" t="s">
        <v>4687</v>
      </c>
      <c r="E2783" s="225" t="s">
        <v>995</v>
      </c>
    </row>
    <row r="2784" spans="2:5" ht="15.75" thickBot="1">
      <c r="B2784" s="225" t="s">
        <v>4688</v>
      </c>
      <c r="C2784" s="226">
        <v>534309</v>
      </c>
      <c r="D2784" s="225" t="s">
        <v>4687</v>
      </c>
      <c r="E2784" s="225" t="s">
        <v>995</v>
      </c>
    </row>
    <row r="2785" spans="2:5" ht="15.75" thickBot="1">
      <c r="B2785" s="225" t="s">
        <v>4689</v>
      </c>
      <c r="C2785" s="226">
        <v>519506</v>
      </c>
      <c r="D2785" s="225" t="s">
        <v>597</v>
      </c>
      <c r="E2785" s="225" t="s">
        <v>657</v>
      </c>
    </row>
    <row r="2786" spans="2:5" ht="15.75" thickBot="1">
      <c r="B2786" s="225" t="s">
        <v>4690</v>
      </c>
      <c r="C2786" s="226">
        <v>531452</v>
      </c>
      <c r="D2786" s="225" t="s">
        <v>597</v>
      </c>
      <c r="E2786" s="225" t="s">
        <v>614</v>
      </c>
    </row>
    <row r="2787" spans="2:5" ht="15.75" thickBot="1">
      <c r="B2787" s="225" t="s">
        <v>4691</v>
      </c>
      <c r="C2787" s="226">
        <v>500294</v>
      </c>
      <c r="D2787" s="225" t="s">
        <v>4692</v>
      </c>
      <c r="E2787" s="225" t="s">
        <v>995</v>
      </c>
    </row>
    <row r="2788" spans="2:5" ht="15.75" thickBot="1">
      <c r="B2788" s="225" t="s">
        <v>4693</v>
      </c>
      <c r="C2788" s="226">
        <v>502168</v>
      </c>
      <c r="D2788" s="225" t="s">
        <v>4694</v>
      </c>
      <c r="E2788" s="225" t="s">
        <v>610</v>
      </c>
    </row>
    <row r="2789" spans="2:5" ht="15.75" thickBot="1">
      <c r="B2789" s="225" t="s">
        <v>4695</v>
      </c>
      <c r="C2789" s="226">
        <v>530557</v>
      </c>
      <c r="D2789" s="225" t="s">
        <v>597</v>
      </c>
      <c r="E2789" s="225" t="s">
        <v>580</v>
      </c>
    </row>
    <row r="2790" spans="2:5" ht="15.75" thickBot="1">
      <c r="B2790" s="225" t="s">
        <v>4696</v>
      </c>
      <c r="C2790" s="226">
        <v>511535</v>
      </c>
      <c r="D2790" s="225" t="s">
        <v>597</v>
      </c>
      <c r="E2790" s="225" t="s">
        <v>580</v>
      </c>
    </row>
    <row r="2791" spans="2:5" ht="15.75" thickBot="1">
      <c r="B2791" s="225" t="s">
        <v>4697</v>
      </c>
      <c r="C2791" s="226">
        <v>532649</v>
      </c>
      <c r="D2791" s="225" t="s">
        <v>4698</v>
      </c>
      <c r="E2791" s="225" t="s">
        <v>635</v>
      </c>
    </row>
    <row r="2792" spans="2:5" ht="15.75" thickBot="1">
      <c r="B2792" s="225" t="s">
        <v>4699</v>
      </c>
      <c r="C2792" s="226">
        <v>508670</v>
      </c>
      <c r="D2792" s="225" t="s">
        <v>597</v>
      </c>
      <c r="E2792" s="225" t="s">
        <v>1004</v>
      </c>
    </row>
    <row r="2793" spans="2:5" ht="15.75" thickBot="1">
      <c r="B2793" s="225" t="s">
        <v>4700</v>
      </c>
      <c r="C2793" s="226">
        <v>531049</v>
      </c>
      <c r="D2793" s="225" t="s">
        <v>597</v>
      </c>
      <c r="E2793" s="225" t="s">
        <v>1125</v>
      </c>
    </row>
    <row r="2794" spans="2:5" ht="15.75" thickBot="1">
      <c r="B2794" s="225" t="s">
        <v>4701</v>
      </c>
      <c r="C2794" s="226">
        <v>539409</v>
      </c>
      <c r="D2794" s="225" t="s">
        <v>597</v>
      </c>
      <c r="E2794" s="225" t="s">
        <v>619</v>
      </c>
    </row>
    <row r="2795" spans="2:5" ht="15.75" thickBot="1">
      <c r="B2795" s="225" t="s">
        <v>4702</v>
      </c>
      <c r="C2795" s="226">
        <v>537838</v>
      </c>
      <c r="D2795" s="225" t="s">
        <v>597</v>
      </c>
      <c r="E2795" s="225" t="s">
        <v>619</v>
      </c>
    </row>
    <row r="2796" spans="2:5" ht="15.75" thickBot="1">
      <c r="B2796" s="225" t="s">
        <v>4703</v>
      </c>
      <c r="C2796" s="226">
        <v>519560</v>
      </c>
      <c r="D2796" s="225" t="s">
        <v>597</v>
      </c>
      <c r="E2796" s="225" t="s">
        <v>795</v>
      </c>
    </row>
    <row r="2797" spans="2:5" ht="15.75" thickBot="1">
      <c r="B2797" s="225" t="s">
        <v>4704</v>
      </c>
      <c r="C2797" s="226">
        <v>539016</v>
      </c>
      <c r="D2797" s="225" t="s">
        <v>597</v>
      </c>
      <c r="E2797" s="225" t="s">
        <v>614</v>
      </c>
    </row>
    <row r="2798" spans="2:5" ht="15.75" thickBot="1">
      <c r="B2798" s="225" t="s">
        <v>4705</v>
      </c>
      <c r="C2798" s="226">
        <v>532864</v>
      </c>
      <c r="D2798" s="225" t="s">
        <v>4706</v>
      </c>
      <c r="E2798" s="225" t="s">
        <v>1517</v>
      </c>
    </row>
    <row r="2799" spans="2:5" ht="15.75" thickBot="1">
      <c r="B2799" s="225" t="s">
        <v>4707</v>
      </c>
      <c r="C2799" s="226">
        <v>504112</v>
      </c>
      <c r="D2799" s="225" t="s">
        <v>4708</v>
      </c>
      <c r="E2799" s="225" t="s">
        <v>2223</v>
      </c>
    </row>
    <row r="2800" spans="2:5" ht="15.75" thickBot="1">
      <c r="B2800" s="225" t="s">
        <v>4709</v>
      </c>
      <c r="C2800" s="226">
        <v>514332</v>
      </c>
      <c r="D2800" s="225" t="s">
        <v>597</v>
      </c>
      <c r="E2800" s="225" t="s">
        <v>683</v>
      </c>
    </row>
    <row r="2801" spans="2:5" ht="15.75" thickBot="1">
      <c r="B2801" s="225" t="s">
        <v>4710</v>
      </c>
      <c r="C2801" s="226">
        <v>526195</v>
      </c>
      <c r="D2801" s="225" t="s">
        <v>597</v>
      </c>
      <c r="E2801" s="225" t="s">
        <v>711</v>
      </c>
    </row>
    <row r="2802" spans="2:5" ht="15.75" thickBot="1">
      <c r="B2802" s="225" t="s">
        <v>4711</v>
      </c>
      <c r="C2802" s="226">
        <v>526195</v>
      </c>
      <c r="D2802" s="225" t="s">
        <v>597</v>
      </c>
      <c r="E2802" s="225" t="s">
        <v>711</v>
      </c>
    </row>
    <row r="2803" spans="2:5" ht="15.75" thickBot="1">
      <c r="B2803" s="225" t="s">
        <v>4712</v>
      </c>
      <c r="C2803" s="226">
        <v>542665</v>
      </c>
      <c r="D2803" s="225" t="s">
        <v>4713</v>
      </c>
      <c r="E2803" s="225" t="s">
        <v>757</v>
      </c>
    </row>
    <row r="2804" spans="2:5" ht="15.75" thickBot="1">
      <c r="B2804" s="225" t="s">
        <v>4714</v>
      </c>
      <c r="C2804" s="226">
        <v>512522</v>
      </c>
      <c r="D2804" s="225" t="s">
        <v>597</v>
      </c>
      <c r="E2804" s="225" t="s">
        <v>619</v>
      </c>
    </row>
    <row r="2805" spans="2:5" ht="15.75" thickBot="1">
      <c r="B2805" s="225" t="s">
        <v>4715</v>
      </c>
      <c r="C2805" s="226">
        <v>505355</v>
      </c>
      <c r="D2805" s="225" t="s">
        <v>4716</v>
      </c>
      <c r="E2805" s="225" t="s">
        <v>1018</v>
      </c>
    </row>
    <row r="2806" spans="2:5" ht="15.75" thickBot="1">
      <c r="B2806" s="225" t="s">
        <v>4717</v>
      </c>
      <c r="C2806" s="226">
        <v>500790</v>
      </c>
      <c r="D2806" s="225" t="s">
        <v>4718</v>
      </c>
      <c r="E2806" s="225" t="s">
        <v>657</v>
      </c>
    </row>
    <row r="2807" spans="2:5" ht="15.75" thickBot="1">
      <c r="B2807" s="225" t="s">
        <v>4719</v>
      </c>
      <c r="C2807" s="226">
        <v>500790</v>
      </c>
      <c r="D2807" s="225" t="s">
        <v>4718</v>
      </c>
      <c r="E2807" s="225" t="s">
        <v>657</v>
      </c>
    </row>
    <row r="2808" spans="2:5" ht="15.75" thickBot="1">
      <c r="B2808" s="225" t="s">
        <v>4720</v>
      </c>
      <c r="C2808" s="226">
        <v>509040</v>
      </c>
      <c r="D2808" s="225" t="s">
        <v>597</v>
      </c>
      <c r="E2808" s="225" t="s">
        <v>690</v>
      </c>
    </row>
    <row r="2809" spans="2:5" ht="15.75" thickBot="1">
      <c r="B2809" s="225" t="s">
        <v>4721</v>
      </c>
      <c r="C2809" s="226">
        <v>509040</v>
      </c>
      <c r="D2809" s="225" t="s">
        <v>597</v>
      </c>
      <c r="E2809" s="225" t="s">
        <v>690</v>
      </c>
    </row>
    <row r="2810" spans="2:5" ht="15.75" thickBot="1">
      <c r="B2810" s="225" t="s">
        <v>4722</v>
      </c>
      <c r="C2810" s="226">
        <v>542117</v>
      </c>
      <c r="D2810" s="225" t="s">
        <v>597</v>
      </c>
      <c r="E2810" s="225" t="s">
        <v>688</v>
      </c>
    </row>
    <row r="2811" spans="2:5" ht="15.75" thickBot="1">
      <c r="B2811" s="225" t="s">
        <v>4723</v>
      </c>
      <c r="C2811" s="226">
        <v>511658</v>
      </c>
      <c r="D2811" s="225" t="s">
        <v>597</v>
      </c>
      <c r="E2811" s="225" t="s">
        <v>690</v>
      </c>
    </row>
    <row r="2812" spans="2:5" ht="15.75" thickBot="1">
      <c r="B2812" s="225" t="s">
        <v>4724</v>
      </c>
      <c r="C2812" s="226">
        <v>523558</v>
      </c>
      <c r="D2812" s="225" t="s">
        <v>597</v>
      </c>
      <c r="E2812" s="225" t="s">
        <v>1139</v>
      </c>
    </row>
    <row r="2813" spans="2:5" ht="15.75" thickBot="1">
      <c r="B2813" s="225" t="s">
        <v>4725</v>
      </c>
      <c r="C2813" s="226">
        <v>532798</v>
      </c>
      <c r="D2813" s="225" t="s">
        <v>4726</v>
      </c>
      <c r="E2813" s="225" t="s">
        <v>763</v>
      </c>
    </row>
    <row r="2814" spans="2:5" ht="15.75" thickBot="1">
      <c r="B2814" s="225" t="s">
        <v>4727</v>
      </c>
      <c r="C2814" s="226">
        <v>532887</v>
      </c>
      <c r="D2814" s="225" t="s">
        <v>4728</v>
      </c>
      <c r="E2814" s="225" t="s">
        <v>640</v>
      </c>
    </row>
    <row r="2815" spans="2:5" ht="15.75" thickBot="1">
      <c r="B2815" s="225" t="s">
        <v>4729</v>
      </c>
      <c r="C2815" s="226">
        <v>524558</v>
      </c>
      <c r="D2815" s="225" t="s">
        <v>4730</v>
      </c>
      <c r="E2815" s="225" t="s">
        <v>635</v>
      </c>
    </row>
    <row r="2816" spans="2:5" ht="15.75" thickBot="1">
      <c r="B2816" s="225" t="s">
        <v>4731</v>
      </c>
      <c r="C2816" s="226">
        <v>532529</v>
      </c>
      <c r="D2816" s="225" t="s">
        <v>4732</v>
      </c>
      <c r="E2816" s="225" t="s">
        <v>1336</v>
      </c>
    </row>
    <row r="2817" spans="2:5" ht="15.75" thickBot="1">
      <c r="B2817" s="225" t="s">
        <v>4733</v>
      </c>
      <c r="C2817" s="226">
        <v>540243</v>
      </c>
      <c r="D2817" s="225" t="s">
        <v>597</v>
      </c>
      <c r="E2817" s="225" t="s">
        <v>619</v>
      </c>
    </row>
    <row r="2818" spans="2:5" ht="15.75" thickBot="1">
      <c r="B2818" s="225" t="s">
        <v>4734</v>
      </c>
      <c r="C2818" s="226">
        <v>508867</v>
      </c>
      <c r="D2818" s="225" t="s">
        <v>597</v>
      </c>
      <c r="E2818" s="225" t="s">
        <v>690</v>
      </c>
    </row>
    <row r="2819" spans="2:5" ht="15.75" thickBot="1">
      <c r="B2819" s="225" t="s">
        <v>4735</v>
      </c>
      <c r="C2819" s="226">
        <v>501479</v>
      </c>
      <c r="D2819" s="225" t="s">
        <v>597</v>
      </c>
      <c r="E2819" s="225" t="s">
        <v>619</v>
      </c>
    </row>
    <row r="2820" spans="2:5" ht="15.75" thickBot="1">
      <c r="B2820" s="225" t="s">
        <v>4736</v>
      </c>
      <c r="C2820" s="226">
        <v>536644</v>
      </c>
      <c r="D2820" s="225" t="s">
        <v>597</v>
      </c>
      <c r="E2820" s="225" t="s">
        <v>619</v>
      </c>
    </row>
    <row r="2821" spans="2:5" ht="15.75" thickBot="1">
      <c r="B2821" s="225" t="s">
        <v>4737</v>
      </c>
      <c r="C2821" s="226">
        <v>540900</v>
      </c>
      <c r="D2821" s="225" t="s">
        <v>4738</v>
      </c>
      <c r="E2821" s="225" t="s">
        <v>583</v>
      </c>
    </row>
    <row r="2822" spans="2:5" ht="15.75" thickBot="1">
      <c r="B2822" s="225" t="s">
        <v>4739</v>
      </c>
      <c r="C2822" s="226">
        <v>532416</v>
      </c>
      <c r="D2822" s="225" t="s">
        <v>4740</v>
      </c>
      <c r="E2822" s="225" t="s">
        <v>1121</v>
      </c>
    </row>
    <row r="2823" spans="2:5" ht="15.75" thickBot="1">
      <c r="B2823" s="225" t="s">
        <v>4741</v>
      </c>
      <c r="C2823" s="226">
        <v>538874</v>
      </c>
      <c r="D2823" s="225" t="s">
        <v>597</v>
      </c>
      <c r="E2823" s="225" t="s">
        <v>580</v>
      </c>
    </row>
    <row r="2824" spans="2:5" ht="15.75" thickBot="1">
      <c r="B2824" s="225" t="s">
        <v>4742</v>
      </c>
      <c r="C2824" s="226">
        <v>524774</v>
      </c>
      <c r="D2824" s="225" t="s">
        <v>597</v>
      </c>
      <c r="E2824" s="225" t="s">
        <v>635</v>
      </c>
    </row>
    <row r="2825" spans="2:5" ht="15.75" thickBot="1">
      <c r="B2825" s="225" t="s">
        <v>4743</v>
      </c>
      <c r="C2825" s="226">
        <v>517554</v>
      </c>
      <c r="D2825" s="225" t="s">
        <v>597</v>
      </c>
      <c r="E2825" s="225" t="s">
        <v>677</v>
      </c>
    </row>
    <row r="2826" spans="2:5" ht="15.75" thickBot="1">
      <c r="B2826" s="225" t="s">
        <v>4744</v>
      </c>
      <c r="C2826" s="226">
        <v>533098</v>
      </c>
      <c r="D2826" s="225" t="s">
        <v>4745</v>
      </c>
      <c r="E2826" s="225" t="s">
        <v>736</v>
      </c>
    </row>
    <row r="2827" spans="2:5" ht="15.75" thickBot="1">
      <c r="B2827" s="225" t="s">
        <v>4746</v>
      </c>
      <c r="C2827" s="226">
        <v>526721</v>
      </c>
      <c r="D2827" s="225" t="s">
        <v>597</v>
      </c>
      <c r="E2827" s="225" t="s">
        <v>775</v>
      </c>
    </row>
    <row r="2828" spans="2:5" ht="15.75" thickBot="1">
      <c r="B2828" s="225" t="s">
        <v>4747</v>
      </c>
      <c r="C2828" s="226">
        <v>523209</v>
      </c>
      <c r="D2828" s="225" t="s">
        <v>597</v>
      </c>
      <c r="E2828" s="225" t="s">
        <v>614</v>
      </c>
    </row>
    <row r="2829" spans="2:5" ht="15.75" thickBot="1">
      <c r="B2829" s="225" t="s">
        <v>4748</v>
      </c>
      <c r="C2829" s="226">
        <v>512103</v>
      </c>
      <c r="D2829" s="225" t="s">
        <v>597</v>
      </c>
      <c r="E2829" s="225" t="s">
        <v>1125</v>
      </c>
    </row>
    <row r="2830" spans="2:5" ht="15.75" thickBot="1">
      <c r="B2830" s="225" t="s">
        <v>4749</v>
      </c>
      <c r="C2830" s="226">
        <v>531083</v>
      </c>
      <c r="D2830" s="225" t="s">
        <v>597</v>
      </c>
      <c r="E2830" s="225" t="s">
        <v>690</v>
      </c>
    </row>
    <row r="2831" spans="2:5" ht="15.75" thickBot="1">
      <c r="B2831" s="225" t="s">
        <v>4750</v>
      </c>
      <c r="C2831" s="226">
        <v>500304</v>
      </c>
      <c r="D2831" s="225" t="s">
        <v>4751</v>
      </c>
      <c r="E2831" s="225" t="s">
        <v>1082</v>
      </c>
    </row>
    <row r="2832" spans="2:5" ht="15.75" thickBot="1">
      <c r="B2832" s="225" t="s">
        <v>4752</v>
      </c>
      <c r="C2832" s="226">
        <v>532541</v>
      </c>
      <c r="D2832" s="225" t="s">
        <v>4753</v>
      </c>
      <c r="E2832" s="225" t="s">
        <v>583</v>
      </c>
    </row>
    <row r="2833" spans="2:5" ht="15.75" thickBot="1">
      <c r="B2833" s="225" t="s">
        <v>4754</v>
      </c>
      <c r="C2833" s="226">
        <v>526159</v>
      </c>
      <c r="D2833" s="225" t="s">
        <v>597</v>
      </c>
      <c r="E2833" s="225" t="s">
        <v>619</v>
      </c>
    </row>
    <row r="2834" spans="2:5" ht="15.75" thickBot="1">
      <c r="B2834" s="225" t="s">
        <v>4755</v>
      </c>
      <c r="C2834" s="226">
        <v>531272</v>
      </c>
      <c r="D2834" s="225" t="s">
        <v>597</v>
      </c>
      <c r="E2834" s="225" t="s">
        <v>614</v>
      </c>
    </row>
    <row r="2835" spans="2:5" ht="15.75" thickBot="1">
      <c r="B2835" s="225" t="s">
        <v>4756</v>
      </c>
      <c r="C2835" s="226">
        <v>530377</v>
      </c>
      <c r="D2835" s="225" t="s">
        <v>4757</v>
      </c>
      <c r="E2835" s="225" t="s">
        <v>683</v>
      </c>
    </row>
    <row r="2836" spans="2:5" ht="15.75" thickBot="1">
      <c r="B2836" s="225" t="s">
        <v>4758</v>
      </c>
      <c r="C2836" s="226">
        <v>542231</v>
      </c>
      <c r="D2836" s="225" t="s">
        <v>4759</v>
      </c>
      <c r="E2836" s="225" t="s">
        <v>683</v>
      </c>
    </row>
    <row r="2837" spans="2:5" ht="15.75" thickBot="1">
      <c r="B2837" s="225" t="s">
        <v>4760</v>
      </c>
      <c r="C2837" s="226">
        <v>502294</v>
      </c>
      <c r="D2837" s="225" t="s">
        <v>597</v>
      </c>
      <c r="E2837" s="225" t="s">
        <v>1125</v>
      </c>
    </row>
    <row r="2838" spans="2:5" ht="15.75" thickBot="1">
      <c r="B2838" s="225" t="s">
        <v>4761</v>
      </c>
      <c r="C2838" s="226">
        <v>530129</v>
      </c>
      <c r="D2838" s="225" t="s">
        <v>597</v>
      </c>
      <c r="E2838" s="225" t="s">
        <v>920</v>
      </c>
    </row>
    <row r="2839" spans="2:5" ht="15.75" thickBot="1">
      <c r="B2839" s="225" t="s">
        <v>4762</v>
      </c>
      <c r="C2839" s="226">
        <v>523385</v>
      </c>
      <c r="D2839" s="225" t="s">
        <v>4763</v>
      </c>
      <c r="E2839" s="225" t="s">
        <v>717</v>
      </c>
    </row>
    <row r="2840" spans="2:5" ht="15.75" thickBot="1">
      <c r="B2840" s="225" t="s">
        <v>4764</v>
      </c>
      <c r="C2840" s="226">
        <v>512004</v>
      </c>
      <c r="D2840" s="225" t="s">
        <v>597</v>
      </c>
      <c r="E2840" s="225" t="s">
        <v>1018</v>
      </c>
    </row>
    <row r="2841" spans="2:5" ht="15.75" thickBot="1">
      <c r="B2841" s="225" t="s">
        <v>4765</v>
      </c>
      <c r="C2841" s="226">
        <v>531598</v>
      </c>
      <c r="D2841" s="225" t="s">
        <v>597</v>
      </c>
      <c r="E2841" s="225" t="s">
        <v>657</v>
      </c>
    </row>
    <row r="2842" spans="2:5" ht="15.75" thickBot="1">
      <c r="B2842" s="225" t="s">
        <v>4766</v>
      </c>
      <c r="C2842" s="226">
        <v>530971</v>
      </c>
      <c r="D2842" s="225" t="s">
        <v>597</v>
      </c>
      <c r="E2842" s="225" t="s">
        <v>619</v>
      </c>
    </row>
    <row r="2843" spans="2:5" ht="15.75" thickBot="1">
      <c r="B2843" s="225" t="s">
        <v>4767</v>
      </c>
      <c r="C2843" s="226">
        <v>511714</v>
      </c>
      <c r="D2843" s="225" t="s">
        <v>597</v>
      </c>
      <c r="E2843" s="225" t="s">
        <v>683</v>
      </c>
    </row>
    <row r="2844" spans="2:5" ht="15.75" thickBot="1">
      <c r="B2844" s="225" t="s">
        <v>4768</v>
      </c>
      <c r="C2844" s="226">
        <v>539843</v>
      </c>
      <c r="D2844" s="225" t="s">
        <v>597</v>
      </c>
      <c r="E2844" s="225" t="s">
        <v>583</v>
      </c>
    </row>
    <row r="2845" spans="2:5" ht="15.75" thickBot="1">
      <c r="B2845" s="225" t="s">
        <v>4769</v>
      </c>
      <c r="C2845" s="226">
        <v>532986</v>
      </c>
      <c r="D2845" s="225" t="s">
        <v>597</v>
      </c>
      <c r="E2845" s="225" t="s">
        <v>995</v>
      </c>
    </row>
    <row r="2846" spans="2:5" ht="15.75" thickBot="1">
      <c r="B2846" s="225" t="s">
        <v>4770</v>
      </c>
      <c r="C2846" s="225" t="s">
        <v>597</v>
      </c>
      <c r="D2846" s="225" t="s">
        <v>4771</v>
      </c>
      <c r="E2846" s="225" t="s">
        <v>688</v>
      </c>
    </row>
    <row r="2847" spans="2:5" ht="15.75" thickBot="1">
      <c r="B2847" s="225" t="s">
        <v>4772</v>
      </c>
      <c r="C2847" s="226">
        <v>512425</v>
      </c>
      <c r="D2847" s="225" t="s">
        <v>597</v>
      </c>
      <c r="E2847" s="225" t="s">
        <v>619</v>
      </c>
    </row>
    <row r="2848" spans="2:5" ht="15.75" thickBot="1">
      <c r="B2848" s="225" t="s">
        <v>4773</v>
      </c>
      <c r="C2848" s="226">
        <v>500307</v>
      </c>
      <c r="D2848" s="225" t="s">
        <v>597</v>
      </c>
      <c r="E2848" s="225" t="s">
        <v>1018</v>
      </c>
    </row>
    <row r="2849" spans="2:5" ht="15.75" thickBot="1">
      <c r="B2849" s="225" t="s">
        <v>4774</v>
      </c>
      <c r="C2849" s="226">
        <v>539311</v>
      </c>
      <c r="D2849" s="225" t="s">
        <v>597</v>
      </c>
      <c r="E2849" s="225" t="s">
        <v>580</v>
      </c>
    </row>
    <row r="2850" spans="2:5" ht="15.75" thickBot="1">
      <c r="B2850" s="225" t="s">
        <v>4775</v>
      </c>
      <c r="C2850" s="226">
        <v>539311</v>
      </c>
      <c r="D2850" s="225" t="s">
        <v>597</v>
      </c>
      <c r="E2850" s="225" t="s">
        <v>580</v>
      </c>
    </row>
    <row r="2851" spans="2:5" ht="15.75" thickBot="1">
      <c r="B2851" s="225" t="s">
        <v>4776</v>
      </c>
      <c r="C2851" s="226">
        <v>532722</v>
      </c>
      <c r="D2851" s="225" t="s">
        <v>4777</v>
      </c>
      <c r="E2851" s="225" t="s">
        <v>874</v>
      </c>
    </row>
    <row r="2852" spans="2:5" ht="15.75" thickBot="1">
      <c r="B2852" s="225" t="s">
        <v>4778</v>
      </c>
      <c r="C2852" s="226">
        <v>533202</v>
      </c>
      <c r="D2852" s="225" t="s">
        <v>4779</v>
      </c>
      <c r="E2852" s="225" t="s">
        <v>683</v>
      </c>
    </row>
    <row r="2853" spans="2:5" ht="15.75" thickBot="1">
      <c r="B2853" s="225" t="s">
        <v>4780</v>
      </c>
      <c r="C2853" s="226">
        <v>508875</v>
      </c>
      <c r="D2853" s="225" t="s">
        <v>597</v>
      </c>
      <c r="E2853" s="225" t="s">
        <v>1018</v>
      </c>
    </row>
    <row r="2854" spans="2:5" ht="15.75" thickBot="1">
      <c r="B2854" s="225" t="s">
        <v>4781</v>
      </c>
      <c r="C2854" s="226">
        <v>532854</v>
      </c>
      <c r="D2854" s="225" t="s">
        <v>4782</v>
      </c>
      <c r="E2854" s="225" t="s">
        <v>605</v>
      </c>
    </row>
    <row r="2855" spans="2:5" ht="15.75" thickBot="1">
      <c r="B2855" s="225" t="s">
        <v>4783</v>
      </c>
      <c r="C2855" s="226">
        <v>532698</v>
      </c>
      <c r="D2855" s="225" t="s">
        <v>4784</v>
      </c>
      <c r="E2855" s="225" t="s">
        <v>612</v>
      </c>
    </row>
    <row r="2856" spans="2:5" ht="15.75" thickBot="1">
      <c r="B2856" s="225" t="s">
        <v>4785</v>
      </c>
      <c r="C2856" s="225" t="s">
        <v>597</v>
      </c>
      <c r="D2856" s="225" t="s">
        <v>4786</v>
      </c>
      <c r="E2856" s="225" t="s">
        <v>608</v>
      </c>
    </row>
    <row r="2857" spans="2:5" ht="15.75" thickBot="1">
      <c r="B2857" s="225" t="s">
        <v>4787</v>
      </c>
      <c r="C2857" s="226">
        <v>506532</v>
      </c>
      <c r="D2857" s="225" t="s">
        <v>597</v>
      </c>
      <c r="E2857" s="225" t="s">
        <v>757</v>
      </c>
    </row>
    <row r="2858" spans="2:5" ht="15.75" thickBot="1">
      <c r="B2858" s="225" t="s">
        <v>4788</v>
      </c>
      <c r="C2858" s="226">
        <v>506532</v>
      </c>
      <c r="D2858" s="225" t="s">
        <v>597</v>
      </c>
      <c r="E2858" s="225" t="s">
        <v>757</v>
      </c>
    </row>
    <row r="2859" spans="2:5" ht="15.75" thickBot="1">
      <c r="B2859" s="225" t="s">
        <v>4789</v>
      </c>
      <c r="C2859" s="226">
        <v>512381</v>
      </c>
      <c r="D2859" s="225" t="s">
        <v>597</v>
      </c>
      <c r="E2859" s="225" t="s">
        <v>619</v>
      </c>
    </row>
    <row r="2860" spans="2:5" ht="15.75" thickBot="1">
      <c r="B2860" s="225" t="s">
        <v>4790</v>
      </c>
      <c r="C2860" s="226">
        <v>512245</v>
      </c>
      <c r="D2860" s="225" t="s">
        <v>597</v>
      </c>
      <c r="E2860" s="225" t="s">
        <v>1018</v>
      </c>
    </row>
    <row r="2861" spans="2:5" ht="15.75" thickBot="1">
      <c r="B2861" s="225" t="s">
        <v>4791</v>
      </c>
      <c r="C2861" s="226">
        <v>538772</v>
      </c>
      <c r="D2861" s="225" t="s">
        <v>597</v>
      </c>
      <c r="E2861" s="225" t="s">
        <v>614</v>
      </c>
    </row>
    <row r="2862" spans="2:5" ht="15.75" thickBot="1">
      <c r="B2862" s="225" t="s">
        <v>4792</v>
      </c>
      <c r="C2862" s="226">
        <v>519494</v>
      </c>
      <c r="D2862" s="225" t="s">
        <v>4793</v>
      </c>
      <c r="E2862" s="225" t="s">
        <v>846</v>
      </c>
    </row>
    <row r="2863" spans="2:5" ht="15.75" thickBot="1">
      <c r="B2863" s="225" t="s">
        <v>4794</v>
      </c>
      <c r="C2863" s="226">
        <v>513683</v>
      </c>
      <c r="D2863" s="225" t="s">
        <v>4795</v>
      </c>
      <c r="E2863" s="225" t="s">
        <v>736</v>
      </c>
    </row>
    <row r="2864" spans="2:5" ht="15.75" thickBot="1">
      <c r="B2864" s="225" t="s">
        <v>4796</v>
      </c>
      <c r="C2864" s="226">
        <v>513683</v>
      </c>
      <c r="D2864" s="225" t="s">
        <v>4797</v>
      </c>
      <c r="E2864" s="225" t="s">
        <v>736</v>
      </c>
    </row>
    <row r="2865" spans="2:5" ht="15.75" thickBot="1">
      <c r="B2865" s="225" t="s">
        <v>4798</v>
      </c>
      <c r="C2865" s="226">
        <v>526371</v>
      </c>
      <c r="D2865" s="225" t="s">
        <v>4799</v>
      </c>
      <c r="E2865" s="225" t="s">
        <v>577</v>
      </c>
    </row>
    <row r="2866" spans="2:5" ht="15.75" thickBot="1">
      <c r="B2866" s="225" t="s">
        <v>4800</v>
      </c>
      <c r="C2866" s="226">
        <v>500730</v>
      </c>
      <c r="D2866" s="225" t="s">
        <v>4801</v>
      </c>
      <c r="E2866" s="225" t="s">
        <v>757</v>
      </c>
    </row>
    <row r="2867" spans="2:5" ht="15.75" thickBot="1">
      <c r="B2867" s="225" t="s">
        <v>4802</v>
      </c>
      <c r="C2867" s="226">
        <v>532481</v>
      </c>
      <c r="D2867" s="225" t="s">
        <v>4803</v>
      </c>
      <c r="E2867" s="225" t="s">
        <v>1192</v>
      </c>
    </row>
    <row r="2868" spans="2:5" ht="15.75" thickBot="1">
      <c r="B2868" s="225" t="s">
        <v>4804</v>
      </c>
      <c r="C2868" s="225" t="s">
        <v>597</v>
      </c>
      <c r="D2868" s="225" t="s">
        <v>4805</v>
      </c>
      <c r="E2868" s="225" t="s">
        <v>688</v>
      </c>
    </row>
    <row r="2869" spans="2:5" ht="15.75" thickBot="1">
      <c r="B2869" s="225" t="s">
        <v>4806</v>
      </c>
      <c r="C2869" s="226">
        <v>524414</v>
      </c>
      <c r="D2869" s="225" t="s">
        <v>597</v>
      </c>
      <c r="E2869" s="225" t="s">
        <v>619</v>
      </c>
    </row>
    <row r="2870" spans="2:5" ht="15.75" thickBot="1">
      <c r="B2870" s="225" t="s">
        <v>4807</v>
      </c>
      <c r="C2870" s="226">
        <v>534615</v>
      </c>
      <c r="D2870" s="225" t="s">
        <v>4808</v>
      </c>
      <c r="E2870" s="225" t="s">
        <v>918</v>
      </c>
    </row>
    <row r="2871" spans="2:5" ht="15.75" thickBot="1">
      <c r="B2871" s="225" t="s">
        <v>4809</v>
      </c>
      <c r="C2871" s="226">
        <v>542628</v>
      </c>
      <c r="D2871" s="225" t="s">
        <v>4810</v>
      </c>
      <c r="E2871" s="225" t="s">
        <v>963</v>
      </c>
    </row>
    <row r="2872" spans="2:5" ht="15.75" thickBot="1">
      <c r="B2872" s="225" t="s">
        <v>4811</v>
      </c>
      <c r="C2872" s="226">
        <v>539110</v>
      </c>
      <c r="D2872" s="225" t="s">
        <v>597</v>
      </c>
      <c r="E2872" s="225" t="s">
        <v>614</v>
      </c>
    </row>
    <row r="2873" spans="2:5" ht="15.75" thickBot="1">
      <c r="B2873" s="225" t="s">
        <v>4812</v>
      </c>
      <c r="C2873" s="226">
        <v>540698</v>
      </c>
      <c r="D2873" s="225" t="s">
        <v>597</v>
      </c>
      <c r="E2873" s="225" t="s">
        <v>619</v>
      </c>
    </row>
    <row r="2874" spans="2:5" ht="15.75" thickBot="1">
      <c r="B2874" s="225" t="s">
        <v>4813</v>
      </c>
      <c r="C2874" s="226">
        <v>531465</v>
      </c>
      <c r="D2874" s="225" t="s">
        <v>597</v>
      </c>
      <c r="E2874" s="225" t="s">
        <v>619</v>
      </c>
    </row>
    <row r="2875" spans="2:5" ht="15.75" thickBot="1">
      <c r="B2875" s="225" t="s">
        <v>4814</v>
      </c>
      <c r="C2875" s="226">
        <v>513566</v>
      </c>
      <c r="D2875" s="225" t="s">
        <v>597</v>
      </c>
      <c r="E2875" s="225" t="s">
        <v>629</v>
      </c>
    </row>
    <row r="2876" spans="2:5" ht="15.75" thickBot="1">
      <c r="B2876" s="225" t="s">
        <v>4815</v>
      </c>
      <c r="C2876" s="226">
        <v>530733</v>
      </c>
      <c r="D2876" s="225" t="s">
        <v>597</v>
      </c>
      <c r="E2876" s="225" t="s">
        <v>1121</v>
      </c>
    </row>
    <row r="2877" spans="2:5" ht="15.75" thickBot="1">
      <c r="B2877" s="225" t="s">
        <v>4816</v>
      </c>
      <c r="C2877" s="226">
        <v>530733</v>
      </c>
      <c r="D2877" s="225" t="s">
        <v>597</v>
      </c>
      <c r="E2877" s="225" t="s">
        <v>1121</v>
      </c>
    </row>
    <row r="2878" spans="2:5" ht="15.75" thickBot="1">
      <c r="B2878" s="225" t="s">
        <v>4817</v>
      </c>
      <c r="C2878" s="226">
        <v>500672</v>
      </c>
      <c r="D2878" s="225" t="s">
        <v>597</v>
      </c>
      <c r="E2878" s="225" t="s">
        <v>635</v>
      </c>
    </row>
    <row r="2879" spans="2:5" ht="15.75" thickBot="1">
      <c r="B2879" s="225" t="s">
        <v>4818</v>
      </c>
      <c r="C2879" s="226">
        <v>500672</v>
      </c>
      <c r="D2879" s="225" t="s">
        <v>597</v>
      </c>
      <c r="E2879" s="225" t="s">
        <v>635</v>
      </c>
    </row>
    <row r="2880" spans="2:5" ht="15.75" thickBot="1">
      <c r="B2880" s="225" t="s">
        <v>4819</v>
      </c>
      <c r="C2880" s="226">
        <v>530127</v>
      </c>
      <c r="D2880" s="225" t="s">
        <v>597</v>
      </c>
      <c r="E2880" s="225" t="s">
        <v>580</v>
      </c>
    </row>
    <row r="2881" spans="2:5" ht="15.75" thickBot="1">
      <c r="B2881" s="225" t="s">
        <v>4820</v>
      </c>
      <c r="C2881" s="226">
        <v>530367</v>
      </c>
      <c r="D2881" s="225" t="s">
        <v>4821</v>
      </c>
      <c r="E2881" s="225" t="s">
        <v>605</v>
      </c>
    </row>
    <row r="2882" spans="2:5" ht="15.75" thickBot="1">
      <c r="B2882" s="225" t="s">
        <v>4822</v>
      </c>
      <c r="C2882" s="226">
        <v>535458</v>
      </c>
      <c r="D2882" s="225" t="s">
        <v>4823</v>
      </c>
      <c r="E2882" s="225" t="s">
        <v>782</v>
      </c>
    </row>
    <row r="2883" spans="2:5" ht="15.75" thickBot="1">
      <c r="B2883" s="225" t="s">
        <v>4824</v>
      </c>
      <c r="C2883" s="226">
        <v>526723</v>
      </c>
      <c r="D2883" s="225" t="s">
        <v>597</v>
      </c>
      <c r="E2883" s="225" t="s">
        <v>2767</v>
      </c>
    </row>
    <row r="2884" spans="2:5" ht="15.75" thickBot="1">
      <c r="B2884" s="225" t="s">
        <v>4825</v>
      </c>
      <c r="C2884" s="226">
        <v>532555</v>
      </c>
      <c r="D2884" s="225" t="s">
        <v>546</v>
      </c>
      <c r="E2884" s="225" t="s">
        <v>736</v>
      </c>
    </row>
    <row r="2885" spans="2:5" ht="15.75" thickBot="1">
      <c r="B2885" s="225" t="s">
        <v>4826</v>
      </c>
      <c r="C2885" s="226">
        <v>533015</v>
      </c>
      <c r="D2885" s="225" t="s">
        <v>4827</v>
      </c>
      <c r="E2885" s="225" t="s">
        <v>1544</v>
      </c>
    </row>
    <row r="2886" spans="2:5" ht="15.75" thickBot="1">
      <c r="B2886" s="225" t="s">
        <v>4828</v>
      </c>
      <c r="C2886" s="226">
        <v>533015</v>
      </c>
      <c r="D2886" s="225" t="s">
        <v>4827</v>
      </c>
      <c r="E2886" s="225" t="s">
        <v>1544</v>
      </c>
    </row>
    <row r="2887" spans="2:5" ht="15.75" thickBot="1">
      <c r="B2887" s="225" t="s">
        <v>4829</v>
      </c>
      <c r="C2887" s="226">
        <v>531209</v>
      </c>
      <c r="D2887" s="225" t="s">
        <v>4830</v>
      </c>
      <c r="E2887" s="225" t="s">
        <v>690</v>
      </c>
    </row>
    <row r="2888" spans="2:5" ht="15.75" thickBot="1">
      <c r="B2888" s="225" t="s">
        <v>4831</v>
      </c>
      <c r="C2888" s="226">
        <v>531304</v>
      </c>
      <c r="D2888" s="225" t="s">
        <v>597</v>
      </c>
      <c r="E2888" s="225" t="s">
        <v>612</v>
      </c>
    </row>
    <row r="2889" spans="2:5" ht="15.75" thickBot="1">
      <c r="B2889" s="225" t="s">
        <v>4832</v>
      </c>
      <c r="C2889" s="226">
        <v>524764</v>
      </c>
      <c r="D2889" s="225" t="s">
        <v>597</v>
      </c>
      <c r="E2889" s="225" t="s">
        <v>645</v>
      </c>
    </row>
    <row r="2890" spans="2:5" ht="15.75" thickBot="1">
      <c r="B2890" s="225" t="s">
        <v>4833</v>
      </c>
      <c r="C2890" s="226">
        <v>524764</v>
      </c>
      <c r="D2890" s="225" t="s">
        <v>597</v>
      </c>
      <c r="E2890" s="225" t="s">
        <v>645</v>
      </c>
    </row>
    <row r="2891" spans="2:5" ht="15.75" thickBot="1">
      <c r="B2891" s="225" t="s">
        <v>4834</v>
      </c>
      <c r="C2891" s="226">
        <v>530219</v>
      </c>
      <c r="D2891" s="225" t="s">
        <v>597</v>
      </c>
      <c r="E2891" s="225" t="s">
        <v>711</v>
      </c>
    </row>
    <row r="2892" spans="2:5" ht="15.75" thickBot="1">
      <c r="B2892" s="225" t="s">
        <v>4835</v>
      </c>
      <c r="C2892" s="226">
        <v>531819</v>
      </c>
      <c r="D2892" s="225" t="s">
        <v>597</v>
      </c>
      <c r="E2892" s="225" t="s">
        <v>619</v>
      </c>
    </row>
    <row r="2893" spans="2:5" ht="15.75" thickBot="1">
      <c r="B2893" s="225" t="s">
        <v>4836</v>
      </c>
      <c r="C2893" s="226">
        <v>531819</v>
      </c>
      <c r="D2893" s="225" t="s">
        <v>597</v>
      </c>
      <c r="E2893" s="225" t="s">
        <v>619</v>
      </c>
    </row>
    <row r="2894" spans="2:5" ht="15.75" thickBot="1">
      <c r="B2894" s="225" t="s">
        <v>4837</v>
      </c>
      <c r="C2894" s="226">
        <v>504378</v>
      </c>
      <c r="D2894" s="225" t="s">
        <v>597</v>
      </c>
      <c r="E2894" s="225" t="s">
        <v>619</v>
      </c>
    </row>
    <row r="2895" spans="2:5" ht="15.75" thickBot="1">
      <c r="B2895" s="225" t="s">
        <v>4838</v>
      </c>
      <c r="C2895" s="226">
        <v>539116</v>
      </c>
      <c r="D2895" s="225" t="s">
        <v>597</v>
      </c>
      <c r="E2895" s="225" t="s">
        <v>619</v>
      </c>
    </row>
    <row r="2896" spans="2:5" ht="15.75" thickBot="1">
      <c r="B2896" s="225" t="s">
        <v>4839</v>
      </c>
      <c r="C2896" s="226">
        <v>512489</v>
      </c>
      <c r="D2896" s="225" t="s">
        <v>597</v>
      </c>
      <c r="E2896" s="225" t="s">
        <v>614</v>
      </c>
    </row>
    <row r="2897" spans="2:5" ht="15.75" thickBot="1">
      <c r="B2897" s="225" t="s">
        <v>4840</v>
      </c>
      <c r="C2897" s="226">
        <v>538547</v>
      </c>
      <c r="D2897" s="225" t="s">
        <v>597</v>
      </c>
      <c r="E2897" s="225" t="s">
        <v>846</v>
      </c>
    </row>
    <row r="2898" spans="2:5" ht="15.75" thickBot="1">
      <c r="B2898" s="225" t="s">
        <v>4841</v>
      </c>
      <c r="C2898" s="226">
        <v>533273</v>
      </c>
      <c r="D2898" s="225" t="s">
        <v>4842</v>
      </c>
      <c r="E2898" s="225" t="s">
        <v>683</v>
      </c>
    </row>
    <row r="2899" spans="2:5" ht="15.75" thickBot="1">
      <c r="B2899" s="225" t="s">
        <v>4843</v>
      </c>
      <c r="C2899" s="226">
        <v>535657</v>
      </c>
      <c r="D2899" s="225" t="s">
        <v>597</v>
      </c>
      <c r="E2899" s="225" t="s">
        <v>583</v>
      </c>
    </row>
    <row r="2900" spans="2:5" ht="15.75" thickBot="1">
      <c r="B2900" s="225" t="s">
        <v>4844</v>
      </c>
      <c r="C2900" s="226">
        <v>519491</v>
      </c>
      <c r="D2900" s="225" t="s">
        <v>597</v>
      </c>
      <c r="E2900" s="225" t="s">
        <v>792</v>
      </c>
    </row>
    <row r="2901" spans="2:5" ht="15.75" thickBot="1">
      <c r="B2901" s="225" t="s">
        <v>4845</v>
      </c>
      <c r="C2901" s="226">
        <v>519491</v>
      </c>
      <c r="D2901" s="225" t="s">
        <v>597</v>
      </c>
      <c r="E2901" s="225" t="s">
        <v>792</v>
      </c>
    </row>
    <row r="2902" spans="2:5" ht="15.75" thickBot="1">
      <c r="B2902" s="225" t="s">
        <v>4846</v>
      </c>
      <c r="C2902" s="226">
        <v>538019</v>
      </c>
      <c r="D2902" s="225" t="s">
        <v>597</v>
      </c>
      <c r="E2902" s="225" t="s">
        <v>677</v>
      </c>
    </row>
    <row r="2903" spans="2:5" ht="15.75" thickBot="1">
      <c r="B2903" s="225" t="s">
        <v>4847</v>
      </c>
      <c r="C2903" s="226">
        <v>540405</v>
      </c>
      <c r="D2903" s="225" t="s">
        <v>597</v>
      </c>
      <c r="E2903" s="225" t="s">
        <v>677</v>
      </c>
    </row>
    <row r="2904" spans="2:5" ht="15.75" thickBot="1">
      <c r="B2904" s="225" t="s">
        <v>4848</v>
      </c>
      <c r="C2904" s="226">
        <v>533008</v>
      </c>
      <c r="D2904" s="225" t="s">
        <v>4849</v>
      </c>
      <c r="E2904" s="225" t="s">
        <v>629</v>
      </c>
    </row>
    <row r="2905" spans="2:5" ht="15.75" thickBot="1">
      <c r="B2905" s="225" t="s">
        <v>4850</v>
      </c>
      <c r="C2905" s="226">
        <v>538894</v>
      </c>
      <c r="D2905" s="225" t="s">
        <v>597</v>
      </c>
      <c r="E2905" s="225" t="s">
        <v>580</v>
      </c>
    </row>
    <row r="2906" spans="2:5" ht="15.75" thickBot="1">
      <c r="B2906" s="225" t="s">
        <v>4851</v>
      </c>
      <c r="C2906" s="226">
        <v>540416</v>
      </c>
      <c r="D2906" s="225" t="s">
        <v>597</v>
      </c>
      <c r="E2906" s="225" t="s">
        <v>603</v>
      </c>
    </row>
    <row r="2907" spans="2:5" ht="15.75" thickBot="1">
      <c r="B2907" s="225" t="s">
        <v>4852</v>
      </c>
      <c r="C2907" s="226">
        <v>531996</v>
      </c>
      <c r="D2907" s="225" t="s">
        <v>597</v>
      </c>
      <c r="E2907" s="225" t="s">
        <v>614</v>
      </c>
    </row>
    <row r="2908" spans="2:5" ht="15.75" thickBot="1">
      <c r="B2908" s="225" t="s">
        <v>4853</v>
      </c>
      <c r="C2908" s="226">
        <v>530175</v>
      </c>
      <c r="D2908" s="225" t="s">
        <v>597</v>
      </c>
      <c r="E2908" s="225" t="s">
        <v>690</v>
      </c>
    </row>
    <row r="2909" spans="2:5" ht="15.75" thickBot="1">
      <c r="B2909" s="225" t="s">
        <v>4854</v>
      </c>
      <c r="C2909" s="226">
        <v>539570</v>
      </c>
      <c r="D2909" s="225" t="s">
        <v>597</v>
      </c>
      <c r="E2909" s="225" t="s">
        <v>583</v>
      </c>
    </row>
    <row r="2910" spans="2:5" ht="15.75" thickBot="1">
      <c r="B2910" s="225" t="s">
        <v>4855</v>
      </c>
      <c r="C2910" s="226">
        <v>500312</v>
      </c>
      <c r="D2910" s="225" t="s">
        <v>4856</v>
      </c>
      <c r="E2910" s="225" t="s">
        <v>660</v>
      </c>
    </row>
    <row r="2911" spans="2:5" ht="15.75" thickBot="1">
      <c r="B2911" s="225" t="s">
        <v>4857</v>
      </c>
      <c r="C2911" s="226">
        <v>533106</v>
      </c>
      <c r="D2911" s="225" t="s">
        <v>4858</v>
      </c>
      <c r="E2911" s="225" t="s">
        <v>660</v>
      </c>
    </row>
    <row r="2912" spans="2:5" ht="15.75" thickBot="1">
      <c r="B2912" s="225" t="s">
        <v>4859</v>
      </c>
      <c r="C2912" s="226">
        <v>500313</v>
      </c>
      <c r="D2912" s="225" t="s">
        <v>4860</v>
      </c>
      <c r="E2912" s="225" t="s">
        <v>938</v>
      </c>
    </row>
    <row r="2913" spans="2:5" ht="15.75" thickBot="1">
      <c r="B2913" s="225" t="s">
        <v>4861</v>
      </c>
      <c r="C2913" s="226">
        <v>533106</v>
      </c>
      <c r="D2913" s="225" t="s">
        <v>4858</v>
      </c>
      <c r="E2913" s="225" t="s">
        <v>660</v>
      </c>
    </row>
    <row r="2914" spans="2:5" ht="15.75" thickBot="1">
      <c r="B2914" s="225" t="s">
        <v>4862</v>
      </c>
      <c r="C2914" s="226">
        <v>526415</v>
      </c>
      <c r="D2914" s="225" t="s">
        <v>597</v>
      </c>
      <c r="E2914" s="225" t="s">
        <v>1095</v>
      </c>
    </row>
    <row r="2915" spans="2:5" ht="15.75" thickBot="1">
      <c r="B2915" s="225" t="s">
        <v>4863</v>
      </c>
      <c r="C2915" s="226">
        <v>526415</v>
      </c>
      <c r="D2915" s="225" t="s">
        <v>597</v>
      </c>
      <c r="E2915" s="225" t="s">
        <v>1095</v>
      </c>
    </row>
    <row r="2916" spans="2:5" ht="15.75" thickBot="1">
      <c r="B2916" s="225" t="s">
        <v>4864</v>
      </c>
      <c r="C2916" s="226">
        <v>532439</v>
      </c>
      <c r="D2916" s="225" t="s">
        <v>4865</v>
      </c>
      <c r="E2916" s="225" t="s">
        <v>605</v>
      </c>
    </row>
    <row r="2917" spans="2:5" ht="15.75" thickBot="1">
      <c r="B2917" s="225" t="s">
        <v>4866</v>
      </c>
      <c r="C2917" s="226">
        <v>521105</v>
      </c>
      <c r="D2917" s="225" t="s">
        <v>597</v>
      </c>
      <c r="E2917" s="225" t="s">
        <v>3356</v>
      </c>
    </row>
    <row r="2918" spans="2:5" ht="15.75" thickBot="1">
      <c r="B2918" s="225" t="s">
        <v>4867</v>
      </c>
      <c r="C2918" s="226">
        <v>534190</v>
      </c>
      <c r="D2918" s="225" t="s">
        <v>597</v>
      </c>
      <c r="E2918" s="225" t="s">
        <v>1095</v>
      </c>
    </row>
    <row r="2919" spans="2:5" ht="15.75" thickBot="1">
      <c r="B2919" s="225" t="s">
        <v>4868</v>
      </c>
      <c r="C2919" s="226">
        <v>507609</v>
      </c>
      <c r="D2919" s="225" t="s">
        <v>597</v>
      </c>
      <c r="E2919" s="225" t="s">
        <v>795</v>
      </c>
    </row>
    <row r="2920" spans="2:5" ht="15.75" thickBot="1">
      <c r="B2920" s="225" t="s">
        <v>4869</v>
      </c>
      <c r="C2920" s="226">
        <v>531092</v>
      </c>
      <c r="D2920" s="225" t="s">
        <v>4870</v>
      </c>
      <c r="E2920" s="225" t="s">
        <v>995</v>
      </c>
    </row>
    <row r="2921" spans="2:5" ht="15.75" thickBot="1">
      <c r="B2921" s="225" t="s">
        <v>4871</v>
      </c>
      <c r="C2921" s="226">
        <v>538537</v>
      </c>
      <c r="D2921" s="225" t="s">
        <v>597</v>
      </c>
      <c r="E2921" s="225" t="s">
        <v>619</v>
      </c>
    </row>
    <row r="2922" spans="2:5" ht="15.75" thickBot="1">
      <c r="B2922" s="225" t="s">
        <v>4872</v>
      </c>
      <c r="C2922" s="226">
        <v>520021</v>
      </c>
      <c r="D2922" s="225" t="s">
        <v>4873</v>
      </c>
      <c r="E2922" s="225" t="s">
        <v>952</v>
      </c>
    </row>
    <row r="2923" spans="2:5" ht="15.75" thickBot="1">
      <c r="B2923" s="225" t="s">
        <v>4874</v>
      </c>
      <c r="C2923" s="226">
        <v>532880</v>
      </c>
      <c r="D2923" s="225" t="s">
        <v>4875</v>
      </c>
      <c r="E2923" s="225" t="s">
        <v>683</v>
      </c>
    </row>
    <row r="2924" spans="2:5" ht="15.75" thickBot="1">
      <c r="B2924" s="225" t="s">
        <v>4876</v>
      </c>
      <c r="C2924" s="225" t="s">
        <v>597</v>
      </c>
      <c r="D2924" s="225" t="s">
        <v>4877</v>
      </c>
      <c r="E2924" s="225" t="s">
        <v>608</v>
      </c>
    </row>
    <row r="2925" spans="2:5" ht="15.75" thickBot="1">
      <c r="B2925" s="225" t="s">
        <v>4878</v>
      </c>
      <c r="C2925" s="225" t="s">
        <v>597</v>
      </c>
      <c r="D2925" s="225" t="s">
        <v>4877</v>
      </c>
      <c r="E2925" s="225" t="s">
        <v>608</v>
      </c>
    </row>
    <row r="2926" spans="2:5" ht="15.75" thickBot="1">
      <c r="B2926" s="225" t="s">
        <v>4879</v>
      </c>
      <c r="C2926" s="226">
        <v>531496</v>
      </c>
      <c r="D2926" s="225" t="s">
        <v>597</v>
      </c>
      <c r="E2926" s="225" t="s">
        <v>612</v>
      </c>
    </row>
    <row r="2927" spans="2:5" ht="15.75" thickBot="1">
      <c r="B2927" s="225" t="s">
        <v>4880</v>
      </c>
      <c r="C2927" s="226">
        <v>532167</v>
      </c>
      <c r="D2927" s="225" t="s">
        <v>597</v>
      </c>
      <c r="E2927" s="225" t="s">
        <v>645</v>
      </c>
    </row>
    <row r="2928" spans="2:5" ht="15.75" thickBot="1">
      <c r="B2928" s="225" t="s">
        <v>4881</v>
      </c>
      <c r="C2928" s="226">
        <v>533317</v>
      </c>
      <c r="D2928" s="225" t="s">
        <v>4882</v>
      </c>
      <c r="E2928" s="225" t="s">
        <v>757</v>
      </c>
    </row>
    <row r="2929" spans="2:5" ht="15.75" thickBot="1">
      <c r="B2929" s="225" t="s">
        <v>4883</v>
      </c>
      <c r="C2929" s="226">
        <v>532340</v>
      </c>
      <c r="D2929" s="225" t="s">
        <v>597</v>
      </c>
      <c r="E2929" s="225" t="s">
        <v>690</v>
      </c>
    </row>
    <row r="2930" spans="2:5" ht="15.75" thickBot="1">
      <c r="B2930" s="225" t="s">
        <v>4884</v>
      </c>
      <c r="C2930" s="226">
        <v>514324</v>
      </c>
      <c r="D2930" s="225" t="s">
        <v>597</v>
      </c>
      <c r="E2930" s="225" t="s">
        <v>612</v>
      </c>
    </row>
    <row r="2931" spans="2:5" ht="15.75" thickBot="1">
      <c r="B2931" s="225" t="s">
        <v>4885</v>
      </c>
      <c r="C2931" s="226">
        <v>514324</v>
      </c>
      <c r="D2931" s="225" t="s">
        <v>597</v>
      </c>
      <c r="E2931" s="225" t="s">
        <v>612</v>
      </c>
    </row>
    <row r="2932" spans="2:5" ht="15.75" thickBot="1">
      <c r="B2932" s="225" t="s">
        <v>4886</v>
      </c>
      <c r="C2932" s="225" t="s">
        <v>597</v>
      </c>
      <c r="D2932" s="225" t="s">
        <v>4887</v>
      </c>
      <c r="E2932" s="225" t="s">
        <v>608</v>
      </c>
    </row>
    <row r="2933" spans="2:5" ht="15.75" thickBot="1">
      <c r="B2933" s="225" t="s">
        <v>4888</v>
      </c>
      <c r="C2933" s="226">
        <v>533632</v>
      </c>
      <c r="D2933" s="225" t="s">
        <v>4889</v>
      </c>
      <c r="E2933" s="225" t="s">
        <v>617</v>
      </c>
    </row>
    <row r="2934" spans="2:5" ht="15.75" thickBot="1">
      <c r="B2934" s="225" t="s">
        <v>4890</v>
      </c>
      <c r="C2934" s="226">
        <v>530805</v>
      </c>
      <c r="D2934" s="225" t="s">
        <v>597</v>
      </c>
      <c r="E2934" s="225" t="s">
        <v>681</v>
      </c>
    </row>
    <row r="2935" spans="2:5" ht="15.75" thickBot="1">
      <c r="B2935" s="225" t="s">
        <v>4891</v>
      </c>
      <c r="C2935" s="226">
        <v>535647</v>
      </c>
      <c r="D2935" s="225" t="s">
        <v>597</v>
      </c>
      <c r="E2935" s="225" t="s">
        <v>600</v>
      </c>
    </row>
    <row r="2936" spans="2:5" ht="15.75" thickBot="1">
      <c r="B2936" s="225" t="s">
        <v>4892</v>
      </c>
      <c r="C2936" s="226">
        <v>532944</v>
      </c>
      <c r="D2936" s="225" t="s">
        <v>4893</v>
      </c>
      <c r="E2936" s="225" t="s">
        <v>1544</v>
      </c>
    </row>
    <row r="2937" spans="2:5" ht="15.75" thickBot="1">
      <c r="B2937" s="225" t="s">
        <v>4894</v>
      </c>
      <c r="C2937" s="226">
        <v>540386</v>
      </c>
      <c r="D2937" s="225" t="s">
        <v>597</v>
      </c>
      <c r="E2937" s="225" t="s">
        <v>580</v>
      </c>
    </row>
    <row r="2938" spans="2:5" ht="15.75" thickBot="1">
      <c r="B2938" s="225" t="s">
        <v>4895</v>
      </c>
      <c r="C2938" s="226">
        <v>517536</v>
      </c>
      <c r="D2938" s="225" t="s">
        <v>4896</v>
      </c>
      <c r="E2938" s="225" t="s">
        <v>583</v>
      </c>
    </row>
    <row r="2939" spans="2:5" ht="15.75" thickBot="1">
      <c r="B2939" s="225" t="s">
        <v>4897</v>
      </c>
      <c r="C2939" s="225" t="s">
        <v>597</v>
      </c>
      <c r="D2939" s="225" t="s">
        <v>4898</v>
      </c>
      <c r="E2939" s="225" t="s">
        <v>608</v>
      </c>
    </row>
    <row r="2940" spans="2:5" ht="15.75" thickBot="1">
      <c r="B2940" s="225" t="s">
        <v>4899</v>
      </c>
      <c r="C2940" s="226">
        <v>530135</v>
      </c>
      <c r="D2940" s="225" t="s">
        <v>4900</v>
      </c>
      <c r="E2940" s="225" t="s">
        <v>631</v>
      </c>
    </row>
    <row r="2941" spans="2:5" ht="15.75" thickBot="1">
      <c r="B2941" s="225" t="s">
        <v>4901</v>
      </c>
      <c r="C2941" s="226">
        <v>531254</v>
      </c>
      <c r="D2941" s="225" t="s">
        <v>597</v>
      </c>
      <c r="E2941" s="225" t="s">
        <v>614</v>
      </c>
    </row>
    <row r="2942" spans="2:5" ht="15.75" thickBot="1">
      <c r="B2942" s="225" t="s">
        <v>4902</v>
      </c>
      <c r="C2942" s="226">
        <v>532391</v>
      </c>
      <c r="D2942" s="225" t="s">
        <v>4903</v>
      </c>
      <c r="E2942" s="225" t="s">
        <v>1764</v>
      </c>
    </row>
    <row r="2943" spans="2:5" ht="15.75" thickBot="1">
      <c r="B2943" s="225" t="s">
        <v>4904</v>
      </c>
      <c r="C2943" s="226">
        <v>532391</v>
      </c>
      <c r="D2943" s="225" t="s">
        <v>4903</v>
      </c>
      <c r="E2943" s="225" t="s">
        <v>1764</v>
      </c>
    </row>
    <row r="2944" spans="2:5" ht="15.75" thickBot="1">
      <c r="B2944" s="225" t="s">
        <v>4905</v>
      </c>
      <c r="C2944" s="226">
        <v>539598</v>
      </c>
      <c r="D2944" s="225" t="s">
        <v>597</v>
      </c>
      <c r="E2944" s="225" t="s">
        <v>614</v>
      </c>
    </row>
    <row r="2945" spans="2:5" ht="15.75" thickBot="1">
      <c r="B2945" s="225" t="s">
        <v>4906</v>
      </c>
      <c r="C2945" s="226">
        <v>532466</v>
      </c>
      <c r="D2945" s="225" t="s">
        <v>4907</v>
      </c>
      <c r="E2945" s="225" t="s">
        <v>583</v>
      </c>
    </row>
    <row r="2946" spans="2:5" ht="15.75" thickBot="1">
      <c r="B2946" s="225" t="s">
        <v>4908</v>
      </c>
      <c r="C2946" s="226">
        <v>512626</v>
      </c>
      <c r="D2946" s="225" t="s">
        <v>4909</v>
      </c>
      <c r="E2946" s="225" t="s">
        <v>612</v>
      </c>
    </row>
    <row r="2947" spans="2:5" ht="15.75" thickBot="1">
      <c r="B2947" s="225" t="s">
        <v>4910</v>
      </c>
      <c r="C2947" s="226">
        <v>524372</v>
      </c>
      <c r="D2947" s="225" t="s">
        <v>4911</v>
      </c>
      <c r="E2947" s="225" t="s">
        <v>635</v>
      </c>
    </row>
    <row r="2948" spans="2:5" ht="15.75" thickBot="1">
      <c r="B2948" s="225" t="s">
        <v>4912</v>
      </c>
      <c r="C2948" s="226">
        <v>531157</v>
      </c>
      <c r="D2948" s="225" t="s">
        <v>597</v>
      </c>
      <c r="E2948" s="225" t="s">
        <v>757</v>
      </c>
    </row>
    <row r="2949" spans="2:5" ht="15.75" thickBot="1">
      <c r="B2949" s="225" t="s">
        <v>4913</v>
      </c>
      <c r="C2949" s="226">
        <v>513121</v>
      </c>
      <c r="D2949" s="225" t="s">
        <v>4914</v>
      </c>
      <c r="E2949" s="225" t="s">
        <v>757</v>
      </c>
    </row>
    <row r="2950" spans="2:5" ht="15.75" thickBot="1">
      <c r="B2950" s="225" t="s">
        <v>4915</v>
      </c>
      <c r="C2950" s="226">
        <v>504879</v>
      </c>
      <c r="D2950" s="225" t="s">
        <v>4916</v>
      </c>
      <c r="E2950" s="225" t="s">
        <v>1517</v>
      </c>
    </row>
    <row r="2951" spans="2:5" ht="15.75" thickBot="1">
      <c r="B2951" s="225" t="s">
        <v>4917</v>
      </c>
      <c r="C2951" s="226">
        <v>530365</v>
      </c>
      <c r="D2951" s="225" t="s">
        <v>4918</v>
      </c>
      <c r="E2951" s="225" t="s">
        <v>874</v>
      </c>
    </row>
    <row r="2952" spans="2:5" ht="15.75" thickBot="1">
      <c r="B2952" s="225" t="s">
        <v>4919</v>
      </c>
      <c r="C2952" s="226">
        <v>507690</v>
      </c>
      <c r="D2952" s="225" t="s">
        <v>597</v>
      </c>
      <c r="E2952" s="225" t="s">
        <v>1032</v>
      </c>
    </row>
    <row r="2953" spans="2:5" ht="15.75" thickBot="1">
      <c r="B2953" s="225" t="s">
        <v>4920</v>
      </c>
      <c r="C2953" s="226">
        <v>535754</v>
      </c>
      <c r="D2953" s="225" t="s">
        <v>4921</v>
      </c>
      <c r="E2953" s="225" t="s">
        <v>610</v>
      </c>
    </row>
    <row r="2954" spans="2:5" ht="15.75" thickBot="1">
      <c r="B2954" s="225" t="s">
        <v>4922</v>
      </c>
      <c r="C2954" s="226">
        <v>541301</v>
      </c>
      <c r="D2954" s="225" t="s">
        <v>4923</v>
      </c>
      <c r="E2954" s="225" t="s">
        <v>966</v>
      </c>
    </row>
    <row r="2955" spans="2:5" ht="15.75" thickBot="1">
      <c r="B2955" s="225" t="s">
        <v>4924</v>
      </c>
      <c r="C2955" s="226">
        <v>533263</v>
      </c>
      <c r="D2955" s="225" t="s">
        <v>4925</v>
      </c>
      <c r="E2955" s="225" t="s">
        <v>736</v>
      </c>
    </row>
    <row r="2956" spans="2:5" ht="15.75" thickBot="1">
      <c r="B2956" s="225" t="s">
        <v>4926</v>
      </c>
      <c r="C2956" s="226">
        <v>502420</v>
      </c>
      <c r="D2956" s="225" t="s">
        <v>4927</v>
      </c>
      <c r="E2956" s="225" t="s">
        <v>591</v>
      </c>
    </row>
    <row r="2957" spans="2:5" ht="15.75" thickBot="1">
      <c r="B2957" s="225" t="s">
        <v>4928</v>
      </c>
      <c r="C2957" s="226">
        <v>526325</v>
      </c>
      <c r="D2957" s="225" t="s">
        <v>4929</v>
      </c>
      <c r="E2957" s="225" t="s">
        <v>792</v>
      </c>
    </row>
    <row r="2958" spans="2:5" ht="15.75" thickBot="1">
      <c r="B2958" s="225" t="s">
        <v>4930</v>
      </c>
      <c r="C2958" s="226">
        <v>534076</v>
      </c>
      <c r="D2958" s="225" t="s">
        <v>4931</v>
      </c>
      <c r="E2958" s="225" t="s">
        <v>782</v>
      </c>
    </row>
    <row r="2959" spans="2:5" ht="15.75" thickBot="1">
      <c r="B2959" s="225" t="s">
        <v>4932</v>
      </c>
      <c r="C2959" s="226">
        <v>531512</v>
      </c>
      <c r="D2959" s="225" t="s">
        <v>597</v>
      </c>
      <c r="E2959" s="225" t="s">
        <v>600</v>
      </c>
    </row>
    <row r="2960" spans="2:5" ht="15.75" thickBot="1">
      <c r="B2960" s="225" t="s">
        <v>4933</v>
      </c>
      <c r="C2960" s="226">
        <v>500078</v>
      </c>
      <c r="D2960" s="225" t="s">
        <v>597</v>
      </c>
      <c r="E2960" s="225" t="s">
        <v>645</v>
      </c>
    </row>
    <row r="2961" spans="2:5" ht="15.75" thickBot="1">
      <c r="B2961" s="225" t="s">
        <v>4934</v>
      </c>
      <c r="C2961" s="226">
        <v>500315</v>
      </c>
      <c r="D2961" s="225" t="s">
        <v>4935</v>
      </c>
      <c r="E2961" s="225" t="s">
        <v>915</v>
      </c>
    </row>
    <row r="2962" spans="2:5" ht="15.75" thickBot="1">
      <c r="B2962" s="225" t="s">
        <v>4936</v>
      </c>
      <c r="C2962" s="226">
        <v>506579</v>
      </c>
      <c r="D2962" s="225" t="s">
        <v>4937</v>
      </c>
      <c r="E2962" s="225" t="s">
        <v>645</v>
      </c>
    </row>
    <row r="2963" spans="2:5" ht="15.75" thickBot="1">
      <c r="B2963" s="225" t="s">
        <v>4938</v>
      </c>
      <c r="C2963" s="226">
        <v>500314</v>
      </c>
      <c r="D2963" s="225" t="s">
        <v>4939</v>
      </c>
      <c r="E2963" s="225" t="s">
        <v>798</v>
      </c>
    </row>
    <row r="2964" spans="2:5" ht="15.75" thickBot="1">
      <c r="B2964" s="225" t="s">
        <v>4940</v>
      </c>
      <c r="C2964" s="226">
        <v>532817</v>
      </c>
      <c r="D2964" s="225" t="s">
        <v>4941</v>
      </c>
      <c r="E2964" s="225" t="s">
        <v>1125</v>
      </c>
    </row>
    <row r="2965" spans="2:5" ht="15.75" thickBot="1">
      <c r="B2965" s="225" t="s">
        <v>4942</v>
      </c>
      <c r="C2965" s="226">
        <v>531859</v>
      </c>
      <c r="D2965" s="225" t="s">
        <v>597</v>
      </c>
      <c r="E2965" s="225" t="s">
        <v>1517</v>
      </c>
    </row>
    <row r="2966" spans="2:5" ht="15.75" thickBot="1">
      <c r="B2966" s="225" t="s">
        <v>4943</v>
      </c>
      <c r="C2966" s="226">
        <v>541206</v>
      </c>
      <c r="D2966" s="225" t="s">
        <v>597</v>
      </c>
      <c r="E2966" s="225" t="s">
        <v>918</v>
      </c>
    </row>
    <row r="2967" spans="2:5" ht="15.75" thickBot="1">
      <c r="B2967" s="225" t="s">
        <v>4944</v>
      </c>
      <c r="C2967" s="226">
        <v>531626</v>
      </c>
      <c r="D2967" s="225" t="s">
        <v>597</v>
      </c>
      <c r="E2967" s="225" t="s">
        <v>711</v>
      </c>
    </row>
    <row r="2968" spans="2:5" ht="15.75" thickBot="1">
      <c r="B2968" s="225" t="s">
        <v>4945</v>
      </c>
      <c r="C2968" s="226">
        <v>531626</v>
      </c>
      <c r="D2968" s="225" t="s">
        <v>597</v>
      </c>
      <c r="E2968" s="225" t="s">
        <v>711</v>
      </c>
    </row>
    <row r="2969" spans="2:5" ht="15.75" thickBot="1">
      <c r="B2969" s="225" t="s">
        <v>4946</v>
      </c>
      <c r="C2969" s="226">
        <v>539015</v>
      </c>
      <c r="D2969" s="225" t="s">
        <v>4947</v>
      </c>
      <c r="E2969" s="225" t="s">
        <v>1336</v>
      </c>
    </row>
    <row r="2970" spans="2:5" ht="15.75" thickBot="1">
      <c r="B2970" s="225" t="s">
        <v>4948</v>
      </c>
      <c r="C2970" s="226">
        <v>539287</v>
      </c>
      <c r="D2970" s="225" t="s">
        <v>4949</v>
      </c>
      <c r="E2970" s="225" t="s">
        <v>635</v>
      </c>
    </row>
    <row r="2971" spans="2:5" ht="15.75" thickBot="1">
      <c r="B2971" s="225" t="s">
        <v>4950</v>
      </c>
      <c r="C2971" s="226">
        <v>530173</v>
      </c>
      <c r="D2971" s="225" t="s">
        <v>597</v>
      </c>
      <c r="E2971" s="225" t="s">
        <v>711</v>
      </c>
    </row>
    <row r="2972" spans="2:5" ht="15.75" thickBot="1">
      <c r="B2972" s="225" t="s">
        <v>4951</v>
      </c>
      <c r="C2972" s="226">
        <v>501179</v>
      </c>
      <c r="D2972" s="225" t="s">
        <v>597</v>
      </c>
      <c r="E2972" s="225" t="s">
        <v>617</v>
      </c>
    </row>
    <row r="2973" spans="2:5" ht="15.75" thickBot="1">
      <c r="B2973" s="225" t="s">
        <v>4952</v>
      </c>
      <c r="C2973" s="226">
        <v>509782</v>
      </c>
      <c r="D2973" s="225" t="s">
        <v>597</v>
      </c>
      <c r="E2973" s="225" t="s">
        <v>1018</v>
      </c>
    </row>
    <row r="2974" spans="2:5" ht="15.75" thickBot="1">
      <c r="B2974" s="225" t="s">
        <v>4953</v>
      </c>
      <c r="C2974" s="226">
        <v>540198</v>
      </c>
      <c r="D2974" s="225" t="s">
        <v>597</v>
      </c>
      <c r="E2974" s="225" t="s">
        <v>612</v>
      </c>
    </row>
    <row r="2975" spans="2:5" ht="15.75" thickBot="1">
      <c r="B2975" s="225" t="s">
        <v>4954</v>
      </c>
      <c r="C2975" s="226">
        <v>500317</v>
      </c>
      <c r="D2975" s="225" t="s">
        <v>4955</v>
      </c>
      <c r="E2975" s="225" t="s">
        <v>617</v>
      </c>
    </row>
    <row r="2976" spans="2:5" ht="15.75" thickBot="1">
      <c r="B2976" s="225" t="s">
        <v>4956</v>
      </c>
      <c r="C2976" s="226">
        <v>539290</v>
      </c>
      <c r="D2976" s="225" t="s">
        <v>4957</v>
      </c>
      <c r="E2976" s="225" t="s">
        <v>617</v>
      </c>
    </row>
    <row r="2977" spans="2:5" ht="15.75" thickBot="1">
      <c r="B2977" s="225" t="s">
        <v>4958</v>
      </c>
      <c r="C2977" s="226">
        <v>509099</v>
      </c>
      <c r="D2977" s="225" t="s">
        <v>597</v>
      </c>
      <c r="E2977" s="225" t="s">
        <v>1018</v>
      </c>
    </row>
    <row r="2978" spans="2:5" ht="15.75" thickBot="1">
      <c r="B2978" s="225" t="s">
        <v>4959</v>
      </c>
      <c r="C2978" s="226">
        <v>531065</v>
      </c>
      <c r="D2978" s="225" t="s">
        <v>597</v>
      </c>
      <c r="E2978" s="225" t="s">
        <v>1296</v>
      </c>
    </row>
    <row r="2979" spans="2:5" ht="15.75" thickBot="1">
      <c r="B2979" s="225" t="s">
        <v>4960</v>
      </c>
      <c r="C2979" s="226">
        <v>514460</v>
      </c>
      <c r="D2979" s="225" t="s">
        <v>597</v>
      </c>
      <c r="E2979" s="225" t="s">
        <v>619</v>
      </c>
    </row>
    <row r="2980" spans="2:5" ht="15.75" thickBot="1">
      <c r="B2980" s="225" t="s">
        <v>4961</v>
      </c>
      <c r="C2980" s="226">
        <v>523151</v>
      </c>
      <c r="D2980" s="225" t="s">
        <v>597</v>
      </c>
      <c r="E2980" s="225" t="s">
        <v>681</v>
      </c>
    </row>
    <row r="2981" spans="2:5" ht="15.75" thickBot="1">
      <c r="B2981" s="225" t="s">
        <v>4962</v>
      </c>
      <c r="C2981" s="226">
        <v>514330</v>
      </c>
      <c r="D2981" s="225" t="s">
        <v>597</v>
      </c>
      <c r="E2981" s="225" t="s">
        <v>612</v>
      </c>
    </row>
    <row r="2982" spans="2:5" ht="15.75" thickBot="1">
      <c r="B2982" s="225" t="s">
        <v>4963</v>
      </c>
      <c r="C2982" s="226">
        <v>530741</v>
      </c>
      <c r="D2982" s="225" t="s">
        <v>597</v>
      </c>
      <c r="E2982" s="225" t="s">
        <v>677</v>
      </c>
    </row>
    <row r="2983" spans="2:5" ht="15.75" thickBot="1">
      <c r="B2983" s="225" t="s">
        <v>4964</v>
      </c>
      <c r="C2983" s="226">
        <v>539291</v>
      </c>
      <c r="D2983" s="225" t="s">
        <v>597</v>
      </c>
      <c r="E2983" s="225" t="s">
        <v>795</v>
      </c>
    </row>
    <row r="2984" spans="2:5" ht="15.75" thickBot="1">
      <c r="B2984" s="225" t="s">
        <v>4965</v>
      </c>
      <c r="C2984" s="226">
        <v>539352</v>
      </c>
      <c r="D2984" s="225" t="s">
        <v>597</v>
      </c>
      <c r="E2984" s="225" t="s">
        <v>600</v>
      </c>
    </row>
    <row r="2985" spans="2:5" ht="15.75" thickBot="1">
      <c r="B2985" s="225" t="s">
        <v>4966</v>
      </c>
      <c r="C2985" s="226">
        <v>513403</v>
      </c>
      <c r="D2985" s="225" t="s">
        <v>597</v>
      </c>
      <c r="E2985" s="225" t="s">
        <v>629</v>
      </c>
    </row>
    <row r="2986" spans="2:5" ht="15.75" thickBot="1">
      <c r="B2986" s="225" t="s">
        <v>4967</v>
      </c>
      <c r="C2986" s="226">
        <v>523862</v>
      </c>
      <c r="D2986" s="225" t="s">
        <v>597</v>
      </c>
      <c r="E2986" s="225" t="s">
        <v>614</v>
      </c>
    </row>
    <row r="2987" spans="2:5" ht="15.75" thickBot="1">
      <c r="B2987" s="225" t="s">
        <v>4968</v>
      </c>
      <c r="C2987" s="226">
        <v>523483</v>
      </c>
      <c r="D2987" s="225" t="s">
        <v>597</v>
      </c>
      <c r="E2987" s="225" t="s">
        <v>1125</v>
      </c>
    </row>
    <row r="2988" spans="2:5" ht="15.75" thickBot="1">
      <c r="B2988" s="225" t="s">
        <v>4969</v>
      </c>
      <c r="C2988" s="226">
        <v>538963</v>
      </c>
      <c r="D2988" s="225" t="s">
        <v>597</v>
      </c>
      <c r="E2988" s="225" t="s">
        <v>920</v>
      </c>
    </row>
    <row r="2989" spans="2:5" ht="15.75" thickBot="1">
      <c r="B2989" s="225" t="s">
        <v>4970</v>
      </c>
      <c r="C2989" s="226">
        <v>531395</v>
      </c>
      <c r="D2989" s="225" t="s">
        <v>597</v>
      </c>
      <c r="E2989" s="225" t="s">
        <v>612</v>
      </c>
    </row>
    <row r="2990" spans="2:5" ht="15.75" thickBot="1">
      <c r="B2990" s="225" t="s">
        <v>4971</v>
      </c>
      <c r="C2990" s="226">
        <v>532350</v>
      </c>
      <c r="D2990" s="225" t="s">
        <v>597</v>
      </c>
      <c r="E2990" s="225" t="s">
        <v>600</v>
      </c>
    </row>
    <row r="2991" spans="2:5" ht="15.75" thickBot="1">
      <c r="B2991" s="225" t="s">
        <v>4972</v>
      </c>
      <c r="C2991" s="226">
        <v>526905</v>
      </c>
      <c r="D2991" s="225" t="s">
        <v>597</v>
      </c>
      <c r="E2991" s="225" t="s">
        <v>645</v>
      </c>
    </row>
    <row r="2992" spans="2:5" ht="15.75" thickBot="1">
      <c r="B2992" s="225" t="s">
        <v>4973</v>
      </c>
      <c r="C2992" s="226">
        <v>517230</v>
      </c>
      <c r="D2992" s="225" t="s">
        <v>4974</v>
      </c>
      <c r="E2992" s="225" t="s">
        <v>619</v>
      </c>
    </row>
    <row r="2993" spans="2:5" ht="15.75" thickBot="1">
      <c r="B2993" s="225" t="s">
        <v>4975</v>
      </c>
      <c r="C2993" s="226">
        <v>532827</v>
      </c>
      <c r="D2993" s="225" t="s">
        <v>4976</v>
      </c>
      <c r="E2993" s="225" t="s">
        <v>711</v>
      </c>
    </row>
    <row r="2994" spans="2:5" ht="15.75" thickBot="1">
      <c r="B2994" s="225" t="s">
        <v>4977</v>
      </c>
      <c r="C2994" s="226">
        <v>532900</v>
      </c>
      <c r="D2994" s="225" t="s">
        <v>4978</v>
      </c>
      <c r="E2994" s="225" t="s">
        <v>614</v>
      </c>
    </row>
    <row r="2995" spans="2:5" ht="15.75" thickBot="1">
      <c r="B2995" s="225" t="s">
        <v>4979</v>
      </c>
      <c r="C2995" s="226">
        <v>540648</v>
      </c>
      <c r="D2995" s="225" t="s">
        <v>4980</v>
      </c>
      <c r="E2995" s="225" t="s">
        <v>617</v>
      </c>
    </row>
    <row r="2996" spans="2:5" ht="15.75" thickBot="1">
      <c r="B2996" s="225" t="s">
        <v>4981</v>
      </c>
      <c r="C2996" s="226">
        <v>539121</v>
      </c>
      <c r="D2996" s="225" t="s">
        <v>597</v>
      </c>
      <c r="E2996" s="225" t="s">
        <v>902</v>
      </c>
    </row>
    <row r="2997" spans="2:5" ht="15.75" thickBot="1">
      <c r="B2997" s="225" t="s">
        <v>4982</v>
      </c>
      <c r="C2997" s="226">
        <v>541444</v>
      </c>
      <c r="D2997" s="225" t="s">
        <v>597</v>
      </c>
      <c r="E2997" s="225" t="s">
        <v>711</v>
      </c>
    </row>
    <row r="2998" spans="2:5" ht="15.75" thickBot="1">
      <c r="B2998" s="225" t="s">
        <v>4983</v>
      </c>
      <c r="C2998" s="226">
        <v>532521</v>
      </c>
      <c r="D2998" s="225" t="s">
        <v>4984</v>
      </c>
      <c r="E2998" s="225" t="s">
        <v>690</v>
      </c>
    </row>
    <row r="2999" spans="2:5" ht="15.75" thickBot="1">
      <c r="B2999" s="225" t="s">
        <v>4985</v>
      </c>
      <c r="C2999" s="226">
        <v>511597</v>
      </c>
      <c r="D2999" s="225" t="s">
        <v>597</v>
      </c>
      <c r="E2999" s="225" t="s">
        <v>614</v>
      </c>
    </row>
    <row r="3000" spans="2:5" ht="15.75" thickBot="1">
      <c r="B3000" s="225" t="s">
        <v>4986</v>
      </c>
      <c r="C3000" s="226">
        <v>517397</v>
      </c>
      <c r="D3000" s="225" t="s">
        <v>597</v>
      </c>
      <c r="E3000" s="225" t="s">
        <v>1139</v>
      </c>
    </row>
    <row r="3001" spans="2:5" ht="15.75" thickBot="1">
      <c r="B3001" s="225" t="s">
        <v>4987</v>
      </c>
      <c r="C3001" s="226">
        <v>517397</v>
      </c>
      <c r="D3001" s="225" t="s">
        <v>597</v>
      </c>
      <c r="E3001" s="225" t="s">
        <v>1139</v>
      </c>
    </row>
    <row r="3002" spans="2:5" ht="15.75" thickBot="1">
      <c r="B3002" s="225" t="s">
        <v>4988</v>
      </c>
      <c r="C3002" s="226">
        <v>511525</v>
      </c>
      <c r="D3002" s="225" t="s">
        <v>597</v>
      </c>
      <c r="E3002" s="225" t="s">
        <v>690</v>
      </c>
    </row>
    <row r="3003" spans="2:5" ht="15.75" thickBot="1">
      <c r="B3003" s="225" t="s">
        <v>4989</v>
      </c>
      <c r="C3003" s="226">
        <v>531349</v>
      </c>
      <c r="D3003" s="225" t="s">
        <v>4990</v>
      </c>
      <c r="E3003" s="225" t="s">
        <v>935</v>
      </c>
    </row>
    <row r="3004" spans="2:5" ht="15.75" thickBot="1">
      <c r="B3004" s="225" t="s">
        <v>4991</v>
      </c>
      <c r="C3004" s="225" t="s">
        <v>597</v>
      </c>
      <c r="D3004" s="225" t="s">
        <v>4992</v>
      </c>
      <c r="E3004" s="225" t="s">
        <v>608</v>
      </c>
    </row>
    <row r="3005" spans="2:5" ht="15.75" thickBot="1">
      <c r="B3005" s="225" t="s">
        <v>4993</v>
      </c>
      <c r="C3005" s="226">
        <v>538742</v>
      </c>
      <c r="D3005" s="225" t="s">
        <v>597</v>
      </c>
      <c r="E3005" s="225" t="s">
        <v>619</v>
      </c>
    </row>
    <row r="3006" spans="2:5" ht="15.75" thickBot="1">
      <c r="B3006" s="225" t="s">
        <v>4994</v>
      </c>
      <c r="C3006" s="226">
        <v>538860</v>
      </c>
      <c r="D3006" s="225" t="s">
        <v>597</v>
      </c>
      <c r="E3006" s="225" t="s">
        <v>614</v>
      </c>
    </row>
    <row r="3007" spans="2:5" ht="15.75" thickBot="1">
      <c r="B3007" s="225" t="s">
        <v>4995</v>
      </c>
      <c r="C3007" s="226">
        <v>524820</v>
      </c>
      <c r="D3007" s="225" t="s">
        <v>4996</v>
      </c>
      <c r="E3007" s="225" t="s">
        <v>807</v>
      </c>
    </row>
    <row r="3008" spans="2:5" ht="15.75" thickBot="1">
      <c r="B3008" s="225" t="s">
        <v>4997</v>
      </c>
      <c r="C3008" s="226">
        <v>508941</v>
      </c>
      <c r="D3008" s="225" t="s">
        <v>597</v>
      </c>
      <c r="E3008" s="225" t="s">
        <v>782</v>
      </c>
    </row>
    <row r="3009" spans="2:5" ht="15.75" thickBot="1">
      <c r="B3009" s="225" t="s">
        <v>4998</v>
      </c>
      <c r="C3009" s="226">
        <v>504093</v>
      </c>
      <c r="D3009" s="225" t="s">
        <v>597</v>
      </c>
      <c r="E3009" s="225" t="s">
        <v>1143</v>
      </c>
    </row>
    <row r="3010" spans="2:5" ht="15.75" thickBot="1">
      <c r="B3010" s="225" t="s">
        <v>4999</v>
      </c>
      <c r="C3010" s="226">
        <v>513511</v>
      </c>
      <c r="D3010" s="225" t="s">
        <v>597</v>
      </c>
      <c r="E3010" s="225" t="s">
        <v>629</v>
      </c>
    </row>
    <row r="3011" spans="2:5" ht="15.75" thickBot="1">
      <c r="B3011" s="225" t="s">
        <v>5000</v>
      </c>
      <c r="C3011" s="226">
        <v>531726</v>
      </c>
      <c r="D3011" s="225" t="s">
        <v>597</v>
      </c>
      <c r="E3011" s="225" t="s">
        <v>635</v>
      </c>
    </row>
    <row r="3012" spans="2:5" ht="15.75" thickBot="1">
      <c r="B3012" s="225" t="s">
        <v>5001</v>
      </c>
      <c r="C3012" s="226">
        <v>506122</v>
      </c>
      <c r="D3012" s="225" t="s">
        <v>597</v>
      </c>
      <c r="E3012" s="225" t="s">
        <v>952</v>
      </c>
    </row>
    <row r="3013" spans="2:5" ht="15.75" thickBot="1">
      <c r="B3013" s="225" t="s">
        <v>5002</v>
      </c>
      <c r="C3013" s="226">
        <v>531280</v>
      </c>
      <c r="D3013" s="225" t="s">
        <v>597</v>
      </c>
      <c r="E3013" s="225" t="s">
        <v>792</v>
      </c>
    </row>
    <row r="3014" spans="2:5" ht="15.75" thickBot="1">
      <c r="B3014" s="225" t="s">
        <v>5003</v>
      </c>
      <c r="C3014" s="226">
        <v>534796</v>
      </c>
      <c r="D3014" s="225" t="s">
        <v>597</v>
      </c>
      <c r="E3014" s="225" t="s">
        <v>717</v>
      </c>
    </row>
    <row r="3015" spans="2:5" ht="15.75" thickBot="1">
      <c r="B3015" s="225" t="s">
        <v>5004</v>
      </c>
      <c r="C3015" s="225" t="s">
        <v>597</v>
      </c>
      <c r="D3015" s="225" t="s">
        <v>5005</v>
      </c>
      <c r="E3015" s="225" t="s">
        <v>608</v>
      </c>
    </row>
    <row r="3016" spans="2:5" ht="15.75" thickBot="1">
      <c r="B3016" s="225" t="s">
        <v>5006</v>
      </c>
      <c r="C3016" s="226">
        <v>539143</v>
      </c>
      <c r="D3016" s="225" t="s">
        <v>597</v>
      </c>
      <c r="E3016" s="225" t="s">
        <v>586</v>
      </c>
    </row>
    <row r="3017" spans="2:5" ht="15.75" thickBot="1">
      <c r="B3017" s="225" t="s">
        <v>5007</v>
      </c>
      <c r="C3017" s="226">
        <v>500322</v>
      </c>
      <c r="D3017" s="225" t="s">
        <v>597</v>
      </c>
      <c r="E3017" s="225" t="s">
        <v>610</v>
      </c>
    </row>
    <row r="3018" spans="2:5" ht="15.75" thickBot="1">
      <c r="B3018" s="225" t="s">
        <v>5008</v>
      </c>
      <c r="C3018" s="226">
        <v>513359</v>
      </c>
      <c r="D3018" s="225" t="s">
        <v>5009</v>
      </c>
      <c r="E3018" s="225" t="s">
        <v>874</v>
      </c>
    </row>
    <row r="3019" spans="2:5" ht="15.75" thickBot="1">
      <c r="B3019" s="225" t="s">
        <v>5010</v>
      </c>
      <c r="C3019" s="226">
        <v>533211</v>
      </c>
      <c r="D3019" s="225" t="s">
        <v>5011</v>
      </c>
      <c r="E3019" s="225" t="s">
        <v>635</v>
      </c>
    </row>
    <row r="3020" spans="2:5" ht="15.75" thickBot="1">
      <c r="B3020" s="225" t="s">
        <v>5012</v>
      </c>
      <c r="C3020" s="226">
        <v>539889</v>
      </c>
      <c r="D3020" s="225" t="s">
        <v>5013</v>
      </c>
      <c r="E3020" s="225" t="s">
        <v>657</v>
      </c>
    </row>
    <row r="3021" spans="2:5" ht="15.75" thickBot="1">
      <c r="B3021" s="225" t="s">
        <v>5014</v>
      </c>
      <c r="C3021" s="226">
        <v>531255</v>
      </c>
      <c r="D3021" s="225" t="s">
        <v>597</v>
      </c>
      <c r="E3021" s="225" t="s">
        <v>614</v>
      </c>
    </row>
    <row r="3022" spans="2:5" ht="15.75" thickBot="1">
      <c r="B3022" s="225" t="s">
        <v>5015</v>
      </c>
      <c r="C3022" s="226">
        <v>530555</v>
      </c>
      <c r="D3022" s="225" t="s">
        <v>5016</v>
      </c>
      <c r="E3022" s="225" t="s">
        <v>895</v>
      </c>
    </row>
    <row r="3023" spans="2:5" ht="15.75" thickBot="1">
      <c r="B3023" s="225" t="s">
        <v>5017</v>
      </c>
      <c r="C3023" s="226">
        <v>507970</v>
      </c>
      <c r="D3023" s="225" t="s">
        <v>597</v>
      </c>
      <c r="E3023" s="225" t="s">
        <v>779</v>
      </c>
    </row>
    <row r="3024" spans="2:5" ht="15.75" thickBot="1">
      <c r="B3024" s="225" t="s">
        <v>5018</v>
      </c>
      <c r="C3024" s="226">
        <v>507970</v>
      </c>
      <c r="D3024" s="225" t="s">
        <v>597</v>
      </c>
      <c r="E3024" s="225" t="s">
        <v>779</v>
      </c>
    </row>
    <row r="3025" spans="2:5" ht="15.75" thickBot="1">
      <c r="B3025" s="225" t="s">
        <v>5019</v>
      </c>
      <c r="C3025" s="226">
        <v>524689</v>
      </c>
      <c r="D3025" s="225" t="s">
        <v>5020</v>
      </c>
      <c r="E3025" s="225" t="s">
        <v>635</v>
      </c>
    </row>
    <row r="3026" spans="2:5" ht="15.75" thickBot="1">
      <c r="B3026" s="225" t="s">
        <v>5021</v>
      </c>
      <c r="C3026" s="226">
        <v>524689</v>
      </c>
      <c r="D3026" s="225" t="s">
        <v>5020</v>
      </c>
      <c r="E3026" s="225" t="s">
        <v>635</v>
      </c>
    </row>
    <row r="3027" spans="2:5" ht="15.75" thickBot="1">
      <c r="B3027" s="225" t="s">
        <v>5022</v>
      </c>
      <c r="C3027" s="226">
        <v>539481</v>
      </c>
      <c r="D3027" s="225" t="s">
        <v>597</v>
      </c>
      <c r="E3027" s="225" t="s">
        <v>614</v>
      </c>
    </row>
    <row r="3028" spans="2:5" ht="15.75" thickBot="1">
      <c r="B3028" s="225" t="s">
        <v>5023</v>
      </c>
      <c r="C3028" s="225" t="s">
        <v>597</v>
      </c>
      <c r="D3028" s="225" t="s">
        <v>5024</v>
      </c>
      <c r="E3028" s="225" t="s">
        <v>608</v>
      </c>
    </row>
    <row r="3029" spans="2:5" ht="15.75" thickBot="1">
      <c r="B3029" s="225" t="s">
        <v>5025</v>
      </c>
      <c r="C3029" s="226">
        <v>524628</v>
      </c>
      <c r="D3029" s="225" t="s">
        <v>597</v>
      </c>
      <c r="E3029" s="225" t="s">
        <v>619</v>
      </c>
    </row>
    <row r="3030" spans="2:5" ht="15.75" thickBot="1">
      <c r="B3030" s="225" t="s">
        <v>5026</v>
      </c>
      <c r="C3030" s="226">
        <v>532911</v>
      </c>
      <c r="D3030" s="225" t="s">
        <v>597</v>
      </c>
      <c r="E3030" s="225" t="s">
        <v>683</v>
      </c>
    </row>
    <row r="3031" spans="2:5" ht="15.75" thickBot="1">
      <c r="B3031" s="225" t="s">
        <v>5027</v>
      </c>
      <c r="C3031" s="226">
        <v>540359</v>
      </c>
      <c r="D3031" s="225" t="s">
        <v>597</v>
      </c>
      <c r="E3031" s="225" t="s">
        <v>635</v>
      </c>
    </row>
    <row r="3032" spans="2:5" ht="15.75" thickBot="1">
      <c r="B3032" s="225" t="s">
        <v>5028</v>
      </c>
      <c r="C3032" s="226">
        <v>540467</v>
      </c>
      <c r="D3032" s="225" t="s">
        <v>597</v>
      </c>
      <c r="E3032" s="225" t="s">
        <v>711</v>
      </c>
    </row>
    <row r="3033" spans="2:5" ht="15.75" thickBot="1">
      <c r="B3033" s="225" t="s">
        <v>5029</v>
      </c>
      <c r="C3033" s="226">
        <v>780017</v>
      </c>
      <c r="D3033" s="225" t="s">
        <v>597</v>
      </c>
      <c r="E3033" s="225" t="s">
        <v>688</v>
      </c>
    </row>
    <row r="3034" spans="2:5" ht="15.75" thickBot="1">
      <c r="B3034" s="225" t="s">
        <v>5030</v>
      </c>
      <c r="C3034" s="226">
        <v>506128</v>
      </c>
      <c r="D3034" s="225" t="s">
        <v>597</v>
      </c>
      <c r="E3034" s="225" t="s">
        <v>635</v>
      </c>
    </row>
    <row r="3035" spans="2:5" ht="15.75" thickBot="1">
      <c r="B3035" s="225" t="s">
        <v>5031</v>
      </c>
      <c r="C3035" s="226">
        <v>511702</v>
      </c>
      <c r="D3035" s="225" t="s">
        <v>597</v>
      </c>
      <c r="E3035" s="225" t="s">
        <v>614</v>
      </c>
    </row>
    <row r="3036" spans="2:5" ht="15.75" thickBot="1">
      <c r="B3036" s="225" t="s">
        <v>5032</v>
      </c>
      <c r="C3036" s="226">
        <v>511176</v>
      </c>
      <c r="D3036" s="225" t="s">
        <v>597</v>
      </c>
      <c r="E3036" s="225" t="s">
        <v>683</v>
      </c>
    </row>
    <row r="3037" spans="2:5" ht="15.75" thickBot="1">
      <c r="B3037" s="225" t="s">
        <v>5033</v>
      </c>
      <c r="C3037" s="226">
        <v>532780</v>
      </c>
      <c r="D3037" s="225" t="s">
        <v>5034</v>
      </c>
      <c r="E3037" s="225" t="s">
        <v>683</v>
      </c>
    </row>
    <row r="3038" spans="2:5" ht="15.75" thickBot="1">
      <c r="B3038" s="225" t="s">
        <v>5035</v>
      </c>
      <c r="C3038" s="226">
        <v>526349</v>
      </c>
      <c r="D3038" s="225" t="s">
        <v>597</v>
      </c>
      <c r="E3038" s="225" t="s">
        <v>952</v>
      </c>
    </row>
    <row r="3039" spans="2:5" ht="15.75" thickBot="1">
      <c r="B3039" s="225" t="s">
        <v>5036</v>
      </c>
      <c r="C3039" s="226">
        <v>541347</v>
      </c>
      <c r="D3039" s="225" t="s">
        <v>597</v>
      </c>
      <c r="E3039" s="225" t="s">
        <v>1296</v>
      </c>
    </row>
    <row r="3040" spans="2:5" ht="15.75" thickBot="1">
      <c r="B3040" s="225" t="s">
        <v>5037</v>
      </c>
      <c r="C3040" s="226">
        <v>521080</v>
      </c>
      <c r="D3040" s="225" t="s">
        <v>597</v>
      </c>
      <c r="E3040" s="225" t="s">
        <v>612</v>
      </c>
    </row>
    <row r="3041" spans="2:5" ht="15.75" thickBot="1">
      <c r="B3041" s="225" t="s">
        <v>5038</v>
      </c>
      <c r="C3041" s="225" t="s">
        <v>597</v>
      </c>
      <c r="D3041" s="225" t="s">
        <v>5039</v>
      </c>
      <c r="E3041" s="225" t="s">
        <v>608</v>
      </c>
    </row>
    <row r="3042" spans="2:5" ht="15.75" thickBot="1">
      <c r="B3042" s="225" t="s">
        <v>5040</v>
      </c>
      <c r="C3042" s="226">
        <v>500456</v>
      </c>
      <c r="D3042" s="225" t="s">
        <v>597</v>
      </c>
      <c r="E3042" s="225" t="s">
        <v>974</v>
      </c>
    </row>
    <row r="3043" spans="2:5" ht="15.75" thickBot="1">
      <c r="B3043" s="225" t="s">
        <v>5041</v>
      </c>
      <c r="C3043" s="226">
        <v>511734</v>
      </c>
      <c r="D3043" s="225" t="s">
        <v>597</v>
      </c>
      <c r="E3043" s="225" t="s">
        <v>614</v>
      </c>
    </row>
    <row r="3044" spans="2:5" ht="15.75" thickBot="1">
      <c r="B3044" s="225" t="s">
        <v>5042</v>
      </c>
      <c r="C3044" s="226">
        <v>503092</v>
      </c>
      <c r="D3044" s="225" t="s">
        <v>597</v>
      </c>
      <c r="E3044" s="225" t="s">
        <v>612</v>
      </c>
    </row>
    <row r="3045" spans="2:5" ht="15.75" thickBot="1">
      <c r="B3045" s="225" t="s">
        <v>5043</v>
      </c>
      <c r="C3045" s="226">
        <v>539401</v>
      </c>
      <c r="D3045" s="225" t="s">
        <v>597</v>
      </c>
      <c r="E3045" s="225" t="s">
        <v>711</v>
      </c>
    </row>
    <row r="3046" spans="2:5" ht="15.75" thickBot="1">
      <c r="B3046" s="225" t="s">
        <v>5044</v>
      </c>
      <c r="C3046" s="226">
        <v>531120</v>
      </c>
      <c r="D3046" s="225" t="s">
        <v>5045</v>
      </c>
      <c r="E3046" s="225" t="s">
        <v>995</v>
      </c>
    </row>
    <row r="3047" spans="2:5" ht="15.75" thickBot="1">
      <c r="B3047" s="225" t="s">
        <v>5046</v>
      </c>
      <c r="C3047" s="226">
        <v>526381</v>
      </c>
      <c r="D3047" s="225" t="s">
        <v>5047</v>
      </c>
      <c r="E3047" s="225" t="s">
        <v>669</v>
      </c>
    </row>
    <row r="3048" spans="2:5" ht="15.75" thickBot="1">
      <c r="B3048" s="225" t="s">
        <v>5048</v>
      </c>
      <c r="C3048" s="226">
        <v>517417</v>
      </c>
      <c r="D3048" s="225" t="s">
        <v>597</v>
      </c>
      <c r="E3048" s="225" t="s">
        <v>605</v>
      </c>
    </row>
    <row r="3049" spans="2:5" ht="15.75" thickBot="1">
      <c r="B3049" s="225" t="s">
        <v>5049</v>
      </c>
      <c r="C3049" s="226">
        <v>517417</v>
      </c>
      <c r="D3049" s="225" t="s">
        <v>597</v>
      </c>
      <c r="E3049" s="225" t="s">
        <v>605</v>
      </c>
    </row>
    <row r="3050" spans="2:5" ht="15.75" thickBot="1">
      <c r="B3050" s="225" t="s">
        <v>5050</v>
      </c>
      <c r="C3050" s="226">
        <v>524031</v>
      </c>
      <c r="D3050" s="225" t="s">
        <v>597</v>
      </c>
      <c r="E3050" s="225" t="s">
        <v>683</v>
      </c>
    </row>
    <row r="3051" spans="2:5" ht="15.75" thickBot="1">
      <c r="B3051" s="225" t="s">
        <v>5051</v>
      </c>
      <c r="C3051" s="226">
        <v>514326</v>
      </c>
      <c r="D3051" s="225" t="s">
        <v>5052</v>
      </c>
      <c r="E3051" s="225" t="s">
        <v>612</v>
      </c>
    </row>
    <row r="3052" spans="2:5" ht="15.75" thickBot="1">
      <c r="B3052" s="225" t="s">
        <v>5053</v>
      </c>
      <c r="C3052" s="226">
        <v>514326</v>
      </c>
      <c r="D3052" s="225" t="s">
        <v>5052</v>
      </c>
      <c r="E3052" s="225" t="s">
        <v>612</v>
      </c>
    </row>
    <row r="3053" spans="2:5" ht="15.75" thickBot="1">
      <c r="B3053" s="225" t="s">
        <v>5054</v>
      </c>
      <c r="C3053" s="226">
        <v>539113</v>
      </c>
      <c r="D3053" s="225" t="s">
        <v>597</v>
      </c>
      <c r="E3053" s="225" t="s">
        <v>614</v>
      </c>
    </row>
    <row r="3054" spans="2:5" ht="15.75" thickBot="1">
      <c r="B3054" s="225" t="s">
        <v>5055</v>
      </c>
      <c r="C3054" s="226">
        <v>532742</v>
      </c>
      <c r="D3054" s="225" t="s">
        <v>597</v>
      </c>
      <c r="E3054" s="225" t="s">
        <v>757</v>
      </c>
    </row>
    <row r="3055" spans="2:5" ht="15.75" thickBot="1">
      <c r="B3055" s="225" t="s">
        <v>5056</v>
      </c>
      <c r="C3055" s="226">
        <v>535658</v>
      </c>
      <c r="D3055" s="225" t="s">
        <v>597</v>
      </c>
      <c r="E3055" s="225" t="s">
        <v>614</v>
      </c>
    </row>
    <row r="3056" spans="2:5" ht="15.75" thickBot="1">
      <c r="B3056" s="225" t="s">
        <v>5057</v>
      </c>
      <c r="C3056" s="226">
        <v>532676</v>
      </c>
      <c r="D3056" s="225" t="s">
        <v>5058</v>
      </c>
      <c r="E3056" s="225" t="s">
        <v>995</v>
      </c>
    </row>
    <row r="3057" spans="2:5" ht="15.75" thickBot="1">
      <c r="B3057" s="225" t="s">
        <v>5059</v>
      </c>
      <c r="C3057" s="226">
        <v>514087</v>
      </c>
      <c r="D3057" s="225" t="s">
        <v>597</v>
      </c>
      <c r="E3057" s="225" t="s">
        <v>612</v>
      </c>
    </row>
    <row r="3058" spans="2:5" ht="15.75" thickBot="1">
      <c r="B3058" s="225" t="s">
        <v>5060</v>
      </c>
      <c r="C3058" s="226">
        <v>534809</v>
      </c>
      <c r="D3058" s="225" t="s">
        <v>5061</v>
      </c>
      <c r="E3058" s="225" t="s">
        <v>711</v>
      </c>
    </row>
    <row r="3059" spans="2:5" ht="15.75" thickBot="1">
      <c r="B3059" s="225" t="s">
        <v>5062</v>
      </c>
      <c r="C3059" s="226">
        <v>517119</v>
      </c>
      <c r="D3059" s="225" t="s">
        <v>597</v>
      </c>
      <c r="E3059" s="225" t="s">
        <v>922</v>
      </c>
    </row>
    <row r="3060" spans="2:5" ht="15.75" thickBot="1">
      <c r="B3060" s="225" t="s">
        <v>5063</v>
      </c>
      <c r="C3060" s="226">
        <v>538730</v>
      </c>
      <c r="D3060" s="225" t="s">
        <v>5064</v>
      </c>
      <c r="E3060" s="225" t="s">
        <v>619</v>
      </c>
    </row>
    <row r="3061" spans="2:5" ht="15.75" thickBot="1">
      <c r="B3061" s="225" t="s">
        <v>5065</v>
      </c>
      <c r="C3061" s="226">
        <v>532808</v>
      </c>
      <c r="D3061" s="225" t="s">
        <v>5066</v>
      </c>
      <c r="E3061" s="225" t="s">
        <v>711</v>
      </c>
    </row>
    <row r="3062" spans="2:5" ht="15.75" thickBot="1">
      <c r="B3062" s="225" t="s">
        <v>5067</v>
      </c>
      <c r="C3062" s="226">
        <v>523260</v>
      </c>
      <c r="D3062" s="225" t="s">
        <v>5068</v>
      </c>
      <c r="E3062" s="225" t="s">
        <v>792</v>
      </c>
    </row>
    <row r="3063" spans="2:5" ht="15.75" thickBot="1">
      <c r="B3063" s="225" t="s">
        <v>5069</v>
      </c>
      <c r="C3063" s="226">
        <v>539273</v>
      </c>
      <c r="D3063" s="225" t="s">
        <v>597</v>
      </c>
      <c r="E3063" s="225" t="s">
        <v>1086</v>
      </c>
    </row>
    <row r="3064" spans="2:5" ht="15.75" thickBot="1">
      <c r="B3064" s="225" t="s">
        <v>5070</v>
      </c>
      <c r="C3064" s="226">
        <v>524136</v>
      </c>
      <c r="D3064" s="225" t="s">
        <v>597</v>
      </c>
      <c r="E3064" s="225" t="s">
        <v>2415</v>
      </c>
    </row>
    <row r="3065" spans="2:5" ht="15.75" thickBot="1">
      <c r="B3065" s="225" t="s">
        <v>5071</v>
      </c>
      <c r="C3065" s="226">
        <v>531352</v>
      </c>
      <c r="D3065" s="225" t="s">
        <v>597</v>
      </c>
      <c r="E3065" s="225" t="s">
        <v>612</v>
      </c>
    </row>
    <row r="3066" spans="2:5" ht="15.75" thickBot="1">
      <c r="B3066" s="225" t="s">
        <v>5072</v>
      </c>
      <c r="C3066" s="226">
        <v>503031</v>
      </c>
      <c r="D3066" s="225" t="s">
        <v>5073</v>
      </c>
      <c r="E3066" s="225" t="s">
        <v>683</v>
      </c>
    </row>
    <row r="3067" spans="2:5" ht="15.75" thickBot="1">
      <c r="B3067" s="225" t="s">
        <v>5074</v>
      </c>
      <c r="C3067" s="226">
        <v>539333</v>
      </c>
      <c r="D3067" s="225" t="s">
        <v>5075</v>
      </c>
      <c r="E3067" s="225" t="s">
        <v>683</v>
      </c>
    </row>
    <row r="3068" spans="2:5" ht="15.75" thickBot="1">
      <c r="B3068" s="225" t="s">
        <v>5076</v>
      </c>
      <c r="C3068" s="226">
        <v>513228</v>
      </c>
      <c r="D3068" s="225" t="s">
        <v>5077</v>
      </c>
      <c r="E3068" s="225" t="s">
        <v>629</v>
      </c>
    </row>
    <row r="3069" spans="2:5" ht="15.75" thickBot="1">
      <c r="B3069" s="225" t="s">
        <v>5078</v>
      </c>
      <c r="C3069" s="225" t="s">
        <v>597</v>
      </c>
      <c r="D3069" s="225" t="s">
        <v>5079</v>
      </c>
      <c r="E3069" s="225" t="s">
        <v>608</v>
      </c>
    </row>
    <row r="3070" spans="2:5" ht="15.75" thickBot="1">
      <c r="B3070" s="225" t="s">
        <v>5080</v>
      </c>
      <c r="C3070" s="226">
        <v>500329</v>
      </c>
      <c r="D3070" s="225" t="s">
        <v>597</v>
      </c>
      <c r="E3070" s="225" t="s">
        <v>600</v>
      </c>
    </row>
    <row r="3071" spans="2:5" ht="15.75" thickBot="1">
      <c r="B3071" s="225" t="s">
        <v>5081</v>
      </c>
      <c r="C3071" s="226">
        <v>524210</v>
      </c>
      <c r="D3071" s="225" t="s">
        <v>597</v>
      </c>
      <c r="E3071" s="225" t="s">
        <v>645</v>
      </c>
    </row>
    <row r="3072" spans="2:5" ht="15.75" thickBot="1">
      <c r="B3072" s="225" t="s">
        <v>5082</v>
      </c>
      <c r="C3072" s="226">
        <v>524210</v>
      </c>
      <c r="D3072" s="225" t="s">
        <v>597</v>
      </c>
      <c r="E3072" s="225" t="s">
        <v>645</v>
      </c>
    </row>
    <row r="3073" spans="2:5" ht="15.75" thickBot="1">
      <c r="B3073" s="225" t="s">
        <v>5083</v>
      </c>
      <c r="C3073" s="226">
        <v>501144</v>
      </c>
      <c r="D3073" s="225" t="s">
        <v>597</v>
      </c>
      <c r="E3073" s="225" t="s">
        <v>1018</v>
      </c>
    </row>
    <row r="3074" spans="2:5" ht="15.75" thickBot="1">
      <c r="B3074" s="225" t="s">
        <v>5084</v>
      </c>
      <c r="C3074" s="225" t="s">
        <v>597</v>
      </c>
      <c r="D3074" s="225" t="s">
        <v>5085</v>
      </c>
      <c r="E3074" s="225" t="s">
        <v>608</v>
      </c>
    </row>
    <row r="3075" spans="2:5" ht="15.75" thickBot="1">
      <c r="B3075" s="225" t="s">
        <v>5086</v>
      </c>
      <c r="C3075" s="226">
        <v>521062</v>
      </c>
      <c r="D3075" s="225" t="s">
        <v>597</v>
      </c>
      <c r="E3075" s="225" t="s">
        <v>1336</v>
      </c>
    </row>
    <row r="3076" spans="2:5" ht="15.75" thickBot="1">
      <c r="B3076" s="225" t="s">
        <v>5087</v>
      </c>
      <c r="C3076" s="226">
        <v>526435</v>
      </c>
      <c r="D3076" s="225" t="s">
        <v>597</v>
      </c>
      <c r="E3076" s="225" t="s">
        <v>591</v>
      </c>
    </row>
    <row r="3077" spans="2:5" ht="15.75" thickBot="1">
      <c r="B3077" s="225" t="s">
        <v>5088</v>
      </c>
      <c r="C3077" s="226">
        <v>504132</v>
      </c>
      <c r="D3077" s="225" t="s">
        <v>597</v>
      </c>
      <c r="E3077" s="225" t="s">
        <v>782</v>
      </c>
    </row>
    <row r="3078" spans="2:5" ht="15.75" thickBot="1">
      <c r="B3078" s="225" t="s">
        <v>5089</v>
      </c>
      <c r="C3078" s="226">
        <v>533179</v>
      </c>
      <c r="D3078" s="225" t="s">
        <v>5090</v>
      </c>
      <c r="E3078" s="225" t="s">
        <v>583</v>
      </c>
    </row>
    <row r="3079" spans="2:5" ht="15.75" thickBot="1">
      <c r="B3079" s="225" t="s">
        <v>5091</v>
      </c>
      <c r="C3079" s="226">
        <v>517172</v>
      </c>
      <c r="D3079" s="225" t="s">
        <v>597</v>
      </c>
      <c r="E3079" s="225" t="s">
        <v>1139</v>
      </c>
    </row>
    <row r="3080" spans="2:5" ht="15.75" thickBot="1">
      <c r="B3080" s="225" t="s">
        <v>5092</v>
      </c>
      <c r="C3080" s="226">
        <v>530381</v>
      </c>
      <c r="D3080" s="225" t="s">
        <v>5093</v>
      </c>
      <c r="E3080" s="225" t="s">
        <v>995</v>
      </c>
    </row>
    <row r="3081" spans="2:5" ht="15.75" thickBot="1">
      <c r="B3081" s="225" t="s">
        <v>5094</v>
      </c>
      <c r="C3081" s="226">
        <v>532522</v>
      </c>
      <c r="D3081" s="225" t="s">
        <v>5095</v>
      </c>
      <c r="E3081" s="225" t="s">
        <v>807</v>
      </c>
    </row>
    <row r="3082" spans="2:5" ht="15.75" thickBot="1">
      <c r="B3082" s="225" t="s">
        <v>5096</v>
      </c>
      <c r="C3082" s="226">
        <v>500680</v>
      </c>
      <c r="D3082" s="225" t="s">
        <v>5097</v>
      </c>
      <c r="E3082" s="225" t="s">
        <v>635</v>
      </c>
    </row>
    <row r="3083" spans="2:5" ht="15.75" thickBot="1">
      <c r="B3083" s="225" t="s">
        <v>5098</v>
      </c>
      <c r="C3083" s="226">
        <v>531769</v>
      </c>
      <c r="D3083" s="225" t="s">
        <v>597</v>
      </c>
      <c r="E3083" s="225" t="s">
        <v>690</v>
      </c>
    </row>
    <row r="3084" spans="2:5" ht="15.75" thickBot="1">
      <c r="B3084" s="225" t="s">
        <v>5099</v>
      </c>
      <c r="C3084" s="226">
        <v>533581</v>
      </c>
      <c r="D3084" s="225" t="s">
        <v>5100</v>
      </c>
      <c r="E3084" s="225" t="s">
        <v>966</v>
      </c>
    </row>
    <row r="3085" spans="2:5" ht="15.75" thickBot="1">
      <c r="B3085" s="225" t="s">
        <v>5101</v>
      </c>
      <c r="C3085" s="226">
        <v>526747</v>
      </c>
      <c r="D3085" s="225" t="s">
        <v>597</v>
      </c>
      <c r="E3085" s="225" t="s">
        <v>902</v>
      </c>
    </row>
    <row r="3086" spans="2:5" ht="15.75" thickBot="1">
      <c r="B3086" s="225" t="s">
        <v>5102</v>
      </c>
      <c r="C3086" s="226">
        <v>531281</v>
      </c>
      <c r="D3086" s="225" t="s">
        <v>597</v>
      </c>
      <c r="E3086" s="225" t="s">
        <v>1125</v>
      </c>
    </row>
    <row r="3087" spans="2:5" ht="15.75" thickBot="1">
      <c r="B3087" s="225" t="s">
        <v>5103</v>
      </c>
      <c r="C3087" s="226">
        <v>500143</v>
      </c>
      <c r="D3087" s="225" t="s">
        <v>597</v>
      </c>
      <c r="E3087" s="225" t="s">
        <v>619</v>
      </c>
    </row>
    <row r="3088" spans="2:5" ht="15.75" thickBot="1">
      <c r="B3088" s="225" t="s">
        <v>5104</v>
      </c>
      <c r="C3088" s="226">
        <v>512026</v>
      </c>
      <c r="D3088" s="225" t="s">
        <v>597</v>
      </c>
      <c r="E3088" s="225" t="s">
        <v>619</v>
      </c>
    </row>
    <row r="3089" spans="2:5" ht="15.75" thickBot="1">
      <c r="B3089" s="225" t="s">
        <v>5105</v>
      </c>
      <c r="C3089" s="226">
        <v>523620</v>
      </c>
      <c r="D3089" s="225" t="s">
        <v>597</v>
      </c>
      <c r="E3089" s="225" t="s">
        <v>635</v>
      </c>
    </row>
    <row r="3090" spans="2:5" ht="15.75" thickBot="1">
      <c r="B3090" s="225" t="s">
        <v>5106</v>
      </c>
      <c r="C3090" s="226">
        <v>506590</v>
      </c>
      <c r="D3090" s="225" t="s">
        <v>5107</v>
      </c>
      <c r="E3090" s="225" t="s">
        <v>5108</v>
      </c>
    </row>
    <row r="3091" spans="2:5" ht="15.75" thickBot="1">
      <c r="B3091" s="225" t="s">
        <v>5109</v>
      </c>
      <c r="C3091" s="226">
        <v>526481</v>
      </c>
      <c r="D3091" s="225" t="s">
        <v>597</v>
      </c>
      <c r="E3091" s="225" t="s">
        <v>711</v>
      </c>
    </row>
    <row r="3092" spans="2:5" ht="15.75" thickBot="1">
      <c r="B3092" s="225" t="s">
        <v>5110</v>
      </c>
      <c r="C3092" s="226">
        <v>537839</v>
      </c>
      <c r="D3092" s="225" t="s">
        <v>597</v>
      </c>
      <c r="E3092" s="225" t="s">
        <v>798</v>
      </c>
    </row>
    <row r="3093" spans="2:5" ht="15.75" thickBot="1">
      <c r="B3093" s="225" t="s">
        <v>5111</v>
      </c>
      <c r="C3093" s="226">
        <v>509084</v>
      </c>
      <c r="D3093" s="225" t="s">
        <v>597</v>
      </c>
      <c r="E3093" s="225" t="s">
        <v>1018</v>
      </c>
    </row>
    <row r="3094" spans="2:5" ht="15.75" thickBot="1">
      <c r="B3094" s="225" t="s">
        <v>5112</v>
      </c>
      <c r="C3094" s="226">
        <v>526588</v>
      </c>
      <c r="D3094" s="225" t="s">
        <v>597</v>
      </c>
      <c r="E3094" s="225" t="s">
        <v>1835</v>
      </c>
    </row>
    <row r="3095" spans="2:5" ht="15.75" thickBot="1">
      <c r="B3095" s="225" t="s">
        <v>5113</v>
      </c>
      <c r="C3095" s="226">
        <v>526588</v>
      </c>
      <c r="D3095" s="225" t="s">
        <v>597</v>
      </c>
      <c r="E3095" s="225" t="s">
        <v>1835</v>
      </c>
    </row>
    <row r="3096" spans="2:5" ht="15.75" thickBot="1">
      <c r="B3096" s="225" t="s">
        <v>5114</v>
      </c>
      <c r="C3096" s="226">
        <v>524808</v>
      </c>
      <c r="D3096" s="225" t="s">
        <v>597</v>
      </c>
      <c r="E3096" s="225" t="s">
        <v>741</v>
      </c>
    </row>
    <row r="3097" spans="2:5" ht="15.75" thickBot="1">
      <c r="B3097" s="225" t="s">
        <v>5115</v>
      </c>
      <c r="C3097" s="226">
        <v>524808</v>
      </c>
      <c r="D3097" s="225" t="s">
        <v>597</v>
      </c>
      <c r="E3097" s="225" t="s">
        <v>741</v>
      </c>
    </row>
    <row r="3098" spans="2:5" ht="15.75" thickBot="1">
      <c r="B3098" s="225" t="s">
        <v>5116</v>
      </c>
      <c r="C3098" s="226">
        <v>523642</v>
      </c>
      <c r="D3098" s="225" t="s">
        <v>5117</v>
      </c>
      <c r="E3098" s="225" t="s">
        <v>741</v>
      </c>
    </row>
    <row r="3099" spans="2:5" ht="15.75" thickBot="1">
      <c r="B3099" s="225" t="s">
        <v>5118</v>
      </c>
      <c r="C3099" s="226">
        <v>530305</v>
      </c>
      <c r="D3099" s="225" t="s">
        <v>597</v>
      </c>
      <c r="E3099" s="225" t="s">
        <v>1296</v>
      </c>
    </row>
    <row r="3100" spans="2:5" ht="15.75" thickBot="1">
      <c r="B3100" s="225" t="s">
        <v>5119</v>
      </c>
      <c r="C3100" s="226">
        <v>507498</v>
      </c>
      <c r="D3100" s="225" t="s">
        <v>597</v>
      </c>
      <c r="E3100" s="225" t="s">
        <v>1296</v>
      </c>
    </row>
    <row r="3101" spans="2:5" ht="15.75" thickBot="1">
      <c r="B3101" s="225" t="s">
        <v>5120</v>
      </c>
      <c r="C3101" s="226">
        <v>532355</v>
      </c>
      <c r="D3101" s="225" t="s">
        <v>597</v>
      </c>
      <c r="E3101" s="225" t="s">
        <v>600</v>
      </c>
    </row>
    <row r="3102" spans="2:5" ht="15.75" thickBot="1">
      <c r="B3102" s="225" t="s">
        <v>5121</v>
      </c>
      <c r="C3102" s="226">
        <v>500331</v>
      </c>
      <c r="D3102" s="225" t="s">
        <v>5122</v>
      </c>
      <c r="E3102" s="225" t="s">
        <v>757</v>
      </c>
    </row>
    <row r="3103" spans="2:5" ht="15.75" thickBot="1">
      <c r="B3103" s="225" t="s">
        <v>5123</v>
      </c>
      <c r="C3103" s="226">
        <v>500327</v>
      </c>
      <c r="D3103" s="225" t="s">
        <v>5124</v>
      </c>
      <c r="E3103" s="225" t="s">
        <v>717</v>
      </c>
    </row>
    <row r="3104" spans="2:5" ht="15.75" thickBot="1">
      <c r="B3104" s="225" t="s">
        <v>5125</v>
      </c>
      <c r="C3104" s="226">
        <v>539883</v>
      </c>
      <c r="D3104" s="225" t="s">
        <v>5126</v>
      </c>
      <c r="E3104" s="225" t="s">
        <v>763</v>
      </c>
    </row>
    <row r="3105" spans="2:5" ht="15.75" thickBot="1">
      <c r="B3105" s="225" t="s">
        <v>5127</v>
      </c>
      <c r="C3105" s="226">
        <v>519439</v>
      </c>
      <c r="D3105" s="225" t="s">
        <v>597</v>
      </c>
      <c r="E3105" s="225" t="s">
        <v>846</v>
      </c>
    </row>
    <row r="3106" spans="2:5" ht="15.75" thickBot="1">
      <c r="B3106" s="225" t="s">
        <v>5128</v>
      </c>
      <c r="C3106" s="226">
        <v>531879</v>
      </c>
      <c r="D3106" s="225" t="s">
        <v>5129</v>
      </c>
      <c r="E3106" s="225" t="s">
        <v>1229</v>
      </c>
    </row>
    <row r="3107" spans="2:5" ht="15.75" thickBot="1">
      <c r="B3107" s="225" t="s">
        <v>5130</v>
      </c>
      <c r="C3107" s="226">
        <v>514300</v>
      </c>
      <c r="D3107" s="225" t="s">
        <v>5131</v>
      </c>
      <c r="E3107" s="225" t="s">
        <v>612</v>
      </c>
    </row>
    <row r="3108" spans="2:5" ht="15.75" thickBot="1">
      <c r="B3108" s="225" t="s">
        <v>5132</v>
      </c>
      <c r="C3108" s="226">
        <v>507864</v>
      </c>
      <c r="D3108" s="225" t="s">
        <v>597</v>
      </c>
      <c r="E3108" s="225" t="s">
        <v>580</v>
      </c>
    </row>
    <row r="3109" spans="2:5" ht="15.75" thickBot="1">
      <c r="B3109" s="225" t="s">
        <v>5133</v>
      </c>
      <c r="C3109" s="226">
        <v>500302</v>
      </c>
      <c r="D3109" s="225" t="s">
        <v>5134</v>
      </c>
      <c r="E3109" s="225" t="s">
        <v>635</v>
      </c>
    </row>
    <row r="3110" spans="2:5" ht="15.75" thickBot="1">
      <c r="B3110" s="225" t="s">
        <v>5135</v>
      </c>
      <c r="C3110" s="226">
        <v>532979</v>
      </c>
      <c r="D3110" s="225" t="s">
        <v>5136</v>
      </c>
      <c r="E3110" s="225" t="s">
        <v>635</v>
      </c>
    </row>
    <row r="3111" spans="2:5" ht="15.75" thickBot="1">
      <c r="B3111" s="225" t="s">
        <v>5137</v>
      </c>
      <c r="C3111" s="226">
        <v>530683</v>
      </c>
      <c r="D3111" s="225" t="s">
        <v>597</v>
      </c>
      <c r="E3111" s="225" t="s">
        <v>792</v>
      </c>
    </row>
    <row r="3112" spans="2:5" ht="15.75" thickBot="1">
      <c r="B3112" s="225" t="s">
        <v>5138</v>
      </c>
      <c r="C3112" s="226">
        <v>513519</v>
      </c>
      <c r="D3112" s="225" t="s">
        <v>5139</v>
      </c>
      <c r="E3112" s="225" t="s">
        <v>895</v>
      </c>
    </row>
    <row r="3113" spans="2:5" ht="15.75" thickBot="1">
      <c r="B3113" s="225" t="s">
        <v>5140</v>
      </c>
      <c r="C3113" s="226">
        <v>500333</v>
      </c>
      <c r="D3113" s="225" t="s">
        <v>597</v>
      </c>
      <c r="E3113" s="225" t="s">
        <v>1077</v>
      </c>
    </row>
    <row r="3114" spans="2:5" ht="15.75" thickBot="1">
      <c r="B3114" s="225" t="s">
        <v>5141</v>
      </c>
      <c r="C3114" s="226">
        <v>523105</v>
      </c>
      <c r="D3114" s="225" t="s">
        <v>597</v>
      </c>
      <c r="E3114" s="225" t="s">
        <v>792</v>
      </c>
    </row>
    <row r="3115" spans="2:5" ht="15.75" thickBot="1">
      <c r="B3115" s="225" t="s">
        <v>5142</v>
      </c>
      <c r="C3115" s="226">
        <v>523648</v>
      </c>
      <c r="D3115" s="225" t="s">
        <v>5143</v>
      </c>
      <c r="E3115" s="225" t="s">
        <v>757</v>
      </c>
    </row>
    <row r="3116" spans="2:5" ht="15.75" thickBot="1">
      <c r="B3116" s="225" t="s">
        <v>5144</v>
      </c>
      <c r="C3116" s="226">
        <v>523648</v>
      </c>
      <c r="D3116" s="225" t="s">
        <v>5143</v>
      </c>
      <c r="E3116" s="225" t="s">
        <v>757</v>
      </c>
    </row>
    <row r="3117" spans="2:5" ht="15.75" thickBot="1">
      <c r="B3117" s="225" t="s">
        <v>5145</v>
      </c>
      <c r="C3117" s="226">
        <v>534060</v>
      </c>
      <c r="D3117" s="225" t="s">
        <v>597</v>
      </c>
      <c r="E3117" s="225" t="s">
        <v>614</v>
      </c>
    </row>
    <row r="3118" spans="2:5" ht="15.75" thickBot="1">
      <c r="B3118" s="225" t="s">
        <v>5146</v>
      </c>
      <c r="C3118" s="226">
        <v>532366</v>
      </c>
      <c r="D3118" s="225" t="s">
        <v>5147</v>
      </c>
      <c r="E3118" s="225" t="s">
        <v>614</v>
      </c>
    </row>
    <row r="3119" spans="2:5" ht="15.75" thickBot="1">
      <c r="B3119" s="225" t="s">
        <v>5148</v>
      </c>
      <c r="C3119" s="226">
        <v>540173</v>
      </c>
      <c r="D3119" s="225" t="s">
        <v>5149</v>
      </c>
      <c r="E3119" s="225" t="s">
        <v>655</v>
      </c>
    </row>
    <row r="3120" spans="2:5" ht="15.75" thickBot="1">
      <c r="B3120" s="225" t="s">
        <v>5150</v>
      </c>
      <c r="C3120" s="226">
        <v>539150</v>
      </c>
      <c r="D3120" s="225" t="s">
        <v>5151</v>
      </c>
      <c r="E3120" s="225" t="s">
        <v>1192</v>
      </c>
    </row>
    <row r="3121" spans="2:5" ht="15.75" thickBot="1">
      <c r="B3121" s="225" t="s">
        <v>5152</v>
      </c>
      <c r="C3121" s="226">
        <v>532803</v>
      </c>
      <c r="D3121" s="225" t="s">
        <v>5153</v>
      </c>
      <c r="E3121" s="225" t="s">
        <v>795</v>
      </c>
    </row>
    <row r="3122" spans="2:5" ht="15.75" thickBot="1">
      <c r="B3122" s="225" t="s">
        <v>5154</v>
      </c>
      <c r="C3122" s="226">
        <v>539195</v>
      </c>
      <c r="D3122" s="225" t="s">
        <v>597</v>
      </c>
      <c r="E3122" s="225" t="s">
        <v>645</v>
      </c>
    </row>
    <row r="3123" spans="2:5" ht="15.75" thickBot="1">
      <c r="B3123" s="225" t="s">
        <v>5155</v>
      </c>
      <c r="C3123" s="226">
        <v>523628</v>
      </c>
      <c r="D3123" s="225" t="s">
        <v>5156</v>
      </c>
      <c r="E3123" s="225" t="s">
        <v>683</v>
      </c>
    </row>
    <row r="3124" spans="2:5" ht="15.75" thickBot="1">
      <c r="B3124" s="225" t="s">
        <v>5157</v>
      </c>
      <c r="C3124" s="226">
        <v>524570</v>
      </c>
      <c r="D3124" s="225" t="s">
        <v>5158</v>
      </c>
      <c r="E3124" s="225" t="s">
        <v>757</v>
      </c>
    </row>
    <row r="3125" spans="2:5" ht="15.75" thickBot="1">
      <c r="B3125" s="225" t="s">
        <v>5159</v>
      </c>
      <c r="C3125" s="226">
        <v>532486</v>
      </c>
      <c r="D3125" s="225" t="s">
        <v>5160</v>
      </c>
      <c r="E3125" s="225" t="s">
        <v>1125</v>
      </c>
    </row>
    <row r="3126" spans="2:5" ht="15.75" thickBot="1">
      <c r="B3126" s="225" t="s">
        <v>5161</v>
      </c>
      <c r="C3126" s="226">
        <v>526687</v>
      </c>
      <c r="D3126" s="225" t="s">
        <v>597</v>
      </c>
      <c r="E3126" s="225" t="s">
        <v>798</v>
      </c>
    </row>
    <row r="3127" spans="2:5" ht="15.75" thickBot="1">
      <c r="B3127" s="225" t="s">
        <v>5162</v>
      </c>
      <c r="C3127" s="226">
        <v>540717</v>
      </c>
      <c r="D3127" s="225" t="s">
        <v>597</v>
      </c>
      <c r="E3127" s="225" t="s">
        <v>619</v>
      </c>
    </row>
    <row r="3128" spans="2:5" ht="15.75" thickBot="1">
      <c r="B3128" s="225" t="s">
        <v>5163</v>
      </c>
      <c r="C3128" s="226">
        <v>507645</v>
      </c>
      <c r="D3128" s="225" t="s">
        <v>597</v>
      </c>
      <c r="E3128" s="225" t="s">
        <v>757</v>
      </c>
    </row>
    <row r="3129" spans="2:5" ht="15.75" thickBot="1">
      <c r="B3129" s="225" t="s">
        <v>5164</v>
      </c>
      <c r="C3129" s="226">
        <v>531768</v>
      </c>
      <c r="D3129" s="225" t="s">
        <v>5165</v>
      </c>
      <c r="E3129" s="225" t="s">
        <v>1764</v>
      </c>
    </row>
    <row r="3130" spans="2:5" ht="15.75" thickBot="1">
      <c r="B3130" s="225" t="s">
        <v>5166</v>
      </c>
      <c r="C3130" s="226">
        <v>542652</v>
      </c>
      <c r="D3130" s="225" t="s">
        <v>5167</v>
      </c>
      <c r="E3130" s="225" t="s">
        <v>895</v>
      </c>
    </row>
    <row r="3131" spans="2:5" ht="15.75" thickBot="1">
      <c r="B3131" s="225" t="s">
        <v>5168</v>
      </c>
      <c r="C3131" s="226">
        <v>506605</v>
      </c>
      <c r="D3131" s="225" t="s">
        <v>597</v>
      </c>
      <c r="E3131" s="225" t="s">
        <v>645</v>
      </c>
    </row>
    <row r="3132" spans="2:5" ht="15.75" thickBot="1">
      <c r="B3132" s="225" t="s">
        <v>5169</v>
      </c>
      <c r="C3132" s="226">
        <v>531397</v>
      </c>
      <c r="D3132" s="225" t="s">
        <v>597</v>
      </c>
      <c r="E3132" s="225" t="s">
        <v>792</v>
      </c>
    </row>
    <row r="3133" spans="2:5" ht="15.75" thickBot="1">
      <c r="B3133" s="225" t="s">
        <v>5170</v>
      </c>
      <c r="C3133" s="226">
        <v>514486</v>
      </c>
      <c r="D3133" s="225" t="s">
        <v>597</v>
      </c>
      <c r="E3133" s="225" t="s">
        <v>612</v>
      </c>
    </row>
    <row r="3134" spans="2:5" ht="15.75" thickBot="1">
      <c r="B3134" s="225" t="s">
        <v>5171</v>
      </c>
      <c r="C3134" s="226">
        <v>531454</v>
      </c>
      <c r="D3134" s="225" t="s">
        <v>597</v>
      </c>
      <c r="E3134" s="225" t="s">
        <v>974</v>
      </c>
    </row>
    <row r="3135" spans="2:5" ht="15.75" thickBot="1">
      <c r="B3135" s="225" t="s">
        <v>5172</v>
      </c>
      <c r="C3135" s="226">
        <v>531454</v>
      </c>
      <c r="D3135" s="225" t="s">
        <v>597</v>
      </c>
      <c r="E3135" s="225" t="s">
        <v>974</v>
      </c>
    </row>
    <row r="3136" spans="2:5" ht="15.75" thickBot="1">
      <c r="B3136" s="225" t="s">
        <v>5173</v>
      </c>
      <c r="C3136" s="226">
        <v>537573</v>
      </c>
      <c r="D3136" s="225" t="s">
        <v>597</v>
      </c>
      <c r="E3136" s="225" t="s">
        <v>717</v>
      </c>
    </row>
    <row r="3137" spans="2:5" ht="15.75" thickBot="1">
      <c r="B3137" s="225" t="s">
        <v>5174</v>
      </c>
      <c r="C3137" s="226">
        <v>526043</v>
      </c>
      <c r="D3137" s="225" t="s">
        <v>597</v>
      </c>
      <c r="E3137" s="225" t="s">
        <v>605</v>
      </c>
    </row>
    <row r="3138" spans="2:5" ht="15.75" thickBot="1">
      <c r="B3138" s="225" t="s">
        <v>5175</v>
      </c>
      <c r="C3138" s="226">
        <v>524051</v>
      </c>
      <c r="D3138" s="225" t="s">
        <v>5176</v>
      </c>
      <c r="E3138" s="225" t="s">
        <v>645</v>
      </c>
    </row>
    <row r="3139" spans="2:5" ht="15.75" thickBot="1">
      <c r="B3139" s="225" t="s">
        <v>5177</v>
      </c>
      <c r="C3139" s="226">
        <v>539354</v>
      </c>
      <c r="D3139" s="225" t="s">
        <v>597</v>
      </c>
      <c r="E3139" s="225" t="s">
        <v>792</v>
      </c>
    </row>
    <row r="3140" spans="2:5" ht="15.75" thickBot="1">
      <c r="B3140" s="225" t="s">
        <v>5178</v>
      </c>
      <c r="C3140" s="226">
        <v>512481</v>
      </c>
      <c r="D3140" s="225" t="s">
        <v>597</v>
      </c>
      <c r="E3140" s="225" t="s">
        <v>614</v>
      </c>
    </row>
    <row r="3141" spans="2:5" ht="15.75" thickBot="1">
      <c r="B3141" s="225" t="s">
        <v>5179</v>
      </c>
      <c r="C3141" s="226">
        <v>512481</v>
      </c>
      <c r="D3141" s="225" t="s">
        <v>597</v>
      </c>
      <c r="E3141" s="225" t="s">
        <v>614</v>
      </c>
    </row>
    <row r="3142" spans="2:5" ht="15.75" thickBot="1">
      <c r="B3142" s="225" t="s">
        <v>5180</v>
      </c>
      <c r="C3142" s="226">
        <v>532626</v>
      </c>
      <c r="D3142" s="225" t="s">
        <v>597</v>
      </c>
      <c r="E3142" s="225" t="s">
        <v>2844</v>
      </c>
    </row>
    <row r="3143" spans="2:5" ht="15.75" thickBot="1">
      <c r="B3143" s="225" t="s">
        <v>5181</v>
      </c>
      <c r="C3143" s="226">
        <v>532460</v>
      </c>
      <c r="D3143" s="225" t="s">
        <v>5182</v>
      </c>
      <c r="E3143" s="225" t="s">
        <v>1296</v>
      </c>
    </row>
    <row r="3144" spans="2:5" ht="15.75" thickBot="1">
      <c r="B3144" s="225" t="s">
        <v>5183</v>
      </c>
      <c r="C3144" s="226">
        <v>532011</v>
      </c>
      <c r="D3144" s="225" t="s">
        <v>597</v>
      </c>
      <c r="E3144" s="225" t="s">
        <v>600</v>
      </c>
    </row>
    <row r="3145" spans="2:5" ht="15.75" thickBot="1">
      <c r="B3145" s="225" t="s">
        <v>5184</v>
      </c>
      <c r="C3145" s="226">
        <v>540727</v>
      </c>
      <c r="D3145" s="225" t="s">
        <v>597</v>
      </c>
      <c r="E3145" s="225" t="s">
        <v>1517</v>
      </c>
    </row>
    <row r="3146" spans="2:5" ht="15.75" thickBot="1">
      <c r="B3146" s="225" t="s">
        <v>5185</v>
      </c>
      <c r="C3146" s="226">
        <v>519359</v>
      </c>
      <c r="D3146" s="225" t="s">
        <v>597</v>
      </c>
      <c r="E3146" s="225" t="s">
        <v>846</v>
      </c>
    </row>
    <row r="3147" spans="2:5" ht="15.75" thickBot="1">
      <c r="B3147" s="225" t="s">
        <v>5186</v>
      </c>
      <c r="C3147" s="226">
        <v>531870</v>
      </c>
      <c r="D3147" s="225" t="s">
        <v>597</v>
      </c>
      <c r="E3147" s="225" t="s">
        <v>995</v>
      </c>
    </row>
    <row r="3148" spans="2:5" ht="15.75" thickBot="1">
      <c r="B3148" s="225" t="s">
        <v>5187</v>
      </c>
      <c r="C3148" s="226">
        <v>532933</v>
      </c>
      <c r="D3148" s="225" t="s">
        <v>597</v>
      </c>
      <c r="E3148" s="225" t="s">
        <v>952</v>
      </c>
    </row>
    <row r="3149" spans="2:5" ht="15.75" thickBot="1">
      <c r="B3149" s="225" t="s">
        <v>5188</v>
      </c>
      <c r="C3149" s="225" t="s">
        <v>597</v>
      </c>
      <c r="D3149" s="225" t="s">
        <v>5189</v>
      </c>
      <c r="E3149" s="225" t="s">
        <v>608</v>
      </c>
    </row>
    <row r="3150" spans="2:5" ht="15.75" thickBot="1">
      <c r="B3150" s="225" t="s">
        <v>5190</v>
      </c>
      <c r="C3150" s="226">
        <v>532810</v>
      </c>
      <c r="D3150" s="225" t="s">
        <v>5191</v>
      </c>
      <c r="E3150" s="225" t="s">
        <v>614</v>
      </c>
    </row>
    <row r="3151" spans="2:5" ht="15.75" thickBot="1">
      <c r="B3151" s="225" t="s">
        <v>5192</v>
      </c>
      <c r="C3151" s="226">
        <v>532898</v>
      </c>
      <c r="D3151" s="225" t="s">
        <v>5193</v>
      </c>
      <c r="E3151" s="225" t="s">
        <v>736</v>
      </c>
    </row>
    <row r="3152" spans="2:5" ht="15.75" thickBot="1">
      <c r="B3152" s="225" t="s">
        <v>5194</v>
      </c>
      <c r="C3152" s="226">
        <v>532898</v>
      </c>
      <c r="D3152" s="225" t="s">
        <v>5193</v>
      </c>
      <c r="E3152" s="225" t="s">
        <v>736</v>
      </c>
    </row>
    <row r="3153" spans="2:5" ht="15.75" thickBot="1">
      <c r="B3153" s="225" t="s">
        <v>5195</v>
      </c>
      <c r="C3153" s="226">
        <v>539302</v>
      </c>
      <c r="D3153" s="225" t="s">
        <v>5196</v>
      </c>
      <c r="E3153" s="225" t="s">
        <v>995</v>
      </c>
    </row>
    <row r="3154" spans="2:5" ht="15.75" thickBot="1">
      <c r="B3154" s="225" t="s">
        <v>5197</v>
      </c>
      <c r="C3154" s="225" t="s">
        <v>597</v>
      </c>
      <c r="D3154" s="225" t="s">
        <v>5198</v>
      </c>
      <c r="E3154" s="225" t="s">
        <v>608</v>
      </c>
    </row>
    <row r="3155" spans="2:5" ht="15.75" thickBot="1">
      <c r="B3155" s="225" t="s">
        <v>5199</v>
      </c>
      <c r="C3155" s="226">
        <v>538731</v>
      </c>
      <c r="D3155" s="225" t="s">
        <v>597</v>
      </c>
      <c r="E3155" s="225" t="s">
        <v>775</v>
      </c>
    </row>
    <row r="3156" spans="2:5" ht="15.75" thickBot="1">
      <c r="B3156" s="225" t="s">
        <v>5200</v>
      </c>
      <c r="C3156" s="226">
        <v>532934</v>
      </c>
      <c r="D3156" s="225" t="s">
        <v>5201</v>
      </c>
      <c r="E3156" s="225" t="s">
        <v>952</v>
      </c>
    </row>
    <row r="3157" spans="2:5" ht="15.75" thickBot="1">
      <c r="B3157" s="225" t="s">
        <v>5202</v>
      </c>
      <c r="C3157" s="226">
        <v>539351</v>
      </c>
      <c r="D3157" s="225" t="s">
        <v>5203</v>
      </c>
      <c r="E3157" s="225" t="s">
        <v>657</v>
      </c>
    </row>
    <row r="3158" spans="2:5" ht="15.75" thickBot="1">
      <c r="B3158" s="225" t="s">
        <v>5204</v>
      </c>
      <c r="C3158" s="226">
        <v>540027</v>
      </c>
      <c r="D3158" s="225" t="s">
        <v>597</v>
      </c>
      <c r="E3158" s="225" t="s">
        <v>598</v>
      </c>
    </row>
    <row r="3159" spans="2:5" ht="15.75" thickBot="1">
      <c r="B3159" s="225" t="s">
        <v>5205</v>
      </c>
      <c r="C3159" s="226">
        <v>540027</v>
      </c>
      <c r="D3159" s="225" t="s">
        <v>597</v>
      </c>
      <c r="E3159" s="225" t="s">
        <v>598</v>
      </c>
    </row>
    <row r="3160" spans="2:5" ht="15.75" thickBot="1">
      <c r="B3160" s="225" t="s">
        <v>5206</v>
      </c>
      <c r="C3160" s="226">
        <v>531855</v>
      </c>
      <c r="D3160" s="225" t="s">
        <v>597</v>
      </c>
      <c r="E3160" s="225" t="s">
        <v>629</v>
      </c>
    </row>
    <row r="3161" spans="2:5" ht="15.75" thickBot="1">
      <c r="B3161" s="225" t="s">
        <v>5207</v>
      </c>
      <c r="C3161" s="226">
        <v>506042</v>
      </c>
      <c r="D3161" s="225" t="s">
        <v>597</v>
      </c>
      <c r="E3161" s="225" t="s">
        <v>629</v>
      </c>
    </row>
    <row r="3162" spans="2:5" ht="15.75" thickBot="1">
      <c r="B3162" s="225" t="s">
        <v>5208</v>
      </c>
      <c r="C3162" s="226">
        <v>513532</v>
      </c>
      <c r="D3162" s="225" t="s">
        <v>597</v>
      </c>
      <c r="E3162" s="225" t="s">
        <v>952</v>
      </c>
    </row>
    <row r="3163" spans="2:5" ht="15.75" thickBot="1">
      <c r="B3163" s="225" t="s">
        <v>5209</v>
      </c>
      <c r="C3163" s="226">
        <v>530095</v>
      </c>
      <c r="D3163" s="225" t="s">
        <v>597</v>
      </c>
      <c r="E3163" s="225" t="s">
        <v>629</v>
      </c>
    </row>
    <row r="3164" spans="2:5" ht="15.75" thickBot="1">
      <c r="B3164" s="225" t="s">
        <v>5210</v>
      </c>
      <c r="C3164" s="226">
        <v>533178</v>
      </c>
      <c r="D3164" s="225" t="s">
        <v>5211</v>
      </c>
      <c r="E3164" s="225" t="s">
        <v>612</v>
      </c>
    </row>
    <row r="3165" spans="2:5" ht="15.75" thickBot="1">
      <c r="B3165" s="225" t="s">
        <v>5212</v>
      </c>
      <c r="C3165" s="226">
        <v>500192</v>
      </c>
      <c r="D3165" s="225" t="s">
        <v>597</v>
      </c>
      <c r="E3165" s="225" t="s">
        <v>612</v>
      </c>
    </row>
    <row r="3166" spans="2:5" ht="15.75" thickBot="1">
      <c r="B3166" s="225" t="s">
        <v>5213</v>
      </c>
      <c r="C3166" s="226">
        <v>522205</v>
      </c>
      <c r="D3166" s="225" t="s">
        <v>5214</v>
      </c>
      <c r="E3166" s="225" t="s">
        <v>995</v>
      </c>
    </row>
    <row r="3167" spans="2:5" ht="15.75" thickBot="1">
      <c r="B3167" s="225" t="s">
        <v>5215</v>
      </c>
      <c r="C3167" s="226">
        <v>531746</v>
      </c>
      <c r="D3167" s="225" t="s">
        <v>5216</v>
      </c>
      <c r="E3167" s="225" t="s">
        <v>683</v>
      </c>
    </row>
    <row r="3168" spans="2:5" ht="15.75" thickBot="1">
      <c r="B3168" s="225" t="s">
        <v>5217</v>
      </c>
      <c r="C3168" s="226">
        <v>533605</v>
      </c>
      <c r="D3168" s="225" t="s">
        <v>5218</v>
      </c>
      <c r="E3168" s="225" t="s">
        <v>995</v>
      </c>
    </row>
    <row r="3169" spans="2:5" ht="15.75" thickBot="1">
      <c r="B3169" s="225" t="s">
        <v>5219</v>
      </c>
      <c r="C3169" s="226">
        <v>506022</v>
      </c>
      <c r="D3169" s="225" t="s">
        <v>5220</v>
      </c>
      <c r="E3169" s="225" t="s">
        <v>629</v>
      </c>
    </row>
    <row r="3170" spans="2:5" ht="15.75" thickBot="1">
      <c r="B3170" s="225" t="s">
        <v>5221</v>
      </c>
      <c r="C3170" s="226">
        <v>542684</v>
      </c>
      <c r="D3170" s="225" t="s">
        <v>5222</v>
      </c>
      <c r="E3170" s="225" t="s">
        <v>717</v>
      </c>
    </row>
    <row r="3171" spans="2:5" ht="15.75" thickBot="1">
      <c r="B3171" s="225" t="s">
        <v>5223</v>
      </c>
      <c r="C3171" s="226">
        <v>533239</v>
      </c>
      <c r="D3171" s="225" t="s">
        <v>5224</v>
      </c>
      <c r="E3171" s="225" t="s">
        <v>995</v>
      </c>
    </row>
    <row r="3172" spans="2:5" ht="15.75" thickBot="1">
      <c r="B3172" s="225" t="s">
        <v>5225</v>
      </c>
      <c r="C3172" s="226">
        <v>531437</v>
      </c>
      <c r="D3172" s="225" t="s">
        <v>597</v>
      </c>
      <c r="E3172" s="225" t="s">
        <v>612</v>
      </c>
    </row>
    <row r="3173" spans="2:5" ht="15.75" thickBot="1">
      <c r="B3173" s="225" t="s">
        <v>5226</v>
      </c>
      <c r="C3173" s="226">
        <v>531172</v>
      </c>
      <c r="D3173" s="225" t="s">
        <v>597</v>
      </c>
      <c r="E3173" s="225" t="s">
        <v>612</v>
      </c>
    </row>
    <row r="3174" spans="2:5" ht="15.75" thickBot="1">
      <c r="B3174" s="225" t="s">
        <v>5227</v>
      </c>
      <c r="C3174" s="226">
        <v>519014</v>
      </c>
      <c r="D3174" s="225" t="s">
        <v>597</v>
      </c>
      <c r="E3174" s="225" t="s">
        <v>612</v>
      </c>
    </row>
    <row r="3175" spans="2:5" ht="15.75" thickBot="1">
      <c r="B3175" s="225" t="s">
        <v>5228</v>
      </c>
      <c r="C3175" s="226">
        <v>519014</v>
      </c>
      <c r="D3175" s="225" t="s">
        <v>597</v>
      </c>
      <c r="E3175" s="225" t="s">
        <v>612</v>
      </c>
    </row>
    <row r="3176" spans="2:5" ht="15.75" thickBot="1">
      <c r="B3176" s="225" t="s">
        <v>5229</v>
      </c>
      <c r="C3176" s="226">
        <v>540724</v>
      </c>
      <c r="D3176" s="225" t="s">
        <v>5230</v>
      </c>
      <c r="E3176" s="225" t="s">
        <v>657</v>
      </c>
    </row>
    <row r="3177" spans="2:5" ht="15.75" thickBot="1">
      <c r="B3177" s="225" t="s">
        <v>5231</v>
      </c>
      <c r="C3177" s="226">
        <v>526490</v>
      </c>
      <c r="D3177" s="225" t="s">
        <v>597</v>
      </c>
      <c r="E3177" s="225" t="s">
        <v>1092</v>
      </c>
    </row>
    <row r="3178" spans="2:5" ht="15.75" thickBot="1">
      <c r="B3178" s="225" t="s">
        <v>5232</v>
      </c>
      <c r="C3178" s="226">
        <v>531257</v>
      </c>
      <c r="D3178" s="225" t="s">
        <v>597</v>
      </c>
      <c r="E3178" s="225" t="s">
        <v>757</v>
      </c>
    </row>
    <row r="3179" spans="2:5" ht="15.75" thickBot="1">
      <c r="B3179" s="225" t="s">
        <v>5233</v>
      </c>
      <c r="C3179" s="226">
        <v>540901</v>
      </c>
      <c r="D3179" s="225" t="s">
        <v>5234</v>
      </c>
      <c r="E3179" s="225" t="s">
        <v>598</v>
      </c>
    </row>
    <row r="3180" spans="2:5" ht="15.75" thickBot="1">
      <c r="B3180" s="225" t="s">
        <v>5235</v>
      </c>
      <c r="C3180" s="226">
        <v>506107</v>
      </c>
      <c r="D3180" s="225" t="s">
        <v>597</v>
      </c>
      <c r="E3180" s="225" t="s">
        <v>1018</v>
      </c>
    </row>
    <row r="3181" spans="2:5" ht="15.75" thickBot="1">
      <c r="B3181" s="225" t="s">
        <v>5236</v>
      </c>
      <c r="C3181" s="226">
        <v>539636</v>
      </c>
      <c r="D3181" s="225" t="s">
        <v>5237</v>
      </c>
      <c r="E3181" s="225" t="s">
        <v>952</v>
      </c>
    </row>
    <row r="3182" spans="2:5" ht="15.75" thickBot="1">
      <c r="B3182" s="225" t="s">
        <v>5238</v>
      </c>
      <c r="C3182" s="226">
        <v>523874</v>
      </c>
      <c r="D3182" s="225" t="s">
        <v>597</v>
      </c>
      <c r="E3182" s="225" t="s">
        <v>619</v>
      </c>
    </row>
    <row r="3183" spans="2:5" ht="15.75" thickBot="1">
      <c r="B3183" s="225" t="s">
        <v>5239</v>
      </c>
      <c r="C3183" s="226">
        <v>517258</v>
      </c>
      <c r="D3183" s="225" t="s">
        <v>597</v>
      </c>
      <c r="E3183" s="225" t="s">
        <v>1139</v>
      </c>
    </row>
    <row r="3184" spans="2:5" ht="15.75" thickBot="1">
      <c r="B3184" s="225" t="s">
        <v>5240</v>
      </c>
      <c r="C3184" s="226">
        <v>523539</v>
      </c>
      <c r="D3184" s="225" t="s">
        <v>5241</v>
      </c>
      <c r="E3184" s="225" t="s">
        <v>1517</v>
      </c>
    </row>
    <row r="3185" spans="2:5" ht="15.75" thickBot="1">
      <c r="B3185" s="225" t="s">
        <v>5242</v>
      </c>
      <c r="C3185" s="226">
        <v>523539</v>
      </c>
      <c r="D3185" s="225" t="s">
        <v>5241</v>
      </c>
      <c r="E3185" s="225" t="s">
        <v>1517</v>
      </c>
    </row>
    <row r="3186" spans="2:5" ht="15.75" thickBot="1">
      <c r="B3186" s="225" t="s">
        <v>5243</v>
      </c>
      <c r="C3186" s="225" t="s">
        <v>597</v>
      </c>
      <c r="D3186" s="225" t="s">
        <v>5244</v>
      </c>
      <c r="E3186" s="225" t="s">
        <v>688</v>
      </c>
    </row>
    <row r="3187" spans="2:5" ht="15.75" thickBot="1">
      <c r="B3187" s="225" t="s">
        <v>5245</v>
      </c>
      <c r="C3187" s="226">
        <v>530669</v>
      </c>
      <c r="D3187" s="225" t="s">
        <v>597</v>
      </c>
      <c r="E3187" s="225" t="s">
        <v>580</v>
      </c>
    </row>
    <row r="3188" spans="2:5" ht="15.75" thickBot="1">
      <c r="B3188" s="225" t="s">
        <v>5246</v>
      </c>
      <c r="C3188" s="226">
        <v>530331</v>
      </c>
      <c r="D3188" s="225" t="s">
        <v>597</v>
      </c>
      <c r="E3188" s="225" t="s">
        <v>612</v>
      </c>
    </row>
    <row r="3189" spans="2:5" ht="15.75" thickBot="1">
      <c r="B3189" s="225" t="s">
        <v>5247</v>
      </c>
      <c r="C3189" s="226">
        <v>780007</v>
      </c>
      <c r="D3189" s="225" t="s">
        <v>597</v>
      </c>
      <c r="E3189" s="225" t="s">
        <v>688</v>
      </c>
    </row>
    <row r="3190" spans="2:5" ht="15.75" thickBot="1">
      <c r="B3190" s="225" t="s">
        <v>5248</v>
      </c>
      <c r="C3190" s="226">
        <v>526247</v>
      </c>
      <c r="D3190" s="225" t="s">
        <v>5249</v>
      </c>
      <c r="E3190" s="225" t="s">
        <v>757</v>
      </c>
    </row>
    <row r="3191" spans="2:5" ht="15.75" thickBot="1">
      <c r="B3191" s="225" t="s">
        <v>5250</v>
      </c>
      <c r="C3191" s="226">
        <v>500540</v>
      </c>
      <c r="D3191" s="225" t="s">
        <v>5251</v>
      </c>
      <c r="E3191" s="225" t="s">
        <v>605</v>
      </c>
    </row>
    <row r="3192" spans="2:5" ht="15.75" thickBot="1">
      <c r="B3192" s="225" t="s">
        <v>5252</v>
      </c>
      <c r="C3192" s="226">
        <v>513291</v>
      </c>
      <c r="D3192" s="225" t="s">
        <v>597</v>
      </c>
      <c r="E3192" s="225" t="s">
        <v>920</v>
      </c>
    </row>
    <row r="3193" spans="2:5" ht="15.75" thickBot="1">
      <c r="B3193" s="225" t="s">
        <v>5253</v>
      </c>
      <c r="C3193" s="226">
        <v>514354</v>
      </c>
      <c r="D3193" s="225" t="s">
        <v>5254</v>
      </c>
      <c r="E3193" s="225" t="s">
        <v>645</v>
      </c>
    </row>
    <row r="3194" spans="2:5" ht="15.75" thickBot="1">
      <c r="B3194" s="225" t="s">
        <v>5255</v>
      </c>
      <c r="C3194" s="226">
        <v>509835</v>
      </c>
      <c r="D3194" s="225" t="s">
        <v>597</v>
      </c>
      <c r="E3194" s="225" t="s">
        <v>612</v>
      </c>
    </row>
    <row r="3195" spans="2:5" ht="15.75" thickBot="1">
      <c r="B3195" s="225" t="s">
        <v>5256</v>
      </c>
      <c r="C3195" s="226">
        <v>531802</v>
      </c>
      <c r="D3195" s="225" t="s">
        <v>597</v>
      </c>
      <c r="E3195" s="225" t="s">
        <v>683</v>
      </c>
    </row>
    <row r="3196" spans="2:5" ht="15.75" thickBot="1">
      <c r="B3196" s="225" t="s">
        <v>5257</v>
      </c>
      <c r="C3196" s="226">
        <v>509077</v>
      </c>
      <c r="D3196" s="225" t="s">
        <v>5258</v>
      </c>
      <c r="E3196" s="225" t="s">
        <v>2199</v>
      </c>
    </row>
    <row r="3197" spans="2:5" ht="15.75" thickBot="1">
      <c r="B3197" s="225" t="s">
        <v>5259</v>
      </c>
      <c r="C3197" s="226">
        <v>533274</v>
      </c>
      <c r="D3197" s="225" t="s">
        <v>5260</v>
      </c>
      <c r="E3197" s="225" t="s">
        <v>683</v>
      </c>
    </row>
    <row r="3198" spans="2:5" ht="15.75" thickBot="1">
      <c r="B3198" s="225" t="s">
        <v>5261</v>
      </c>
      <c r="C3198" s="226">
        <v>540293</v>
      </c>
      <c r="D3198" s="225" t="s">
        <v>5262</v>
      </c>
      <c r="E3198" s="225" t="s">
        <v>952</v>
      </c>
    </row>
    <row r="3199" spans="2:5" ht="15.75" thickBot="1">
      <c r="B3199" s="225" t="s">
        <v>5263</v>
      </c>
      <c r="C3199" s="226">
        <v>519262</v>
      </c>
      <c r="D3199" s="225" t="s">
        <v>597</v>
      </c>
      <c r="E3199" s="225" t="s">
        <v>795</v>
      </c>
    </row>
    <row r="3200" spans="2:5" ht="15.75" thickBot="1">
      <c r="B3200" s="225" t="s">
        <v>5264</v>
      </c>
      <c r="C3200" s="226">
        <v>531246</v>
      </c>
      <c r="D3200" s="225" t="s">
        <v>597</v>
      </c>
      <c r="E3200" s="225" t="s">
        <v>846</v>
      </c>
    </row>
    <row r="3201" spans="2:5" ht="15.75" thickBot="1">
      <c r="B3201" s="225" t="s">
        <v>5265</v>
      </c>
      <c r="C3201" s="226">
        <v>530589</v>
      </c>
      <c r="D3201" s="225" t="s">
        <v>597</v>
      </c>
      <c r="E3201" s="225" t="s">
        <v>717</v>
      </c>
    </row>
    <row r="3202" spans="2:5" ht="15.75" thickBot="1">
      <c r="B3202" s="225" t="s">
        <v>5266</v>
      </c>
      <c r="C3202" s="226">
        <v>535514</v>
      </c>
      <c r="D3202" s="225" t="s">
        <v>597</v>
      </c>
      <c r="E3202" s="225" t="s">
        <v>614</v>
      </c>
    </row>
    <row r="3203" spans="2:5" ht="15.75" thickBot="1">
      <c r="B3203" s="225" t="s">
        <v>5267</v>
      </c>
      <c r="C3203" s="226">
        <v>540404</v>
      </c>
      <c r="D3203" s="225" t="s">
        <v>597</v>
      </c>
      <c r="E3203" s="225" t="s">
        <v>795</v>
      </c>
    </row>
    <row r="3204" spans="2:5" ht="15.75" thickBot="1">
      <c r="B3204" s="225" t="s">
        <v>5268</v>
      </c>
      <c r="C3204" s="226">
        <v>532748</v>
      </c>
      <c r="D3204" s="225" t="s">
        <v>5269</v>
      </c>
      <c r="E3204" s="225" t="s">
        <v>600</v>
      </c>
    </row>
    <row r="3205" spans="2:5" ht="15.75" thickBot="1">
      <c r="B3205" s="225" t="s">
        <v>5270</v>
      </c>
      <c r="C3205" s="226">
        <v>519299</v>
      </c>
      <c r="D3205" s="225" t="s">
        <v>597</v>
      </c>
      <c r="E3205" s="225" t="s">
        <v>846</v>
      </c>
    </row>
    <row r="3206" spans="2:5" ht="15.75" thickBot="1">
      <c r="B3206" s="225" t="s">
        <v>5271</v>
      </c>
      <c r="C3206" s="226">
        <v>530695</v>
      </c>
      <c r="D3206" s="225" t="s">
        <v>597</v>
      </c>
      <c r="E3206" s="225" t="s">
        <v>683</v>
      </c>
    </row>
    <row r="3207" spans="2:5" ht="15.75" thickBot="1">
      <c r="B3207" s="225" t="s">
        <v>5272</v>
      </c>
      <c r="C3207" s="226">
        <v>500337</v>
      </c>
      <c r="D3207" s="225" t="s">
        <v>5273</v>
      </c>
      <c r="E3207" s="225" t="s">
        <v>580</v>
      </c>
    </row>
    <row r="3208" spans="2:5" ht="15.75" thickBot="1">
      <c r="B3208" s="225" t="s">
        <v>5274</v>
      </c>
      <c r="C3208" s="226">
        <v>521149</v>
      </c>
      <c r="D3208" s="225" t="s">
        <v>597</v>
      </c>
      <c r="E3208" s="225" t="s">
        <v>683</v>
      </c>
    </row>
    <row r="3209" spans="2:5" ht="15.75" thickBot="1">
      <c r="B3209" s="225" t="s">
        <v>5275</v>
      </c>
      <c r="C3209" s="226">
        <v>521149</v>
      </c>
      <c r="D3209" s="225" t="s">
        <v>597</v>
      </c>
      <c r="E3209" s="225" t="s">
        <v>683</v>
      </c>
    </row>
    <row r="3210" spans="2:5" ht="15.75" thickBot="1">
      <c r="B3210" s="225" t="s">
        <v>5276</v>
      </c>
      <c r="C3210" s="226">
        <v>531735</v>
      </c>
      <c r="D3210" s="225" t="s">
        <v>597</v>
      </c>
      <c r="E3210" s="225" t="s">
        <v>614</v>
      </c>
    </row>
    <row r="3211" spans="2:5" ht="15.75" thickBot="1">
      <c r="B3211" s="225" t="s">
        <v>5277</v>
      </c>
      <c r="C3211" s="226">
        <v>500338</v>
      </c>
      <c r="D3211" s="225" t="s">
        <v>5278</v>
      </c>
      <c r="E3211" s="225" t="s">
        <v>610</v>
      </c>
    </row>
    <row r="3212" spans="2:5" ht="15.75" thickBot="1">
      <c r="B3212" s="225" t="s">
        <v>5279</v>
      </c>
      <c r="C3212" s="226">
        <v>512217</v>
      </c>
      <c r="D3212" s="225" t="s">
        <v>597</v>
      </c>
      <c r="E3212" s="225" t="s">
        <v>614</v>
      </c>
    </row>
    <row r="3213" spans="2:5" ht="15.75" thickBot="1">
      <c r="B3213" s="225" t="s">
        <v>5280</v>
      </c>
      <c r="C3213" s="226">
        <v>531688</v>
      </c>
      <c r="D3213" s="225" t="s">
        <v>597</v>
      </c>
      <c r="E3213" s="225" t="s">
        <v>690</v>
      </c>
    </row>
    <row r="3214" spans="2:5" ht="15.75" thickBot="1">
      <c r="B3214" s="225" t="s">
        <v>5281</v>
      </c>
      <c r="C3214" s="226">
        <v>531688</v>
      </c>
      <c r="D3214" s="225" t="s">
        <v>597</v>
      </c>
      <c r="E3214" s="225" t="s">
        <v>690</v>
      </c>
    </row>
    <row r="3215" spans="2:5" ht="15.75" thickBot="1">
      <c r="B3215" s="225" t="s">
        <v>5282</v>
      </c>
      <c r="C3215" s="225" t="s">
        <v>597</v>
      </c>
      <c r="D3215" s="225" t="s">
        <v>5283</v>
      </c>
      <c r="E3215" s="225" t="s">
        <v>608</v>
      </c>
    </row>
    <row r="3216" spans="2:5" ht="15.75" thickBot="1">
      <c r="B3216" s="225" t="s">
        <v>5284</v>
      </c>
      <c r="C3216" s="226">
        <v>539359</v>
      </c>
      <c r="D3216" s="225" t="s">
        <v>597</v>
      </c>
      <c r="E3216" s="225" t="s">
        <v>1517</v>
      </c>
    </row>
    <row r="3217" spans="2:5" ht="15.75" thickBot="1">
      <c r="B3217" s="225" t="s">
        <v>5285</v>
      </c>
      <c r="C3217" s="226">
        <v>532387</v>
      </c>
      <c r="D3217" s="225" t="s">
        <v>5286</v>
      </c>
      <c r="E3217" s="225" t="s">
        <v>600</v>
      </c>
    </row>
    <row r="3218" spans="2:5" ht="15.75" thickBot="1">
      <c r="B3218" s="225" t="s">
        <v>5287</v>
      </c>
      <c r="C3218" s="226">
        <v>524580</v>
      </c>
      <c r="D3218" s="225" t="s">
        <v>597</v>
      </c>
      <c r="E3218" s="225" t="s">
        <v>619</v>
      </c>
    </row>
    <row r="3219" spans="2:5" ht="15.75" thickBot="1">
      <c r="B3219" s="225" t="s">
        <v>5288</v>
      </c>
      <c r="C3219" s="226">
        <v>511557</v>
      </c>
      <c r="D3219" s="225" t="s">
        <v>597</v>
      </c>
      <c r="E3219" s="225" t="s">
        <v>1018</v>
      </c>
    </row>
    <row r="3220" spans="2:5" ht="15.75" thickBot="1">
      <c r="B3220" s="225" t="s">
        <v>5289</v>
      </c>
      <c r="C3220" s="226">
        <v>512105</v>
      </c>
      <c r="D3220" s="225" t="s">
        <v>597</v>
      </c>
      <c r="E3220" s="225" t="s">
        <v>1018</v>
      </c>
    </row>
    <row r="3221" spans="2:5" ht="15.75" thickBot="1">
      <c r="B3221" s="225" t="s">
        <v>5290</v>
      </c>
      <c r="C3221" s="226">
        <v>526009</v>
      </c>
      <c r="D3221" s="225" t="s">
        <v>597</v>
      </c>
      <c r="E3221" s="225" t="s">
        <v>619</v>
      </c>
    </row>
    <row r="3222" spans="2:5" ht="15.75" thickBot="1">
      <c r="B3222" s="225" t="s">
        <v>5291</v>
      </c>
      <c r="C3222" s="226">
        <v>526009</v>
      </c>
      <c r="D3222" s="225" t="s">
        <v>597</v>
      </c>
      <c r="E3222" s="225" t="s">
        <v>619</v>
      </c>
    </row>
    <row r="3223" spans="2:5" ht="15.75" thickBot="1">
      <c r="B3223" s="225" t="s">
        <v>5292</v>
      </c>
      <c r="C3223" s="225" t="s">
        <v>597</v>
      </c>
      <c r="D3223" s="225" t="s">
        <v>5293</v>
      </c>
      <c r="E3223" s="225" t="s">
        <v>619</v>
      </c>
    </row>
    <row r="3224" spans="2:5" ht="15.75" thickBot="1">
      <c r="B3224" s="225" t="s">
        <v>5294</v>
      </c>
      <c r="C3224" s="226">
        <v>500459</v>
      </c>
      <c r="D3224" s="225" t="s">
        <v>5295</v>
      </c>
      <c r="E3224" s="225" t="s">
        <v>779</v>
      </c>
    </row>
    <row r="3225" spans="2:5" ht="15.75" thickBot="1">
      <c r="B3225" s="225" t="s">
        <v>5296</v>
      </c>
      <c r="C3225" s="226">
        <v>531265</v>
      </c>
      <c r="D3225" s="225" t="s">
        <v>597</v>
      </c>
      <c r="E3225" s="225" t="s">
        <v>677</v>
      </c>
    </row>
    <row r="3226" spans="2:5" ht="15.75" thickBot="1">
      <c r="B3226" s="225" t="s">
        <v>5297</v>
      </c>
      <c r="C3226" s="225" t="s">
        <v>597</v>
      </c>
      <c r="D3226" s="225" t="s">
        <v>5298</v>
      </c>
      <c r="E3226" s="225" t="s">
        <v>608</v>
      </c>
    </row>
    <row r="3227" spans="2:5" ht="15.75" thickBot="1">
      <c r="B3227" s="225" t="s">
        <v>5299</v>
      </c>
      <c r="C3227" s="226">
        <v>526494</v>
      </c>
      <c r="D3227" s="225" t="s">
        <v>597</v>
      </c>
      <c r="E3227" s="225" t="s">
        <v>792</v>
      </c>
    </row>
    <row r="3228" spans="2:5" ht="15.75" thickBot="1">
      <c r="B3228" s="225" t="s">
        <v>5300</v>
      </c>
      <c r="C3228" s="226">
        <v>590057</v>
      </c>
      <c r="D3228" s="225" t="s">
        <v>5301</v>
      </c>
      <c r="E3228" s="225" t="s">
        <v>690</v>
      </c>
    </row>
    <row r="3229" spans="2:5" ht="15.75" thickBot="1">
      <c r="B3229" s="225" t="s">
        <v>5302</v>
      </c>
      <c r="C3229" s="226">
        <v>590057</v>
      </c>
      <c r="D3229" s="225" t="s">
        <v>5301</v>
      </c>
      <c r="E3229" s="225" t="s">
        <v>690</v>
      </c>
    </row>
    <row r="3230" spans="2:5" ht="15.75" thickBot="1">
      <c r="B3230" s="225" t="s">
        <v>5303</v>
      </c>
      <c r="C3230" s="226">
        <v>540703</v>
      </c>
      <c r="D3230" s="225" t="s">
        <v>597</v>
      </c>
      <c r="E3230" s="225" t="s">
        <v>681</v>
      </c>
    </row>
    <row r="3231" spans="2:5" ht="15.75" thickBot="1">
      <c r="B3231" s="225" t="s">
        <v>5304</v>
      </c>
      <c r="C3231" s="226">
        <v>532647</v>
      </c>
      <c r="D3231" s="225" t="s">
        <v>5305</v>
      </c>
      <c r="E3231" s="225" t="s">
        <v>711</v>
      </c>
    </row>
    <row r="3232" spans="2:5" ht="15.75" thickBot="1">
      <c r="B3232" s="225" t="s">
        <v>5306</v>
      </c>
      <c r="C3232" s="226">
        <v>532647</v>
      </c>
      <c r="D3232" s="225" t="s">
        <v>5305</v>
      </c>
      <c r="E3232" s="225" t="s">
        <v>711</v>
      </c>
    </row>
    <row r="3233" spans="2:5" ht="15.75" thickBot="1">
      <c r="B3233" s="225" t="s">
        <v>5307</v>
      </c>
      <c r="C3233" s="226">
        <v>534675</v>
      </c>
      <c r="D3233" s="225" t="s">
        <v>5308</v>
      </c>
      <c r="E3233" s="225" t="s">
        <v>683</v>
      </c>
    </row>
    <row r="3234" spans="2:5" ht="15.75" thickBot="1">
      <c r="B3234" s="225" t="s">
        <v>5309</v>
      </c>
      <c r="C3234" s="226">
        <v>505502</v>
      </c>
      <c r="D3234" s="225" t="s">
        <v>597</v>
      </c>
      <c r="E3234" s="225" t="s">
        <v>580</v>
      </c>
    </row>
    <row r="3235" spans="2:5" ht="15.75" thickBot="1">
      <c r="B3235" s="225" t="s">
        <v>5310</v>
      </c>
      <c r="C3235" s="226">
        <v>526801</v>
      </c>
      <c r="D3235" s="225" t="s">
        <v>5311</v>
      </c>
      <c r="E3235" s="225" t="s">
        <v>995</v>
      </c>
    </row>
    <row r="3236" spans="2:5" ht="15.75" thickBot="1">
      <c r="B3236" s="225" t="s">
        <v>5312</v>
      </c>
      <c r="C3236" s="226">
        <v>540544</v>
      </c>
      <c r="D3236" s="225" t="s">
        <v>5313</v>
      </c>
      <c r="E3236" s="225" t="s">
        <v>995</v>
      </c>
    </row>
    <row r="3237" spans="2:5" ht="15.75" thickBot="1">
      <c r="B3237" s="225" t="s">
        <v>5314</v>
      </c>
      <c r="C3237" s="226">
        <v>532524</v>
      </c>
      <c r="D3237" s="225" t="s">
        <v>5315</v>
      </c>
      <c r="E3237" s="225" t="s">
        <v>736</v>
      </c>
    </row>
    <row r="3238" spans="2:5" ht="15.75" thickBot="1">
      <c r="B3238" s="225" t="s">
        <v>5316</v>
      </c>
      <c r="C3238" s="226">
        <v>533344</v>
      </c>
      <c r="D3238" s="225" t="s">
        <v>5317</v>
      </c>
      <c r="E3238" s="225" t="s">
        <v>614</v>
      </c>
    </row>
    <row r="3239" spans="2:5" ht="15.75" thickBot="1">
      <c r="B3239" s="225" t="s">
        <v>5318</v>
      </c>
      <c r="C3239" s="226">
        <v>532524</v>
      </c>
      <c r="D3239" s="225" t="s">
        <v>5315</v>
      </c>
      <c r="E3239" s="225" t="s">
        <v>736</v>
      </c>
    </row>
    <row r="3240" spans="2:5" ht="15.75" thickBot="1">
      <c r="B3240" s="225" t="s">
        <v>5319</v>
      </c>
      <c r="C3240" s="226">
        <v>539006</v>
      </c>
      <c r="D3240" s="225" t="s">
        <v>597</v>
      </c>
      <c r="E3240" s="225" t="s">
        <v>1517</v>
      </c>
    </row>
    <row r="3241" spans="2:5" ht="15.75" thickBot="1">
      <c r="B3241" s="225" t="s">
        <v>5320</v>
      </c>
      <c r="C3241" s="226">
        <v>509220</v>
      </c>
      <c r="D3241" s="225" t="s">
        <v>5321</v>
      </c>
      <c r="E3241" s="225" t="s">
        <v>619</v>
      </c>
    </row>
    <row r="3242" spans="2:5" ht="15.75" thickBot="1">
      <c r="B3242" s="225" t="s">
        <v>5322</v>
      </c>
      <c r="C3242" s="226">
        <v>539785</v>
      </c>
      <c r="D3242" s="225" t="s">
        <v>5323</v>
      </c>
      <c r="E3242" s="225" t="s">
        <v>591</v>
      </c>
    </row>
    <row r="3243" spans="2:5" ht="15.75" thickBot="1">
      <c r="B3243" s="225" t="s">
        <v>5324</v>
      </c>
      <c r="C3243" s="226">
        <v>512591</v>
      </c>
      <c r="D3243" s="225" t="s">
        <v>597</v>
      </c>
      <c r="E3243" s="225" t="s">
        <v>619</v>
      </c>
    </row>
    <row r="3244" spans="2:5" ht="15.75" thickBot="1">
      <c r="B3244" s="225" t="s">
        <v>5325</v>
      </c>
      <c r="C3244" s="225" t="s">
        <v>597</v>
      </c>
      <c r="D3244" s="225" t="s">
        <v>5326</v>
      </c>
      <c r="E3244" s="225" t="s">
        <v>608</v>
      </c>
    </row>
    <row r="3245" spans="2:5" ht="15.75" thickBot="1">
      <c r="B3245" s="225" t="s">
        <v>5327</v>
      </c>
      <c r="C3245" s="226">
        <v>512461</v>
      </c>
      <c r="D3245" s="225" t="s">
        <v>597</v>
      </c>
      <c r="E3245" s="225" t="s">
        <v>619</v>
      </c>
    </row>
    <row r="3246" spans="2:5" ht="15.75" thickBot="1">
      <c r="B3246" s="225" t="s">
        <v>5328</v>
      </c>
      <c r="C3246" s="226">
        <v>512099</v>
      </c>
      <c r="D3246" s="225" t="s">
        <v>597</v>
      </c>
      <c r="E3246" s="225" t="s">
        <v>711</v>
      </c>
    </row>
    <row r="3247" spans="2:5" ht="15.75" thickBot="1">
      <c r="B3247" s="225" t="s">
        <v>5329</v>
      </c>
      <c r="C3247" s="226">
        <v>532693</v>
      </c>
      <c r="D3247" s="225" t="s">
        <v>5330</v>
      </c>
      <c r="E3247" s="225" t="s">
        <v>995</v>
      </c>
    </row>
    <row r="3248" spans="2:5" ht="15.75" thickBot="1">
      <c r="B3248" s="225" t="s">
        <v>5331</v>
      </c>
      <c r="C3248" s="226">
        <v>533295</v>
      </c>
      <c r="D3248" s="225" t="s">
        <v>5332</v>
      </c>
      <c r="E3248" s="225" t="s">
        <v>915</v>
      </c>
    </row>
    <row r="3249" spans="2:5" ht="15.75" thickBot="1">
      <c r="B3249" s="225" t="s">
        <v>5333</v>
      </c>
      <c r="C3249" s="226">
        <v>506852</v>
      </c>
      <c r="D3249" s="225" t="s">
        <v>597</v>
      </c>
      <c r="E3249" s="225" t="s">
        <v>645</v>
      </c>
    </row>
    <row r="3250" spans="2:5" ht="15.75" thickBot="1">
      <c r="B3250" s="225" t="s">
        <v>5334</v>
      </c>
      <c r="C3250" s="226">
        <v>506618</v>
      </c>
      <c r="D3250" s="225" t="s">
        <v>5335</v>
      </c>
      <c r="E3250" s="225" t="s">
        <v>741</v>
      </c>
    </row>
    <row r="3251" spans="2:5" ht="15.75" thickBot="1">
      <c r="B3251" s="225" t="s">
        <v>5336</v>
      </c>
      <c r="C3251" s="226">
        <v>500346</v>
      </c>
      <c r="D3251" s="225" t="s">
        <v>597</v>
      </c>
      <c r="E3251" s="225" t="s">
        <v>743</v>
      </c>
    </row>
    <row r="3252" spans="2:5" ht="15.75" thickBot="1">
      <c r="B3252" s="225" t="s">
        <v>5337</v>
      </c>
      <c r="C3252" s="226">
        <v>532461</v>
      </c>
      <c r="D3252" s="225" t="s">
        <v>5338</v>
      </c>
      <c r="E3252" s="225" t="s">
        <v>915</v>
      </c>
    </row>
    <row r="3253" spans="2:5" ht="15.75" thickBot="1">
      <c r="B3253" s="225" t="s">
        <v>5339</v>
      </c>
      <c r="C3253" s="226">
        <v>532891</v>
      </c>
      <c r="D3253" s="225" t="s">
        <v>5340</v>
      </c>
      <c r="E3253" s="225" t="s">
        <v>683</v>
      </c>
    </row>
    <row r="3254" spans="2:5" ht="15.75" thickBot="1">
      <c r="B3254" s="225" t="s">
        <v>5341</v>
      </c>
      <c r="C3254" s="226">
        <v>540492</v>
      </c>
      <c r="D3254" s="225" t="s">
        <v>597</v>
      </c>
      <c r="E3254" s="225" t="s">
        <v>619</v>
      </c>
    </row>
    <row r="3255" spans="2:5" ht="15.75" thickBot="1">
      <c r="B3255" s="225" t="s">
        <v>5342</v>
      </c>
      <c r="C3255" s="226">
        <v>523315</v>
      </c>
      <c r="D3255" s="225" t="s">
        <v>597</v>
      </c>
      <c r="E3255" s="225" t="s">
        <v>591</v>
      </c>
    </row>
    <row r="3256" spans="2:5" ht="15.75" thickBot="1">
      <c r="B3256" s="225" t="s">
        <v>5343</v>
      </c>
      <c r="C3256" s="226">
        <v>538993</v>
      </c>
      <c r="D3256" s="225" t="s">
        <v>597</v>
      </c>
      <c r="E3256" s="225" t="s">
        <v>683</v>
      </c>
    </row>
    <row r="3257" spans="2:5" ht="15.75" thickBot="1">
      <c r="B3257" s="225" t="s">
        <v>5344</v>
      </c>
      <c r="C3257" s="226">
        <v>540159</v>
      </c>
      <c r="D3257" s="225" t="s">
        <v>597</v>
      </c>
      <c r="E3257" s="225" t="s">
        <v>600</v>
      </c>
    </row>
    <row r="3258" spans="2:5" ht="15.75" thickBot="1">
      <c r="B3258" s="225" t="s">
        <v>5345</v>
      </c>
      <c r="C3258" s="226">
        <v>538647</v>
      </c>
      <c r="D3258" s="225" t="s">
        <v>597</v>
      </c>
      <c r="E3258" s="225" t="s">
        <v>614</v>
      </c>
    </row>
    <row r="3259" spans="2:5" ht="15.75" thickBot="1">
      <c r="B3259" s="225" t="s">
        <v>5346</v>
      </c>
      <c r="C3259" s="225" t="s">
        <v>597</v>
      </c>
      <c r="D3259" s="225" t="s">
        <v>5347</v>
      </c>
      <c r="E3259" s="225" t="s">
        <v>608</v>
      </c>
    </row>
    <row r="3260" spans="2:5" ht="15.75" thickBot="1">
      <c r="B3260" s="225" t="s">
        <v>5348</v>
      </c>
      <c r="C3260" s="226">
        <v>531562</v>
      </c>
      <c r="D3260" s="225" t="s">
        <v>597</v>
      </c>
      <c r="E3260" s="225" t="s">
        <v>612</v>
      </c>
    </row>
    <row r="3261" spans="2:5" ht="15.75" thickBot="1">
      <c r="B3261" s="225" t="s">
        <v>5349</v>
      </c>
      <c r="C3261" s="226">
        <v>517556</v>
      </c>
      <c r="D3261" s="225" t="s">
        <v>5350</v>
      </c>
      <c r="E3261" s="225" t="s">
        <v>683</v>
      </c>
    </row>
    <row r="3262" spans="2:5" ht="15.75" thickBot="1">
      <c r="B3262" s="225" t="s">
        <v>5351</v>
      </c>
      <c r="C3262" s="226">
        <v>532689</v>
      </c>
      <c r="D3262" s="225" t="s">
        <v>5352</v>
      </c>
      <c r="E3262" s="225" t="s">
        <v>598</v>
      </c>
    </row>
    <row r="3263" spans="2:5" ht="15.75" thickBot="1">
      <c r="B3263" s="225" t="s">
        <v>5353</v>
      </c>
      <c r="C3263" s="226">
        <v>536659</v>
      </c>
      <c r="D3263" s="225" t="s">
        <v>597</v>
      </c>
      <c r="E3263" s="225" t="s">
        <v>995</v>
      </c>
    </row>
    <row r="3264" spans="2:5" ht="15.75" thickBot="1">
      <c r="B3264" s="225" t="s">
        <v>5354</v>
      </c>
      <c r="C3264" s="226">
        <v>534109</v>
      </c>
      <c r="D3264" s="225" t="s">
        <v>597</v>
      </c>
      <c r="E3264" s="225" t="s">
        <v>614</v>
      </c>
    </row>
    <row r="3265" spans="2:5" ht="15.75" thickBot="1">
      <c r="B3265" s="225" t="s">
        <v>5355</v>
      </c>
      <c r="C3265" s="226">
        <v>511116</v>
      </c>
      <c r="D3265" s="225" t="s">
        <v>597</v>
      </c>
      <c r="E3265" s="225" t="s">
        <v>1541</v>
      </c>
    </row>
    <row r="3266" spans="2:5" ht="15.75" thickBot="1">
      <c r="B3266" s="225" t="s">
        <v>5356</v>
      </c>
      <c r="C3266" s="226">
        <v>538596</v>
      </c>
      <c r="D3266" s="225" t="s">
        <v>597</v>
      </c>
      <c r="E3266" s="225" t="s">
        <v>683</v>
      </c>
    </row>
    <row r="3267" spans="2:5" ht="15.75" thickBot="1">
      <c r="B3267" s="225" t="s">
        <v>5357</v>
      </c>
      <c r="C3267" s="226">
        <v>530281</v>
      </c>
      <c r="D3267" s="225" t="s">
        <v>597</v>
      </c>
      <c r="E3267" s="225" t="s">
        <v>792</v>
      </c>
    </row>
    <row r="3268" spans="2:5" ht="15.75" thickBot="1">
      <c r="B3268" s="225" t="s">
        <v>5358</v>
      </c>
      <c r="C3268" s="226">
        <v>530281</v>
      </c>
      <c r="D3268" s="225" t="s">
        <v>597</v>
      </c>
      <c r="E3268" s="225" t="s">
        <v>792</v>
      </c>
    </row>
    <row r="3269" spans="2:5" ht="15.75" thickBot="1">
      <c r="B3269" s="225" t="s">
        <v>5359</v>
      </c>
      <c r="C3269" s="226">
        <v>590099</v>
      </c>
      <c r="D3269" s="225" t="s">
        <v>5360</v>
      </c>
      <c r="E3269" s="225" t="s">
        <v>580</v>
      </c>
    </row>
    <row r="3270" spans="2:5" ht="15.75" thickBot="1">
      <c r="B3270" s="225" t="s">
        <v>5361</v>
      </c>
      <c r="C3270" s="226">
        <v>590110</v>
      </c>
      <c r="D3270" s="225" t="s">
        <v>5362</v>
      </c>
      <c r="E3270" s="225" t="s">
        <v>580</v>
      </c>
    </row>
    <row r="3271" spans="2:5" ht="15.75" thickBot="1">
      <c r="B3271" s="225" t="s">
        <v>5363</v>
      </c>
      <c r="C3271" s="226">
        <v>539978</v>
      </c>
      <c r="D3271" s="225" t="s">
        <v>5364</v>
      </c>
      <c r="E3271" s="225" t="s">
        <v>586</v>
      </c>
    </row>
    <row r="3272" spans="2:5" ht="15.75" thickBot="1">
      <c r="B3272" s="225" t="s">
        <v>5365</v>
      </c>
      <c r="C3272" s="226">
        <v>539962</v>
      </c>
      <c r="D3272" s="225" t="s">
        <v>597</v>
      </c>
      <c r="E3272" s="225" t="s">
        <v>614</v>
      </c>
    </row>
    <row r="3273" spans="2:5" ht="15.75" thickBot="1">
      <c r="B3273" s="225" t="s">
        <v>5366</v>
      </c>
      <c r="C3273" s="226">
        <v>535719</v>
      </c>
      <c r="D3273" s="225" t="s">
        <v>597</v>
      </c>
      <c r="E3273" s="225" t="s">
        <v>583</v>
      </c>
    </row>
    <row r="3274" spans="2:5" ht="15.75" thickBot="1">
      <c r="B3274" s="225" t="s">
        <v>5367</v>
      </c>
      <c r="C3274" s="226">
        <v>535719</v>
      </c>
      <c r="D3274" s="225" t="s">
        <v>597</v>
      </c>
      <c r="E3274" s="225" t="s">
        <v>583</v>
      </c>
    </row>
    <row r="3275" spans="2:5" ht="15.75" thickBot="1">
      <c r="B3275" s="225" t="s">
        <v>5368</v>
      </c>
      <c r="C3275" s="226">
        <v>539678</v>
      </c>
      <c r="D3275" s="225" t="s">
        <v>5369</v>
      </c>
      <c r="E3275" s="225" t="s">
        <v>690</v>
      </c>
    </row>
    <row r="3276" spans="2:5" ht="15.75" thickBot="1">
      <c r="B3276" s="225" t="s">
        <v>5370</v>
      </c>
      <c r="C3276" s="226">
        <v>532866</v>
      </c>
      <c r="D3276" s="225" t="s">
        <v>5371</v>
      </c>
      <c r="E3276" s="225" t="s">
        <v>583</v>
      </c>
    </row>
    <row r="3277" spans="2:5" ht="15.75" thickBot="1">
      <c r="B3277" s="225" t="s">
        <v>5372</v>
      </c>
      <c r="C3277" s="226">
        <v>532024</v>
      </c>
      <c r="D3277" s="225" t="s">
        <v>597</v>
      </c>
      <c r="E3277" s="225" t="s">
        <v>580</v>
      </c>
    </row>
    <row r="3278" spans="2:5" ht="15.75" thickBot="1">
      <c r="B3278" s="225" t="s">
        <v>5373</v>
      </c>
      <c r="C3278" s="226">
        <v>536456</v>
      </c>
      <c r="D3278" s="225" t="s">
        <v>597</v>
      </c>
      <c r="E3278" s="225" t="s">
        <v>795</v>
      </c>
    </row>
    <row r="3279" spans="2:5" ht="15.75" thickBot="1">
      <c r="B3279" s="225" t="s">
        <v>5374</v>
      </c>
      <c r="C3279" s="226">
        <v>509845</v>
      </c>
      <c r="D3279" s="225" t="s">
        <v>597</v>
      </c>
      <c r="E3279" s="225" t="s">
        <v>683</v>
      </c>
    </row>
    <row r="3280" spans="2:5" ht="15.75" thickBot="1">
      <c r="B3280" s="225" t="s">
        <v>5375</v>
      </c>
      <c r="C3280" s="225" t="s">
        <v>597</v>
      </c>
      <c r="D3280" s="225" t="s">
        <v>5376</v>
      </c>
      <c r="E3280" s="225" t="s">
        <v>608</v>
      </c>
    </row>
    <row r="3281" spans="2:5" ht="15.75" thickBot="1">
      <c r="B3281" s="225" t="s">
        <v>5377</v>
      </c>
      <c r="C3281" s="226">
        <v>533284</v>
      </c>
      <c r="D3281" s="225" t="s">
        <v>5378</v>
      </c>
      <c r="E3281" s="225" t="s">
        <v>995</v>
      </c>
    </row>
    <row r="3282" spans="2:5" ht="15.75" thickBot="1">
      <c r="B3282" s="225" t="s">
        <v>5379</v>
      </c>
      <c r="C3282" s="226">
        <v>530917</v>
      </c>
      <c r="D3282" s="225" t="s">
        <v>597</v>
      </c>
      <c r="E3282" s="225" t="s">
        <v>1018</v>
      </c>
    </row>
    <row r="3283" spans="2:5" ht="15.75" thickBot="1">
      <c r="B3283" s="225" t="s">
        <v>5380</v>
      </c>
      <c r="C3283" s="226">
        <v>517447</v>
      </c>
      <c r="D3283" s="225" t="s">
        <v>5381</v>
      </c>
      <c r="E3283" s="225" t="s">
        <v>690</v>
      </c>
    </row>
    <row r="3284" spans="2:5" ht="15.75" thickBot="1">
      <c r="B3284" s="225" t="s">
        <v>5382</v>
      </c>
      <c r="C3284" s="226">
        <v>517447</v>
      </c>
      <c r="D3284" s="225" t="s">
        <v>5381</v>
      </c>
      <c r="E3284" s="225" t="s">
        <v>690</v>
      </c>
    </row>
    <row r="3285" spans="2:5" ht="15.75" thickBot="1">
      <c r="B3285" s="225" t="s">
        <v>5383</v>
      </c>
      <c r="C3285" s="226">
        <v>532735</v>
      </c>
      <c r="D3285" s="225" t="s">
        <v>5384</v>
      </c>
      <c r="E3285" s="225" t="s">
        <v>583</v>
      </c>
    </row>
    <row r="3286" spans="2:5" ht="15.75" thickBot="1">
      <c r="B3286" s="225" t="s">
        <v>5385</v>
      </c>
      <c r="C3286" s="226">
        <v>512565</v>
      </c>
      <c r="D3286" s="225" t="s">
        <v>597</v>
      </c>
      <c r="E3286" s="225" t="s">
        <v>795</v>
      </c>
    </row>
    <row r="3287" spans="2:5" ht="15.75" thickBot="1">
      <c r="B3287" s="225" t="s">
        <v>5386</v>
      </c>
      <c r="C3287" s="226">
        <v>538119</v>
      </c>
      <c r="D3287" s="225" t="s">
        <v>597</v>
      </c>
      <c r="E3287" s="225" t="s">
        <v>612</v>
      </c>
    </row>
    <row r="3288" spans="2:5" ht="15.75" thickBot="1">
      <c r="B3288" s="225" t="s">
        <v>5387</v>
      </c>
      <c r="C3288" s="226">
        <v>524502</v>
      </c>
      <c r="D3288" s="225" t="s">
        <v>597</v>
      </c>
      <c r="E3288" s="225" t="s">
        <v>1764</v>
      </c>
    </row>
    <row r="3289" spans="2:5" ht="15.75" thickBot="1">
      <c r="B3289" s="225" t="s">
        <v>5388</v>
      </c>
      <c r="C3289" s="226">
        <v>524502</v>
      </c>
      <c r="D3289" s="225" t="s">
        <v>597</v>
      </c>
      <c r="E3289" s="225" t="s">
        <v>1764</v>
      </c>
    </row>
    <row r="3290" spans="2:5" ht="15.75" thickBot="1">
      <c r="B3290" s="225" t="s">
        <v>5389</v>
      </c>
      <c r="C3290" s="226">
        <v>502271</v>
      </c>
      <c r="D3290" s="225" t="s">
        <v>597</v>
      </c>
      <c r="E3290" s="225" t="s">
        <v>782</v>
      </c>
    </row>
    <row r="3291" spans="2:5" ht="15.75" thickBot="1">
      <c r="B3291" s="225" t="s">
        <v>5390</v>
      </c>
      <c r="C3291" s="226">
        <v>520073</v>
      </c>
      <c r="D3291" s="225" t="s">
        <v>597</v>
      </c>
      <c r="E3291" s="225" t="s">
        <v>952</v>
      </c>
    </row>
    <row r="3292" spans="2:5" ht="15.75" thickBot="1">
      <c r="B3292" s="225" t="s">
        <v>5391</v>
      </c>
      <c r="C3292" s="226">
        <v>590070</v>
      </c>
      <c r="D3292" s="225" t="s">
        <v>5392</v>
      </c>
      <c r="E3292" s="225" t="s">
        <v>600</v>
      </c>
    </row>
    <row r="3293" spans="2:5" ht="15.75" thickBot="1">
      <c r="B3293" s="225" t="s">
        <v>5393</v>
      </c>
      <c r="C3293" s="226">
        <v>590070</v>
      </c>
      <c r="D3293" s="225" t="s">
        <v>5392</v>
      </c>
      <c r="E3293" s="225" t="s">
        <v>600</v>
      </c>
    </row>
    <row r="3294" spans="2:5" ht="15.75" thickBot="1">
      <c r="B3294" s="225" t="s">
        <v>5394</v>
      </c>
      <c r="C3294" s="226">
        <v>532692</v>
      </c>
      <c r="D3294" s="225" t="s">
        <v>5395</v>
      </c>
      <c r="E3294" s="225" t="s">
        <v>792</v>
      </c>
    </row>
    <row r="3295" spans="2:5" ht="15.75" thickBot="1">
      <c r="B3295" s="225" t="s">
        <v>5396</v>
      </c>
      <c r="C3295" s="226">
        <v>539673</v>
      </c>
      <c r="D3295" s="225" t="s">
        <v>597</v>
      </c>
      <c r="E3295" s="225" t="s">
        <v>631</v>
      </c>
    </row>
    <row r="3296" spans="2:5" ht="15.75" thickBot="1">
      <c r="B3296" s="225" t="s">
        <v>5397</v>
      </c>
      <c r="C3296" s="226">
        <v>531273</v>
      </c>
      <c r="D3296" s="225" t="s">
        <v>597</v>
      </c>
      <c r="E3296" s="225" t="s">
        <v>683</v>
      </c>
    </row>
    <row r="3297" spans="2:5" ht="15.75" thickBot="1">
      <c r="B3297" s="225" t="s">
        <v>5398</v>
      </c>
      <c r="C3297" s="226">
        <v>531273</v>
      </c>
      <c r="D3297" s="225" t="s">
        <v>597</v>
      </c>
      <c r="E3297" s="225" t="s">
        <v>683</v>
      </c>
    </row>
    <row r="3298" spans="2:5" ht="15.75" thickBot="1">
      <c r="B3298" s="225" t="s">
        <v>5399</v>
      </c>
      <c r="C3298" s="226">
        <v>539814</v>
      </c>
      <c r="D3298" s="225" t="s">
        <v>597</v>
      </c>
      <c r="E3298" s="225" t="s">
        <v>619</v>
      </c>
    </row>
    <row r="3299" spans="2:5" ht="15.75" thickBot="1">
      <c r="B3299" s="225" t="s">
        <v>5400</v>
      </c>
      <c r="C3299" s="226">
        <v>540125</v>
      </c>
      <c r="D3299" s="225" t="s">
        <v>597</v>
      </c>
      <c r="E3299" s="225" t="s">
        <v>711</v>
      </c>
    </row>
    <row r="3300" spans="2:5" ht="15.75" thickBot="1">
      <c r="B3300" s="225" t="s">
        <v>5401</v>
      </c>
      <c r="C3300" s="226">
        <v>532497</v>
      </c>
      <c r="D3300" s="225" t="s">
        <v>5402</v>
      </c>
      <c r="E3300" s="225" t="s">
        <v>1229</v>
      </c>
    </row>
    <row r="3301" spans="2:5" ht="15.75" thickBot="1">
      <c r="B3301" s="225" t="s">
        <v>5403</v>
      </c>
      <c r="C3301" s="226">
        <v>531412</v>
      </c>
      <c r="D3301" s="225" t="s">
        <v>597</v>
      </c>
      <c r="E3301" s="225" t="s">
        <v>779</v>
      </c>
    </row>
    <row r="3302" spans="2:5" ht="15.75" thickBot="1">
      <c r="B3302" s="225" t="s">
        <v>5404</v>
      </c>
      <c r="C3302" s="226">
        <v>531412</v>
      </c>
      <c r="D3302" s="225" t="s">
        <v>597</v>
      </c>
      <c r="E3302" s="225" t="s">
        <v>779</v>
      </c>
    </row>
    <row r="3303" spans="2:5" ht="15.75" thickBot="1">
      <c r="B3303" s="225" t="s">
        <v>5405</v>
      </c>
      <c r="C3303" s="226">
        <v>539837</v>
      </c>
      <c r="D3303" s="225" t="s">
        <v>597</v>
      </c>
      <c r="E3303" s="225" t="s">
        <v>782</v>
      </c>
    </row>
    <row r="3304" spans="2:5" ht="15.75" thickBot="1">
      <c r="B3304" s="225" t="s">
        <v>5406</v>
      </c>
      <c r="C3304" s="226">
        <v>526813</v>
      </c>
      <c r="D3304" s="225" t="s">
        <v>597</v>
      </c>
      <c r="E3304" s="225" t="s">
        <v>2767</v>
      </c>
    </row>
    <row r="3305" spans="2:5" ht="15.75" thickBot="1">
      <c r="B3305" s="225" t="s">
        <v>5407</v>
      </c>
      <c r="C3305" s="226">
        <v>531552</v>
      </c>
      <c r="D3305" s="225" t="s">
        <v>597</v>
      </c>
      <c r="E3305" s="225" t="s">
        <v>683</v>
      </c>
    </row>
    <row r="3306" spans="2:5" ht="15.75" thickBot="1">
      <c r="B3306" s="225" t="s">
        <v>5408</v>
      </c>
      <c r="C3306" s="226">
        <v>538921</v>
      </c>
      <c r="D3306" s="225" t="s">
        <v>597</v>
      </c>
      <c r="E3306" s="225" t="s">
        <v>795</v>
      </c>
    </row>
    <row r="3307" spans="2:5" ht="15.75" thickBot="1">
      <c r="B3307" s="225" t="s">
        <v>5409</v>
      </c>
      <c r="C3307" s="226">
        <v>514316</v>
      </c>
      <c r="D3307" s="225" t="s">
        <v>597</v>
      </c>
      <c r="E3307" s="225" t="s">
        <v>612</v>
      </c>
    </row>
    <row r="3308" spans="2:5" ht="15.75" thickBot="1">
      <c r="B3308" s="225" t="s">
        <v>5410</v>
      </c>
      <c r="C3308" s="226">
        <v>531887</v>
      </c>
      <c r="D3308" s="225" t="s">
        <v>597</v>
      </c>
      <c r="E3308" s="225" t="s">
        <v>711</v>
      </c>
    </row>
    <row r="3309" spans="2:5" ht="15.75" thickBot="1">
      <c r="B3309" s="225" t="s">
        <v>5411</v>
      </c>
      <c r="C3309" s="226">
        <v>540270</v>
      </c>
      <c r="D3309" s="225" t="s">
        <v>597</v>
      </c>
      <c r="E3309" s="225" t="s">
        <v>619</v>
      </c>
    </row>
    <row r="3310" spans="2:5" ht="15.75" thickBot="1">
      <c r="B3310" s="225" t="s">
        <v>5412</v>
      </c>
      <c r="C3310" s="226">
        <v>542649</v>
      </c>
      <c r="D3310" s="225" t="s">
        <v>5413</v>
      </c>
      <c r="E3310" s="225" t="s">
        <v>5414</v>
      </c>
    </row>
    <row r="3311" spans="2:5" ht="15.75" thickBot="1">
      <c r="B3311" s="225" t="s">
        <v>5415</v>
      </c>
      <c r="C3311" s="226">
        <v>500339</v>
      </c>
      <c r="D3311" s="225" t="s">
        <v>5416</v>
      </c>
      <c r="E3311" s="225" t="s">
        <v>811</v>
      </c>
    </row>
    <row r="3312" spans="2:5" ht="15.75" thickBot="1">
      <c r="B3312" s="225" t="s">
        <v>5417</v>
      </c>
      <c r="C3312" s="226">
        <v>532441</v>
      </c>
      <c r="D3312" s="225" t="s">
        <v>597</v>
      </c>
      <c r="E3312" s="225" t="s">
        <v>612</v>
      </c>
    </row>
    <row r="3313" spans="2:5" ht="15.75" thickBot="1">
      <c r="B3313" s="225" t="s">
        <v>5418</v>
      </c>
      <c r="C3313" s="226">
        <v>531694</v>
      </c>
      <c r="D3313" s="225" t="s">
        <v>597</v>
      </c>
      <c r="E3313" s="225" t="s">
        <v>683</v>
      </c>
    </row>
    <row r="3314" spans="2:5" ht="15.75" thickBot="1">
      <c r="B3314" s="225" t="s">
        <v>5419</v>
      </c>
      <c r="C3314" s="226">
        <v>523523</v>
      </c>
      <c r="D3314" s="225" t="s">
        <v>5420</v>
      </c>
      <c r="E3314" s="225" t="s">
        <v>591</v>
      </c>
    </row>
    <row r="3315" spans="2:5" ht="15.75" thickBot="1">
      <c r="B3315" s="225" t="s">
        <v>5421</v>
      </c>
      <c r="C3315" s="226">
        <v>530111</v>
      </c>
      <c r="D3315" s="225" t="s">
        <v>597</v>
      </c>
      <c r="E3315" s="225" t="s">
        <v>792</v>
      </c>
    </row>
    <row r="3316" spans="2:5" ht="15.75" thickBot="1">
      <c r="B3316" s="225" t="s">
        <v>5422</v>
      </c>
      <c r="C3316" s="226">
        <v>530699</v>
      </c>
      <c r="D3316" s="225" t="s">
        <v>5423</v>
      </c>
      <c r="E3316" s="225" t="s">
        <v>612</v>
      </c>
    </row>
    <row r="3317" spans="2:5" ht="15.75" thickBot="1">
      <c r="B3317" s="225" t="s">
        <v>5424</v>
      </c>
      <c r="C3317" s="226">
        <v>532826</v>
      </c>
      <c r="D3317" s="225" t="s">
        <v>5425</v>
      </c>
      <c r="E3317" s="225" t="s">
        <v>1336</v>
      </c>
    </row>
    <row r="3318" spans="2:5" ht="15.75" thickBot="1">
      <c r="B3318" s="225" t="s">
        <v>5426</v>
      </c>
      <c r="C3318" s="226">
        <v>503127</v>
      </c>
      <c r="D3318" s="225" t="s">
        <v>597</v>
      </c>
      <c r="E3318" s="225" t="s">
        <v>586</v>
      </c>
    </row>
    <row r="3319" spans="2:5" ht="15.75" thickBot="1">
      <c r="B3319" s="225" t="s">
        <v>5427</v>
      </c>
      <c r="C3319" s="226">
        <v>532503</v>
      </c>
      <c r="D3319" s="225" t="s">
        <v>597</v>
      </c>
      <c r="E3319" s="225" t="s">
        <v>612</v>
      </c>
    </row>
    <row r="3320" spans="2:5" ht="15.75" thickBot="1">
      <c r="B3320" s="225" t="s">
        <v>5428</v>
      </c>
      <c r="C3320" s="226">
        <v>538707</v>
      </c>
      <c r="D3320" s="225" t="s">
        <v>597</v>
      </c>
      <c r="E3320" s="225" t="s">
        <v>792</v>
      </c>
    </row>
    <row r="3321" spans="2:5" ht="15.75" thickBot="1">
      <c r="B3321" s="225" t="s">
        <v>5429</v>
      </c>
      <c r="C3321" s="226">
        <v>526873</v>
      </c>
      <c r="D3321" s="225" t="s">
        <v>597</v>
      </c>
      <c r="E3321" s="225" t="s">
        <v>807</v>
      </c>
    </row>
    <row r="3322" spans="2:5" ht="15.75" thickBot="1">
      <c r="B3322" s="225" t="s">
        <v>5430</v>
      </c>
      <c r="C3322" s="226">
        <v>530253</v>
      </c>
      <c r="D3322" s="225" t="s">
        <v>597</v>
      </c>
      <c r="E3322" s="225" t="s">
        <v>920</v>
      </c>
    </row>
    <row r="3323" spans="2:5" ht="15.75" thickBot="1">
      <c r="B3323" s="225" t="s">
        <v>5431</v>
      </c>
      <c r="C3323" s="226">
        <v>507962</v>
      </c>
      <c r="D3323" s="225" t="s">
        <v>597</v>
      </c>
      <c r="E3323" s="225" t="s">
        <v>614</v>
      </c>
    </row>
    <row r="3324" spans="2:5" ht="15.75" thickBot="1">
      <c r="B3324" s="225" t="s">
        <v>5432</v>
      </c>
      <c r="C3324" s="226">
        <v>526662</v>
      </c>
      <c r="D3324" s="225" t="s">
        <v>5433</v>
      </c>
      <c r="E3324" s="225" t="s">
        <v>995</v>
      </c>
    </row>
    <row r="3325" spans="2:5" ht="15.75" thickBot="1">
      <c r="B3325" s="225" t="s">
        <v>5434</v>
      </c>
      <c r="C3325" s="226">
        <v>531500</v>
      </c>
      <c r="D3325" s="225" t="s">
        <v>5435</v>
      </c>
      <c r="E3325" s="225" t="s">
        <v>711</v>
      </c>
    </row>
    <row r="3326" spans="2:5" ht="15.75" thickBot="1">
      <c r="B3326" s="225" t="s">
        <v>5436</v>
      </c>
      <c r="C3326" s="226">
        <v>526823</v>
      </c>
      <c r="D3326" s="225" t="s">
        <v>597</v>
      </c>
      <c r="E3326" s="225" t="s">
        <v>683</v>
      </c>
    </row>
    <row r="3327" spans="2:5" ht="15.75" thickBot="1">
      <c r="B3327" s="225" t="s">
        <v>5437</v>
      </c>
      <c r="C3327" s="226">
        <v>514028</v>
      </c>
      <c r="D3327" s="225" t="s">
        <v>597</v>
      </c>
      <c r="E3327" s="225" t="s">
        <v>612</v>
      </c>
    </row>
    <row r="3328" spans="2:5" ht="15.75" thickBot="1">
      <c r="B3328" s="225" t="s">
        <v>5438</v>
      </c>
      <c r="C3328" s="226">
        <v>539495</v>
      </c>
      <c r="D3328" s="225" t="s">
        <v>597</v>
      </c>
      <c r="E3328" s="225" t="s">
        <v>614</v>
      </c>
    </row>
    <row r="3329" spans="2:5" ht="15.75" thickBot="1">
      <c r="B3329" s="225" t="s">
        <v>5439</v>
      </c>
      <c r="C3329" s="226">
        <v>513369</v>
      </c>
      <c r="D3329" s="225" t="s">
        <v>597</v>
      </c>
      <c r="E3329" s="225" t="s">
        <v>1517</v>
      </c>
    </row>
    <row r="3330" spans="2:5" ht="15.75" thickBot="1">
      <c r="B3330" s="225" t="s">
        <v>5440</v>
      </c>
      <c r="C3330" s="225" t="s">
        <v>597</v>
      </c>
      <c r="D3330" s="225" t="s">
        <v>5441</v>
      </c>
      <c r="E3330" s="225" t="s">
        <v>608</v>
      </c>
    </row>
    <row r="3331" spans="2:5" ht="15.75" thickBot="1">
      <c r="B3331" s="225" t="s">
        <v>5442</v>
      </c>
      <c r="C3331" s="226">
        <v>541601</v>
      </c>
      <c r="D3331" s="225" t="s">
        <v>597</v>
      </c>
      <c r="E3331" s="225" t="s">
        <v>635</v>
      </c>
    </row>
    <row r="3332" spans="2:5" ht="15.75" thickBot="1">
      <c r="B3332" s="225" t="s">
        <v>5443</v>
      </c>
      <c r="C3332" s="226">
        <v>522257</v>
      </c>
      <c r="D3332" s="225" t="s">
        <v>597</v>
      </c>
      <c r="E3332" s="225" t="s">
        <v>605</v>
      </c>
    </row>
    <row r="3333" spans="2:5" ht="15.75" thickBot="1">
      <c r="B3333" s="225" t="s">
        <v>5444</v>
      </c>
      <c r="C3333" s="226">
        <v>517522</v>
      </c>
      <c r="D3333" s="225" t="s">
        <v>597</v>
      </c>
      <c r="E3333" s="225" t="s">
        <v>952</v>
      </c>
    </row>
    <row r="3334" spans="2:5" ht="15.75" thickBot="1">
      <c r="B3334" s="225" t="s">
        <v>5445</v>
      </c>
      <c r="C3334" s="226">
        <v>512409</v>
      </c>
      <c r="D3334" s="225" t="s">
        <v>597</v>
      </c>
      <c r="E3334" s="225" t="s">
        <v>614</v>
      </c>
    </row>
    <row r="3335" spans="2:5" ht="15.75" thickBot="1">
      <c r="B3335" s="225" t="s">
        <v>5446</v>
      </c>
      <c r="C3335" s="225" t="s">
        <v>597</v>
      </c>
      <c r="D3335" s="225" t="s">
        <v>5447</v>
      </c>
      <c r="E3335" s="225" t="s">
        <v>608</v>
      </c>
    </row>
    <row r="3336" spans="2:5" ht="15.75" thickBot="1">
      <c r="B3336" s="225" t="s">
        <v>5448</v>
      </c>
      <c r="C3336" s="226">
        <v>500354</v>
      </c>
      <c r="D3336" s="225" t="s">
        <v>5449</v>
      </c>
      <c r="E3336" s="225" t="s">
        <v>1296</v>
      </c>
    </row>
    <row r="3337" spans="2:5" ht="15.75" thickBot="1">
      <c r="B3337" s="225" t="s">
        <v>5450</v>
      </c>
      <c r="C3337" s="226">
        <v>532665</v>
      </c>
      <c r="D3337" s="225" t="s">
        <v>5451</v>
      </c>
      <c r="E3337" s="225" t="s">
        <v>612</v>
      </c>
    </row>
    <row r="3338" spans="2:5" ht="15.75" thickBot="1">
      <c r="B3338" s="225" t="s">
        <v>5452</v>
      </c>
      <c r="C3338" s="226">
        <v>500355</v>
      </c>
      <c r="D3338" s="225" t="s">
        <v>5453</v>
      </c>
      <c r="E3338" s="225" t="s">
        <v>741</v>
      </c>
    </row>
    <row r="3339" spans="2:5" ht="15.75" thickBot="1">
      <c r="B3339" s="225" t="s">
        <v>5454</v>
      </c>
      <c r="C3339" s="226">
        <v>500355</v>
      </c>
      <c r="D3339" s="225" t="s">
        <v>5453</v>
      </c>
      <c r="E3339" s="225" t="s">
        <v>741</v>
      </c>
    </row>
    <row r="3340" spans="2:5" ht="15.75" thickBot="1">
      <c r="B3340" s="225" t="s">
        <v>5455</v>
      </c>
      <c r="C3340" s="226">
        <v>534734</v>
      </c>
      <c r="D3340" s="225" t="s">
        <v>597</v>
      </c>
      <c r="E3340" s="225" t="s">
        <v>757</v>
      </c>
    </row>
    <row r="3341" spans="2:5" ht="15.75" thickBot="1">
      <c r="B3341" s="225" t="s">
        <v>5456</v>
      </c>
      <c r="C3341" s="226">
        <v>522281</v>
      </c>
      <c r="D3341" s="225" t="s">
        <v>597</v>
      </c>
      <c r="E3341" s="225" t="s">
        <v>895</v>
      </c>
    </row>
    <row r="3342" spans="2:5" ht="15.75" thickBot="1">
      <c r="B3342" s="225" t="s">
        <v>5457</v>
      </c>
      <c r="C3342" s="226">
        <v>500357</v>
      </c>
      <c r="D3342" s="225" t="s">
        <v>597</v>
      </c>
      <c r="E3342" s="225" t="s">
        <v>591</v>
      </c>
    </row>
    <row r="3343" spans="2:5" ht="15.75" thickBot="1">
      <c r="B3343" s="225" t="s">
        <v>5458</v>
      </c>
      <c r="C3343" s="226">
        <v>500358</v>
      </c>
      <c r="D3343" s="225" t="s">
        <v>597</v>
      </c>
      <c r="E3343" s="225" t="s">
        <v>614</v>
      </c>
    </row>
    <row r="3344" spans="2:5" ht="15.75" thickBot="1">
      <c r="B3344" s="225" t="s">
        <v>5459</v>
      </c>
      <c r="C3344" s="226">
        <v>524037</v>
      </c>
      <c r="D3344" s="225" t="s">
        <v>597</v>
      </c>
      <c r="E3344" s="225" t="s">
        <v>1105</v>
      </c>
    </row>
    <row r="3345" spans="2:5" ht="15.75" thickBot="1">
      <c r="B3345" s="225" t="s">
        <v>5460</v>
      </c>
      <c r="C3345" s="226">
        <v>502587</v>
      </c>
      <c r="D3345" s="225" t="s">
        <v>597</v>
      </c>
      <c r="E3345" s="225" t="s">
        <v>591</v>
      </c>
    </row>
    <row r="3346" spans="2:5" ht="15.75" thickBot="1">
      <c r="B3346" s="225" t="s">
        <v>5461</v>
      </c>
      <c r="C3346" s="226">
        <v>539309</v>
      </c>
      <c r="D3346" s="225" t="s">
        <v>5462</v>
      </c>
      <c r="E3346" s="225" t="s">
        <v>920</v>
      </c>
    </row>
    <row r="3347" spans="2:5" ht="15.75" thickBot="1">
      <c r="B3347" s="225" t="s">
        <v>5463</v>
      </c>
      <c r="C3347" s="226">
        <v>523289</v>
      </c>
      <c r="D3347" s="225" t="s">
        <v>597</v>
      </c>
      <c r="E3347" s="225" t="s">
        <v>619</v>
      </c>
    </row>
    <row r="3348" spans="2:5" ht="15.75" thickBot="1">
      <c r="B3348" s="225" t="s">
        <v>5464</v>
      </c>
      <c r="C3348" s="226">
        <v>515127</v>
      </c>
      <c r="D3348" s="225" t="s">
        <v>597</v>
      </c>
      <c r="E3348" s="225" t="s">
        <v>619</v>
      </c>
    </row>
    <row r="3349" spans="2:5" ht="15.75" thickBot="1">
      <c r="B3349" s="225" t="s">
        <v>5465</v>
      </c>
      <c r="C3349" s="226">
        <v>538540</v>
      </c>
      <c r="D3349" s="225" t="s">
        <v>597</v>
      </c>
      <c r="E3349" s="225" t="s">
        <v>614</v>
      </c>
    </row>
    <row r="3350" spans="2:5" ht="15.75" thickBot="1">
      <c r="B3350" s="225" t="s">
        <v>5466</v>
      </c>
      <c r="C3350" s="226">
        <v>532369</v>
      </c>
      <c r="D3350" s="225" t="s">
        <v>5467</v>
      </c>
      <c r="E3350" s="225" t="s">
        <v>1125</v>
      </c>
    </row>
    <row r="3351" spans="2:5" ht="15.75" thickBot="1">
      <c r="B3351" s="225" t="s">
        <v>5468</v>
      </c>
      <c r="C3351" s="226">
        <v>532370</v>
      </c>
      <c r="D3351" s="225" t="s">
        <v>5469</v>
      </c>
      <c r="E3351" s="225" t="s">
        <v>583</v>
      </c>
    </row>
    <row r="3352" spans="2:5" ht="15.75" thickBot="1">
      <c r="B3352" s="225" t="s">
        <v>5470</v>
      </c>
      <c r="C3352" s="226">
        <v>514223</v>
      </c>
      <c r="D3352" s="225" t="s">
        <v>5471</v>
      </c>
      <c r="E3352" s="225" t="s">
        <v>619</v>
      </c>
    </row>
    <row r="3353" spans="2:5" ht="15.75" thickBot="1">
      <c r="B3353" s="225" t="s">
        <v>5472</v>
      </c>
      <c r="C3353" s="226">
        <v>530951</v>
      </c>
      <c r="D3353" s="225" t="s">
        <v>597</v>
      </c>
      <c r="E3353" s="225" t="s">
        <v>690</v>
      </c>
    </row>
    <row r="3354" spans="2:5" ht="15.75" thickBot="1">
      <c r="B3354" s="225" t="s">
        <v>5473</v>
      </c>
      <c r="C3354" s="226">
        <v>532527</v>
      </c>
      <c r="D3354" s="225" t="s">
        <v>5474</v>
      </c>
      <c r="E3354" s="225" t="s">
        <v>1517</v>
      </c>
    </row>
    <row r="3355" spans="2:5" ht="15.75" thickBot="1">
      <c r="B3355" s="225" t="s">
        <v>5475</v>
      </c>
      <c r="C3355" s="226">
        <v>533262</v>
      </c>
      <c r="D3355" s="225" t="s">
        <v>5476</v>
      </c>
      <c r="E3355" s="225" t="s">
        <v>995</v>
      </c>
    </row>
    <row r="3356" spans="2:5" ht="15.75" thickBot="1">
      <c r="B3356" s="225" t="s">
        <v>5477</v>
      </c>
      <c r="C3356" s="226">
        <v>532690</v>
      </c>
      <c r="D3356" s="225" t="s">
        <v>5478</v>
      </c>
      <c r="E3356" s="225" t="s">
        <v>629</v>
      </c>
    </row>
    <row r="3357" spans="2:5" ht="15.75" thickBot="1">
      <c r="B3357" s="225" t="s">
        <v>5479</v>
      </c>
      <c r="C3357" s="226">
        <v>530925</v>
      </c>
      <c r="D3357" s="225" t="s">
        <v>597</v>
      </c>
      <c r="E3357" s="225" t="s">
        <v>614</v>
      </c>
    </row>
    <row r="3358" spans="2:5" ht="15.75" thickBot="1">
      <c r="B3358" s="225" t="s">
        <v>5480</v>
      </c>
      <c r="C3358" s="226">
        <v>507490</v>
      </c>
      <c r="D3358" s="225" t="s">
        <v>5481</v>
      </c>
      <c r="E3358" s="225" t="s">
        <v>1296</v>
      </c>
    </row>
    <row r="3359" spans="2:5" ht="15.75" thickBot="1">
      <c r="B3359" s="225" t="s">
        <v>5482</v>
      </c>
      <c r="C3359" s="226">
        <v>531228</v>
      </c>
      <c r="D3359" s="225" t="s">
        <v>597</v>
      </c>
      <c r="E3359" s="225" t="s">
        <v>614</v>
      </c>
    </row>
    <row r="3360" spans="2:5" ht="15.75" thickBot="1">
      <c r="B3360" s="225" t="s">
        <v>5483</v>
      </c>
      <c r="C3360" s="226">
        <v>532987</v>
      </c>
      <c r="D3360" s="225" t="s">
        <v>5484</v>
      </c>
      <c r="E3360" s="225" t="s">
        <v>952</v>
      </c>
    </row>
    <row r="3361" spans="2:5" ht="15.75" thickBot="1">
      <c r="B3361" s="225" t="s">
        <v>5485</v>
      </c>
      <c r="C3361" s="226">
        <v>532988</v>
      </c>
      <c r="D3361" s="225" t="s">
        <v>5486</v>
      </c>
      <c r="E3361" s="225" t="s">
        <v>952</v>
      </c>
    </row>
    <row r="3362" spans="2:5" ht="15.75" thickBot="1">
      <c r="B3362" s="225" t="s">
        <v>5487</v>
      </c>
      <c r="C3362" s="226">
        <v>505800</v>
      </c>
      <c r="D3362" s="225" t="s">
        <v>5488</v>
      </c>
      <c r="E3362" s="225" t="s">
        <v>952</v>
      </c>
    </row>
    <row r="3363" spans="2:5" ht="15.75" thickBot="1">
      <c r="B3363" s="225" t="s">
        <v>5489</v>
      </c>
      <c r="C3363" s="226">
        <v>532661</v>
      </c>
      <c r="D3363" s="225" t="s">
        <v>5490</v>
      </c>
      <c r="E3363" s="225" t="s">
        <v>952</v>
      </c>
    </row>
    <row r="3364" spans="2:5" ht="15.75" thickBot="1">
      <c r="B3364" s="225" t="s">
        <v>5491</v>
      </c>
      <c r="C3364" s="226">
        <v>541945</v>
      </c>
      <c r="D3364" s="225" t="s">
        <v>597</v>
      </c>
      <c r="E3364" s="225" t="s">
        <v>995</v>
      </c>
    </row>
    <row r="3365" spans="2:5" ht="15.75" thickBot="1">
      <c r="B3365" s="225" t="s">
        <v>5492</v>
      </c>
      <c r="C3365" s="226">
        <v>531583</v>
      </c>
      <c r="D3365" s="225" t="s">
        <v>597</v>
      </c>
      <c r="E3365" s="225" t="s">
        <v>614</v>
      </c>
    </row>
    <row r="3366" spans="2:5" ht="15.75" thickBot="1">
      <c r="B3366" s="225" t="s">
        <v>5493</v>
      </c>
      <c r="C3366" s="226">
        <v>500360</v>
      </c>
      <c r="D3366" s="225" t="s">
        <v>597</v>
      </c>
      <c r="E3366" s="225" t="s">
        <v>605</v>
      </c>
    </row>
    <row r="3367" spans="2:5" ht="15.75" thickBot="1">
      <c r="B3367" s="225" t="s">
        <v>5494</v>
      </c>
      <c r="C3367" s="226">
        <v>501351</v>
      </c>
      <c r="D3367" s="225" t="s">
        <v>597</v>
      </c>
      <c r="E3367" s="225" t="s">
        <v>1018</v>
      </c>
    </row>
    <row r="3368" spans="2:5" ht="15.75" thickBot="1">
      <c r="B3368" s="225" t="s">
        <v>5495</v>
      </c>
      <c r="C3368" s="226">
        <v>507966</v>
      </c>
      <c r="D3368" s="225" t="s">
        <v>597</v>
      </c>
      <c r="E3368" s="225" t="s">
        <v>798</v>
      </c>
    </row>
    <row r="3369" spans="2:5" ht="15.75" thickBot="1">
      <c r="B3369" s="225" t="s">
        <v>5496</v>
      </c>
      <c r="C3369" s="226">
        <v>522207</v>
      </c>
      <c r="D3369" s="225" t="s">
        <v>597</v>
      </c>
      <c r="E3369" s="225" t="s">
        <v>952</v>
      </c>
    </row>
    <row r="3370" spans="2:5" ht="15.75" thickBot="1">
      <c r="B3370" s="225" t="s">
        <v>5497</v>
      </c>
      <c r="C3370" s="226">
        <v>522207</v>
      </c>
      <c r="D3370" s="225" t="s">
        <v>597</v>
      </c>
      <c r="E3370" s="225" t="s">
        <v>952</v>
      </c>
    </row>
    <row r="3371" spans="2:5" ht="15.75" thickBot="1">
      <c r="B3371" s="225" t="s">
        <v>5498</v>
      </c>
      <c r="C3371" s="226">
        <v>524230</v>
      </c>
      <c r="D3371" s="225" t="s">
        <v>5499</v>
      </c>
      <c r="E3371" s="225" t="s">
        <v>1105</v>
      </c>
    </row>
    <row r="3372" spans="2:5" ht="15.75" thickBot="1">
      <c r="B3372" s="225" t="s">
        <v>5500</v>
      </c>
      <c r="C3372" s="226">
        <v>531233</v>
      </c>
      <c r="D3372" s="225" t="s">
        <v>597</v>
      </c>
      <c r="E3372" s="225" t="s">
        <v>782</v>
      </c>
    </row>
    <row r="3373" spans="2:5" ht="15.75" thickBot="1">
      <c r="B3373" s="225" t="s">
        <v>5501</v>
      </c>
      <c r="C3373" s="226">
        <v>507649</v>
      </c>
      <c r="D3373" s="225" t="s">
        <v>597</v>
      </c>
      <c r="E3373" s="225" t="s">
        <v>846</v>
      </c>
    </row>
    <row r="3374" spans="2:5" ht="15.75" thickBot="1">
      <c r="B3374" s="225" t="s">
        <v>5502</v>
      </c>
      <c r="C3374" s="226">
        <v>532918</v>
      </c>
      <c r="D3374" s="225" t="s">
        <v>597</v>
      </c>
      <c r="E3374" s="225" t="s">
        <v>920</v>
      </c>
    </row>
    <row r="3375" spans="2:5" ht="15.75" thickBot="1">
      <c r="B3375" s="225" t="s">
        <v>5503</v>
      </c>
      <c r="C3375" s="226">
        <v>524610</v>
      </c>
      <c r="D3375" s="225" t="s">
        <v>597</v>
      </c>
      <c r="E3375" s="225" t="s">
        <v>757</v>
      </c>
    </row>
    <row r="3376" spans="2:5" ht="15.75" thickBot="1">
      <c r="B3376" s="225" t="s">
        <v>5504</v>
      </c>
      <c r="C3376" s="226">
        <v>540796</v>
      </c>
      <c r="D3376" s="225" t="s">
        <v>597</v>
      </c>
      <c r="E3376" s="225" t="s">
        <v>683</v>
      </c>
    </row>
    <row r="3377" spans="2:5" ht="15.75" thickBot="1">
      <c r="B3377" s="225" t="s">
        <v>5505</v>
      </c>
      <c r="C3377" s="226">
        <v>520111</v>
      </c>
      <c r="D3377" s="225" t="s">
        <v>5506</v>
      </c>
      <c r="E3377" s="225" t="s">
        <v>995</v>
      </c>
    </row>
    <row r="3378" spans="2:5" ht="15.75" thickBot="1">
      <c r="B3378" s="225" t="s">
        <v>5507</v>
      </c>
      <c r="C3378" s="226">
        <v>534597</v>
      </c>
      <c r="D3378" s="225" t="s">
        <v>5508</v>
      </c>
      <c r="E3378" s="225" t="s">
        <v>736</v>
      </c>
    </row>
    <row r="3379" spans="2:5" ht="15.75" thickBot="1">
      <c r="B3379" s="225" t="s">
        <v>5509</v>
      </c>
      <c r="C3379" s="226">
        <v>533122</v>
      </c>
      <c r="D3379" s="225" t="s">
        <v>5510</v>
      </c>
      <c r="E3379" s="225" t="s">
        <v>736</v>
      </c>
    </row>
    <row r="3380" spans="2:5" ht="15.75" thickBot="1">
      <c r="B3380" s="225" t="s">
        <v>5511</v>
      </c>
      <c r="C3380" s="226">
        <v>537840</v>
      </c>
      <c r="D3380" s="225" t="s">
        <v>597</v>
      </c>
      <c r="E3380" s="225" t="s">
        <v>995</v>
      </c>
    </row>
    <row r="3381" spans="2:5" ht="15.75" thickBot="1">
      <c r="B3381" s="225" t="s">
        <v>5512</v>
      </c>
      <c r="C3381" s="226">
        <v>507300</v>
      </c>
      <c r="D3381" s="225" t="s">
        <v>597</v>
      </c>
      <c r="E3381" s="225" t="s">
        <v>1296</v>
      </c>
    </row>
    <row r="3382" spans="2:5" ht="15.75" thickBot="1">
      <c r="B3382" s="225" t="s">
        <v>5513</v>
      </c>
      <c r="C3382" s="226">
        <v>533294</v>
      </c>
      <c r="D3382" s="225" t="s">
        <v>5514</v>
      </c>
      <c r="E3382" s="225" t="s">
        <v>1229</v>
      </c>
    </row>
    <row r="3383" spans="2:5" ht="15.75" thickBot="1">
      <c r="B3383" s="225" t="s">
        <v>5515</v>
      </c>
      <c r="C3383" s="226">
        <v>526095</v>
      </c>
      <c r="D3383" s="225" t="s">
        <v>597</v>
      </c>
      <c r="E3383" s="225" t="s">
        <v>1125</v>
      </c>
    </row>
    <row r="3384" spans="2:5" ht="15.75" thickBot="1">
      <c r="B3384" s="225" t="s">
        <v>5516</v>
      </c>
      <c r="C3384" s="226">
        <v>504341</v>
      </c>
      <c r="D3384" s="225" t="s">
        <v>597</v>
      </c>
      <c r="E3384" s="225" t="s">
        <v>580</v>
      </c>
    </row>
    <row r="3385" spans="2:5" ht="15.75" thickBot="1">
      <c r="B3385" s="225" t="s">
        <v>5517</v>
      </c>
      <c r="C3385" s="226">
        <v>541634</v>
      </c>
      <c r="D3385" s="225" t="s">
        <v>597</v>
      </c>
      <c r="E3385" s="225" t="s">
        <v>1125</v>
      </c>
    </row>
    <row r="3386" spans="2:5" ht="15.75" thickBot="1">
      <c r="B3386" s="225" t="s">
        <v>5518</v>
      </c>
      <c r="C3386" s="226">
        <v>531207</v>
      </c>
      <c r="D3386" s="225" t="s">
        <v>597</v>
      </c>
      <c r="E3386" s="225" t="s">
        <v>635</v>
      </c>
    </row>
    <row r="3387" spans="2:5" ht="15.75" thickBot="1">
      <c r="B3387" s="225" t="s">
        <v>5519</v>
      </c>
      <c r="C3387" s="226">
        <v>500330</v>
      </c>
      <c r="D3387" s="225" t="s">
        <v>5520</v>
      </c>
      <c r="E3387" s="225" t="s">
        <v>612</v>
      </c>
    </row>
    <row r="3388" spans="2:5" ht="15.75" thickBot="1">
      <c r="B3388" s="225" t="s">
        <v>5521</v>
      </c>
      <c r="C3388" s="226">
        <v>540065</v>
      </c>
      <c r="D3388" s="225" t="s">
        <v>5522</v>
      </c>
      <c r="E3388" s="225" t="s">
        <v>915</v>
      </c>
    </row>
    <row r="3389" spans="2:5" ht="15.75" thickBot="1">
      <c r="B3389" s="225" t="s">
        <v>5523</v>
      </c>
      <c r="C3389" s="226">
        <v>531825</v>
      </c>
      <c r="D3389" s="225" t="s">
        <v>597</v>
      </c>
      <c r="E3389" s="225" t="s">
        <v>583</v>
      </c>
    </row>
    <row r="3390" spans="2:5" ht="15.75" thickBot="1">
      <c r="B3390" s="225" t="s">
        <v>5524</v>
      </c>
      <c r="C3390" s="226">
        <v>537254</v>
      </c>
      <c r="D3390" s="225" t="s">
        <v>597</v>
      </c>
      <c r="E3390" s="225" t="s">
        <v>619</v>
      </c>
    </row>
    <row r="3391" spans="2:5" ht="15.75" thickBot="1">
      <c r="B3391" s="225" t="s">
        <v>5525</v>
      </c>
      <c r="C3391" s="226">
        <v>534708</v>
      </c>
      <c r="D3391" s="225" t="s">
        <v>597</v>
      </c>
      <c r="E3391" s="225" t="s">
        <v>766</v>
      </c>
    </row>
    <row r="3392" spans="2:5" ht="15.75" thickBot="1">
      <c r="B3392" s="225" t="s">
        <v>5526</v>
      </c>
      <c r="C3392" s="226">
        <v>533608</v>
      </c>
      <c r="D3392" s="225" t="s">
        <v>597</v>
      </c>
      <c r="E3392" s="225" t="s">
        <v>717</v>
      </c>
    </row>
    <row r="3393" spans="2:5" ht="15.75" thickBot="1">
      <c r="B3393" s="225" t="s">
        <v>5527</v>
      </c>
      <c r="C3393" s="226">
        <v>533285</v>
      </c>
      <c r="D3393" s="225" t="s">
        <v>597</v>
      </c>
      <c r="E3393" s="225" t="s">
        <v>683</v>
      </c>
    </row>
    <row r="3394" spans="2:5" ht="15.75" thickBot="1">
      <c r="B3394" s="225" t="s">
        <v>5528</v>
      </c>
      <c r="C3394" s="226">
        <v>539691</v>
      </c>
      <c r="D3394" s="225" t="s">
        <v>597</v>
      </c>
      <c r="E3394" s="225" t="s">
        <v>619</v>
      </c>
    </row>
    <row r="3395" spans="2:5" ht="15.75" thickBot="1">
      <c r="B3395" s="225" t="s">
        <v>5529</v>
      </c>
      <c r="C3395" s="226">
        <v>530053</v>
      </c>
      <c r="D3395" s="225" t="s">
        <v>597</v>
      </c>
      <c r="E3395" s="225" t="s">
        <v>683</v>
      </c>
    </row>
    <row r="3396" spans="2:5" ht="15.75" thickBot="1">
      <c r="B3396" s="225" t="s">
        <v>5530</v>
      </c>
      <c r="C3396" s="226">
        <v>513558</v>
      </c>
      <c r="D3396" s="225" t="s">
        <v>597</v>
      </c>
      <c r="E3396" s="225" t="s">
        <v>629</v>
      </c>
    </row>
    <row r="3397" spans="2:5" ht="15.75" thickBot="1">
      <c r="B3397" s="225" t="s">
        <v>5531</v>
      </c>
      <c r="C3397" s="226">
        <v>538611</v>
      </c>
      <c r="D3397" s="225" t="s">
        <v>597</v>
      </c>
      <c r="E3397" s="225" t="s">
        <v>580</v>
      </c>
    </row>
    <row r="3398" spans="2:5" ht="15.75" thickBot="1">
      <c r="B3398" s="225" t="s">
        <v>5532</v>
      </c>
      <c r="C3398" s="226">
        <v>532955</v>
      </c>
      <c r="D3398" s="225" t="s">
        <v>5533</v>
      </c>
      <c r="E3398" s="225" t="s">
        <v>614</v>
      </c>
    </row>
    <row r="3399" spans="2:5" ht="15.75" thickBot="1">
      <c r="B3399" s="225" t="s">
        <v>5534</v>
      </c>
      <c r="C3399" s="226">
        <v>523650</v>
      </c>
      <c r="D3399" s="225" t="s">
        <v>597</v>
      </c>
      <c r="E3399" s="225" t="s">
        <v>605</v>
      </c>
    </row>
    <row r="3400" spans="2:5" ht="15.75" thickBot="1">
      <c r="B3400" s="225" t="s">
        <v>5535</v>
      </c>
      <c r="C3400" s="226">
        <v>532805</v>
      </c>
      <c r="D3400" s="225" t="s">
        <v>5536</v>
      </c>
      <c r="E3400" s="225" t="s">
        <v>619</v>
      </c>
    </row>
    <row r="3401" spans="2:5" ht="15.75" thickBot="1">
      <c r="B3401" s="225" t="s">
        <v>5537</v>
      </c>
      <c r="C3401" s="226">
        <v>532805</v>
      </c>
      <c r="D3401" s="225" t="s">
        <v>5536</v>
      </c>
      <c r="E3401" s="225" t="s">
        <v>619</v>
      </c>
    </row>
    <row r="3402" spans="2:5" ht="15.75" thickBot="1">
      <c r="B3402" s="225" t="s">
        <v>5538</v>
      </c>
      <c r="C3402" s="226">
        <v>532884</v>
      </c>
      <c r="D3402" s="225" t="s">
        <v>5539</v>
      </c>
      <c r="E3402" s="225" t="s">
        <v>1633</v>
      </c>
    </row>
    <row r="3403" spans="2:5" ht="15.75" thickBot="1">
      <c r="B3403" s="225" t="s">
        <v>5540</v>
      </c>
      <c r="C3403" s="226">
        <v>530815</v>
      </c>
      <c r="D3403" s="225" t="s">
        <v>597</v>
      </c>
      <c r="E3403" s="225" t="s">
        <v>645</v>
      </c>
    </row>
    <row r="3404" spans="2:5" ht="15.75" thickBot="1">
      <c r="B3404" s="225" t="s">
        <v>5541</v>
      </c>
      <c r="C3404" s="226">
        <v>531033</v>
      </c>
      <c r="D3404" s="225" t="s">
        <v>597</v>
      </c>
      <c r="E3404" s="225" t="s">
        <v>614</v>
      </c>
    </row>
    <row r="3405" spans="2:5" ht="15.75" thickBot="1">
      <c r="B3405" s="225" t="s">
        <v>5542</v>
      </c>
      <c r="C3405" s="226">
        <v>530807</v>
      </c>
      <c r="D3405" s="225" t="s">
        <v>597</v>
      </c>
      <c r="E3405" s="225" t="s">
        <v>683</v>
      </c>
    </row>
    <row r="3406" spans="2:5" ht="15.75" thickBot="1">
      <c r="B3406" s="225" t="s">
        <v>5543</v>
      </c>
      <c r="C3406" s="226">
        <v>515018</v>
      </c>
      <c r="D3406" s="225" t="s">
        <v>5544</v>
      </c>
      <c r="E3406" s="225" t="s">
        <v>874</v>
      </c>
    </row>
    <row r="3407" spans="2:5" ht="15.75" thickBot="1">
      <c r="B3407" s="225" t="s">
        <v>5545</v>
      </c>
      <c r="C3407" s="226">
        <v>540175</v>
      </c>
      <c r="D3407" s="225" t="s">
        <v>597</v>
      </c>
      <c r="E3407" s="225" t="s">
        <v>580</v>
      </c>
    </row>
    <row r="3408" spans="2:5" ht="15.75" thickBot="1">
      <c r="B3408" s="225" t="s">
        <v>5546</v>
      </c>
      <c r="C3408" s="226">
        <v>511585</v>
      </c>
      <c r="D3408" s="225" t="s">
        <v>597</v>
      </c>
      <c r="E3408" s="225" t="s">
        <v>614</v>
      </c>
    </row>
    <row r="3409" spans="2:5" ht="15.75" thickBot="1">
      <c r="B3409" s="225" t="s">
        <v>5547</v>
      </c>
      <c r="C3409" s="226">
        <v>512624</v>
      </c>
      <c r="D3409" s="225" t="s">
        <v>597</v>
      </c>
      <c r="E3409" s="225" t="s">
        <v>619</v>
      </c>
    </row>
    <row r="3410" spans="2:5" ht="15.75" thickBot="1">
      <c r="B3410" s="225" t="s">
        <v>5548</v>
      </c>
      <c r="C3410" s="226">
        <v>505817</v>
      </c>
      <c r="D3410" s="225" t="s">
        <v>597</v>
      </c>
      <c r="E3410" s="225" t="s">
        <v>952</v>
      </c>
    </row>
    <row r="3411" spans="2:5" ht="15.75" thickBot="1">
      <c r="B3411" s="225" t="s">
        <v>5549</v>
      </c>
      <c r="C3411" s="226">
        <v>505817</v>
      </c>
      <c r="D3411" s="225" t="s">
        <v>597</v>
      </c>
      <c r="E3411" s="225" t="s">
        <v>952</v>
      </c>
    </row>
    <row r="3412" spans="2:5" ht="15.75" thickBot="1">
      <c r="B3412" s="225" t="s">
        <v>5550</v>
      </c>
      <c r="C3412" s="226">
        <v>526075</v>
      </c>
      <c r="D3412" s="225" t="s">
        <v>597</v>
      </c>
      <c r="E3412" s="225" t="s">
        <v>635</v>
      </c>
    </row>
    <row r="3413" spans="2:5" ht="15.75" thickBot="1">
      <c r="B3413" s="225" t="s">
        <v>5551</v>
      </c>
      <c r="C3413" s="226">
        <v>530517</v>
      </c>
      <c r="D3413" s="225" t="s">
        <v>5552</v>
      </c>
      <c r="E3413" s="225" t="s">
        <v>1023</v>
      </c>
    </row>
    <row r="3414" spans="2:5" ht="15.75" thickBot="1">
      <c r="B3414" s="225" t="s">
        <v>5553</v>
      </c>
      <c r="C3414" s="225" t="s">
        <v>597</v>
      </c>
      <c r="D3414" s="225" t="s">
        <v>5554</v>
      </c>
      <c r="E3414" s="225" t="s">
        <v>608</v>
      </c>
    </row>
    <row r="3415" spans="2:5" ht="15.75" thickBot="1">
      <c r="B3415" s="225" t="s">
        <v>5555</v>
      </c>
      <c r="C3415" s="226">
        <v>532124</v>
      </c>
      <c r="D3415" s="225" t="s">
        <v>597</v>
      </c>
      <c r="E3415" s="225" t="s">
        <v>798</v>
      </c>
    </row>
    <row r="3416" spans="2:5" ht="15.75" thickBot="1">
      <c r="B3416" s="225" t="s">
        <v>5556</v>
      </c>
      <c r="C3416" s="226">
        <v>532124</v>
      </c>
      <c r="D3416" s="225" t="s">
        <v>597</v>
      </c>
      <c r="E3416" s="225" t="s">
        <v>798</v>
      </c>
    </row>
    <row r="3417" spans="2:5" ht="15.75" thickBot="1">
      <c r="B3417" s="225" t="s">
        <v>5557</v>
      </c>
      <c r="C3417" s="226">
        <v>500111</v>
      </c>
      <c r="D3417" s="225" t="s">
        <v>5558</v>
      </c>
      <c r="E3417" s="225" t="s">
        <v>614</v>
      </c>
    </row>
    <row r="3418" spans="2:5" ht="15.75" thickBot="1">
      <c r="B3418" s="225" t="s">
        <v>5559</v>
      </c>
      <c r="C3418" s="226">
        <v>503162</v>
      </c>
      <c r="D3418" s="225" t="s">
        <v>597</v>
      </c>
      <c r="E3418" s="225" t="s">
        <v>612</v>
      </c>
    </row>
    <row r="3419" spans="2:5" ht="15.75" thickBot="1">
      <c r="B3419" s="225" t="s">
        <v>5560</v>
      </c>
      <c r="C3419" s="226">
        <v>532712</v>
      </c>
      <c r="D3419" s="225" t="s">
        <v>5561</v>
      </c>
      <c r="E3419" s="225" t="s">
        <v>1541</v>
      </c>
    </row>
    <row r="3420" spans="2:5" ht="15.75" thickBot="1">
      <c r="B3420" s="225" t="s">
        <v>5562</v>
      </c>
      <c r="C3420" s="226">
        <v>590106</v>
      </c>
      <c r="D3420" s="225" t="s">
        <v>5563</v>
      </c>
      <c r="E3420" s="225" t="s">
        <v>580</v>
      </c>
    </row>
    <row r="3421" spans="2:5" ht="15.75" thickBot="1">
      <c r="B3421" s="225" t="s">
        <v>5564</v>
      </c>
      <c r="C3421" s="226">
        <v>590095</v>
      </c>
      <c r="D3421" s="225" t="s">
        <v>5565</v>
      </c>
      <c r="E3421" s="225" t="s">
        <v>580</v>
      </c>
    </row>
    <row r="3422" spans="2:5" ht="15.75" thickBot="1">
      <c r="B3422" s="225" t="s">
        <v>5566</v>
      </c>
      <c r="C3422" s="226">
        <v>590113</v>
      </c>
      <c r="D3422" s="225" t="s">
        <v>5567</v>
      </c>
      <c r="E3422" s="225" t="s">
        <v>580</v>
      </c>
    </row>
    <row r="3423" spans="2:5" ht="15.75" thickBot="1">
      <c r="B3423" s="225" t="s">
        <v>5568</v>
      </c>
      <c r="C3423" s="226">
        <v>590104</v>
      </c>
      <c r="D3423" s="225" t="s">
        <v>5569</v>
      </c>
      <c r="E3423" s="225" t="s">
        <v>580</v>
      </c>
    </row>
    <row r="3424" spans="2:5" ht="15.75" thickBot="1">
      <c r="B3424" s="225" t="s">
        <v>5570</v>
      </c>
      <c r="C3424" s="226">
        <v>590103</v>
      </c>
      <c r="D3424" s="225" t="s">
        <v>5571</v>
      </c>
      <c r="E3424" s="225" t="s">
        <v>580</v>
      </c>
    </row>
    <row r="3425" spans="2:5" ht="15.75" thickBot="1">
      <c r="B3425" s="225" t="s">
        <v>5572</v>
      </c>
      <c r="C3425" s="226">
        <v>590108</v>
      </c>
      <c r="D3425" s="225" t="s">
        <v>5573</v>
      </c>
      <c r="E3425" s="225" t="s">
        <v>580</v>
      </c>
    </row>
    <row r="3426" spans="2:5" ht="15.75" thickBot="1">
      <c r="B3426" s="225" t="s">
        <v>5574</v>
      </c>
      <c r="C3426" s="226">
        <v>590109</v>
      </c>
      <c r="D3426" s="225" t="s">
        <v>5575</v>
      </c>
      <c r="E3426" s="225" t="s">
        <v>580</v>
      </c>
    </row>
    <row r="3427" spans="2:5" ht="15.75" thickBot="1">
      <c r="B3427" s="225" t="s">
        <v>5576</v>
      </c>
      <c r="C3427" s="226">
        <v>540709</v>
      </c>
      <c r="D3427" s="225" t="s">
        <v>5577</v>
      </c>
      <c r="E3427" s="225" t="s">
        <v>655</v>
      </c>
    </row>
    <row r="3428" spans="2:5" ht="15.75" thickBot="1">
      <c r="B3428" s="225" t="s">
        <v>5578</v>
      </c>
      <c r="C3428" s="226">
        <v>523445</v>
      </c>
      <c r="D3428" s="225" t="s">
        <v>5579</v>
      </c>
      <c r="E3428" s="225" t="s">
        <v>995</v>
      </c>
    </row>
    <row r="3429" spans="2:5" ht="15.75" thickBot="1">
      <c r="B3429" s="225" t="s">
        <v>5580</v>
      </c>
      <c r="C3429" s="226">
        <v>500325</v>
      </c>
      <c r="D3429" s="225" t="s">
        <v>5581</v>
      </c>
      <c r="E3429" s="225" t="s">
        <v>728</v>
      </c>
    </row>
    <row r="3430" spans="2:5" ht="15.75" thickBot="1">
      <c r="B3430" s="225" t="s">
        <v>5582</v>
      </c>
      <c r="C3430" s="226">
        <v>500390</v>
      </c>
      <c r="D3430" s="225" t="s">
        <v>5583</v>
      </c>
      <c r="E3430" s="225" t="s">
        <v>736</v>
      </c>
    </row>
    <row r="3431" spans="2:5" ht="15.75" thickBot="1">
      <c r="B3431" s="225" t="s">
        <v>5584</v>
      </c>
      <c r="C3431" s="226">
        <v>533107</v>
      </c>
      <c r="D3431" s="225" t="s">
        <v>5585</v>
      </c>
      <c r="E3431" s="225" t="s">
        <v>1070</v>
      </c>
    </row>
    <row r="3432" spans="2:5" ht="15.75" thickBot="1">
      <c r="B3432" s="225" t="s">
        <v>5586</v>
      </c>
      <c r="C3432" s="226">
        <v>540767</v>
      </c>
      <c r="D3432" s="225" t="s">
        <v>5587</v>
      </c>
      <c r="E3432" s="225" t="s">
        <v>3002</v>
      </c>
    </row>
    <row r="3433" spans="2:5" ht="15.75" thickBot="1">
      <c r="B3433" s="225" t="s">
        <v>5588</v>
      </c>
      <c r="C3433" s="226">
        <v>532939</v>
      </c>
      <c r="D3433" s="225" t="s">
        <v>5589</v>
      </c>
      <c r="E3433" s="225" t="s">
        <v>736</v>
      </c>
    </row>
    <row r="3434" spans="2:5" ht="15.75" thickBot="1">
      <c r="B3434" s="225" t="s">
        <v>5590</v>
      </c>
      <c r="C3434" s="226">
        <v>511712</v>
      </c>
      <c r="D3434" s="225" t="s">
        <v>597</v>
      </c>
      <c r="E3434" s="225" t="s">
        <v>580</v>
      </c>
    </row>
    <row r="3435" spans="2:5" ht="15.75" thickBot="1">
      <c r="B3435" s="225" t="s">
        <v>5591</v>
      </c>
      <c r="C3435" s="226">
        <v>539760</v>
      </c>
      <c r="D3435" s="225" t="s">
        <v>597</v>
      </c>
      <c r="E3435" s="225" t="s">
        <v>895</v>
      </c>
    </row>
    <row r="3436" spans="2:5" ht="15.75" thickBot="1">
      <c r="B3436" s="225" t="s">
        <v>5592</v>
      </c>
      <c r="C3436" s="226">
        <v>532915</v>
      </c>
      <c r="D3436" s="225" t="s">
        <v>5593</v>
      </c>
      <c r="E3436" s="225" t="s">
        <v>580</v>
      </c>
    </row>
    <row r="3437" spans="2:5" ht="15.75" thickBot="1">
      <c r="B3437" s="225" t="s">
        <v>5594</v>
      </c>
      <c r="C3437" s="226">
        <v>540426</v>
      </c>
      <c r="D3437" s="225" t="s">
        <v>597</v>
      </c>
      <c r="E3437" s="225" t="s">
        <v>683</v>
      </c>
    </row>
    <row r="3438" spans="2:5" ht="15.75" thickBot="1">
      <c r="B3438" s="225" t="s">
        <v>5595</v>
      </c>
      <c r="C3438" s="226">
        <v>513043</v>
      </c>
      <c r="D3438" s="225" t="s">
        <v>597</v>
      </c>
      <c r="E3438" s="225" t="s">
        <v>920</v>
      </c>
    </row>
    <row r="3439" spans="2:5" ht="15.75" thickBot="1">
      <c r="B3439" s="225" t="s">
        <v>5596</v>
      </c>
      <c r="C3439" s="226">
        <v>512487</v>
      </c>
      <c r="D3439" s="225" t="s">
        <v>597</v>
      </c>
      <c r="E3439" s="225" t="s">
        <v>619</v>
      </c>
    </row>
    <row r="3440" spans="2:5" ht="15.75" thickBot="1">
      <c r="B3440" s="225" t="s">
        <v>5597</v>
      </c>
      <c r="C3440" s="226">
        <v>505658</v>
      </c>
      <c r="D3440" s="225" t="s">
        <v>597</v>
      </c>
      <c r="E3440" s="225" t="s">
        <v>605</v>
      </c>
    </row>
    <row r="3441" spans="2:5" ht="15.75" thickBot="1">
      <c r="B3441" s="225" t="s">
        <v>5598</v>
      </c>
      <c r="C3441" s="226">
        <v>504360</v>
      </c>
      <c r="D3441" s="225" t="s">
        <v>597</v>
      </c>
      <c r="E3441" s="225" t="s">
        <v>619</v>
      </c>
    </row>
    <row r="3442" spans="2:5" ht="15.75" thickBot="1">
      <c r="B3442" s="225" t="s">
        <v>5599</v>
      </c>
      <c r="C3442" s="226">
        <v>511149</v>
      </c>
      <c r="D3442" s="225" t="s">
        <v>597</v>
      </c>
      <c r="E3442" s="225" t="s">
        <v>1018</v>
      </c>
    </row>
    <row r="3443" spans="2:5" ht="15.75" thickBot="1">
      <c r="B3443" s="225" t="s">
        <v>5600</v>
      </c>
      <c r="C3443" s="226">
        <v>530919</v>
      </c>
      <c r="D3443" s="225" t="s">
        <v>5601</v>
      </c>
      <c r="E3443" s="225" t="s">
        <v>3936</v>
      </c>
    </row>
    <row r="3444" spans="2:5" ht="15.75" thickBot="1">
      <c r="B3444" s="225" t="s">
        <v>5602</v>
      </c>
      <c r="C3444" s="225" t="s">
        <v>597</v>
      </c>
      <c r="D3444" s="225" t="s">
        <v>5603</v>
      </c>
      <c r="E3444" s="225" t="s">
        <v>3936</v>
      </c>
    </row>
    <row r="3445" spans="2:5" ht="15.75" thickBot="1">
      <c r="B3445" s="225" t="s">
        <v>5604</v>
      </c>
      <c r="C3445" s="226">
        <v>532923</v>
      </c>
      <c r="D3445" s="225" t="s">
        <v>5605</v>
      </c>
      <c r="E3445" s="225" t="s">
        <v>711</v>
      </c>
    </row>
    <row r="3446" spans="2:5" ht="15.75" thickBot="1">
      <c r="B3446" s="225" t="s">
        <v>5606</v>
      </c>
      <c r="C3446" s="226">
        <v>535322</v>
      </c>
      <c r="D3446" s="225" t="s">
        <v>5607</v>
      </c>
      <c r="E3446" s="225" t="s">
        <v>655</v>
      </c>
    </row>
    <row r="3447" spans="2:5" ht="15.75" thickBot="1">
      <c r="B3447" s="225" t="s">
        <v>5608</v>
      </c>
      <c r="C3447" s="226">
        <v>532687</v>
      </c>
      <c r="D3447" s="225" t="s">
        <v>5609</v>
      </c>
      <c r="E3447" s="225" t="s">
        <v>2589</v>
      </c>
    </row>
    <row r="3448" spans="2:5" ht="15.75" thickBot="1">
      <c r="B3448" s="225" t="s">
        <v>5610</v>
      </c>
      <c r="C3448" s="226">
        <v>532687</v>
      </c>
      <c r="D3448" s="225" t="s">
        <v>5609</v>
      </c>
      <c r="E3448" s="225" t="s">
        <v>2589</v>
      </c>
    </row>
    <row r="3449" spans="2:5" ht="15.75" thickBot="1">
      <c r="B3449" s="225" t="s">
        <v>5611</v>
      </c>
      <c r="C3449" s="226">
        <v>524218</v>
      </c>
      <c r="D3449" s="225" t="s">
        <v>597</v>
      </c>
      <c r="E3449" s="225" t="s">
        <v>635</v>
      </c>
    </row>
    <row r="3450" spans="2:5" ht="15.75" thickBot="1">
      <c r="B3450" s="225" t="s">
        <v>5612</v>
      </c>
      <c r="C3450" s="226">
        <v>505509</v>
      </c>
      <c r="D3450" s="225" t="s">
        <v>5613</v>
      </c>
      <c r="E3450" s="225" t="s">
        <v>717</v>
      </c>
    </row>
    <row r="3451" spans="2:5" ht="15.75" thickBot="1">
      <c r="B3451" s="225" t="s">
        <v>5614</v>
      </c>
      <c r="C3451" s="226">
        <v>515085</v>
      </c>
      <c r="D3451" s="225" t="s">
        <v>597</v>
      </c>
      <c r="E3451" s="225" t="s">
        <v>874</v>
      </c>
    </row>
    <row r="3452" spans="2:5" ht="15.75" thickBot="1">
      <c r="B3452" s="225" t="s">
        <v>5615</v>
      </c>
      <c r="C3452" s="226">
        <v>519191</v>
      </c>
      <c r="D3452" s="225" t="s">
        <v>5616</v>
      </c>
      <c r="E3452" s="225" t="s">
        <v>5617</v>
      </c>
    </row>
    <row r="3453" spans="2:5" ht="15.75" thickBot="1">
      <c r="B3453" s="225" t="s">
        <v>5618</v>
      </c>
      <c r="C3453" s="226">
        <v>505368</v>
      </c>
      <c r="D3453" s="225" t="s">
        <v>5619</v>
      </c>
      <c r="E3453" s="225" t="s">
        <v>605</v>
      </c>
    </row>
    <row r="3454" spans="2:5" ht="15.75" thickBot="1">
      <c r="B3454" s="225" t="s">
        <v>5620</v>
      </c>
      <c r="C3454" s="226">
        <v>531888</v>
      </c>
      <c r="D3454" s="225" t="s">
        <v>597</v>
      </c>
      <c r="E3454" s="225" t="s">
        <v>605</v>
      </c>
    </row>
    <row r="3455" spans="2:5" ht="15.75" thickBot="1">
      <c r="B3455" s="225" t="s">
        <v>5621</v>
      </c>
      <c r="C3455" s="226">
        <v>539669</v>
      </c>
      <c r="D3455" s="225" t="s">
        <v>597</v>
      </c>
      <c r="E3455" s="225" t="s">
        <v>614</v>
      </c>
    </row>
    <row r="3456" spans="2:5" ht="15.75" thickBot="1">
      <c r="B3456" s="225" t="s">
        <v>5622</v>
      </c>
      <c r="C3456" s="226">
        <v>531952</v>
      </c>
      <c r="D3456" s="225" t="s">
        <v>597</v>
      </c>
      <c r="E3456" s="225" t="s">
        <v>612</v>
      </c>
    </row>
    <row r="3457" spans="2:5" ht="15.75" thickBot="1">
      <c r="B3457" s="225" t="s">
        <v>5623</v>
      </c>
      <c r="C3457" s="226">
        <v>530271</v>
      </c>
      <c r="D3457" s="225" t="s">
        <v>597</v>
      </c>
      <c r="E3457" s="225" t="s">
        <v>614</v>
      </c>
    </row>
    <row r="3458" spans="2:5" ht="15.75" thickBot="1">
      <c r="B3458" s="225" t="s">
        <v>5624</v>
      </c>
      <c r="C3458" s="226">
        <v>532766</v>
      </c>
      <c r="D3458" s="225" t="s">
        <v>597</v>
      </c>
      <c r="E3458" s="225" t="s">
        <v>995</v>
      </c>
    </row>
    <row r="3459" spans="2:5" ht="15.75" thickBot="1">
      <c r="B3459" s="225" t="s">
        <v>5625</v>
      </c>
      <c r="C3459" s="226">
        <v>539435</v>
      </c>
      <c r="D3459" s="225" t="s">
        <v>597</v>
      </c>
      <c r="E3459" s="225" t="s">
        <v>580</v>
      </c>
    </row>
    <row r="3460" spans="2:5" ht="15.75" thickBot="1">
      <c r="B3460" s="225" t="s">
        <v>5626</v>
      </c>
      <c r="C3460" s="226">
        <v>519230</v>
      </c>
      <c r="D3460" s="225" t="s">
        <v>597</v>
      </c>
      <c r="E3460" s="225" t="s">
        <v>619</v>
      </c>
    </row>
    <row r="3461" spans="2:5" ht="15.75" thickBot="1">
      <c r="B3461" s="225" t="s">
        <v>5627</v>
      </c>
      <c r="C3461" s="226">
        <v>520008</v>
      </c>
      <c r="D3461" s="225" t="s">
        <v>5628</v>
      </c>
      <c r="E3461" s="225" t="s">
        <v>952</v>
      </c>
    </row>
    <row r="3462" spans="2:5" ht="15.75" thickBot="1">
      <c r="B3462" s="225" t="s">
        <v>5629</v>
      </c>
      <c r="C3462" s="226">
        <v>540590</v>
      </c>
      <c r="D3462" s="225" t="s">
        <v>597</v>
      </c>
      <c r="E3462" s="225" t="s">
        <v>927</v>
      </c>
    </row>
    <row r="3463" spans="2:5" ht="15.75" thickBot="1">
      <c r="B3463" s="225" t="s">
        <v>5630</v>
      </c>
      <c r="C3463" s="226">
        <v>524480</v>
      </c>
      <c r="D3463" s="225" t="s">
        <v>597</v>
      </c>
      <c r="E3463" s="225" t="s">
        <v>645</v>
      </c>
    </row>
    <row r="3464" spans="2:5" ht="15.75" thickBot="1">
      <c r="B3464" s="225" t="s">
        <v>5631</v>
      </c>
      <c r="C3464" s="226">
        <v>540082</v>
      </c>
      <c r="D3464" s="225" t="s">
        <v>597</v>
      </c>
      <c r="E3464" s="225" t="s">
        <v>920</v>
      </c>
    </row>
    <row r="3465" spans="2:5" ht="15.75" thickBot="1">
      <c r="B3465" s="225" t="s">
        <v>5632</v>
      </c>
      <c r="C3465" s="226">
        <v>504365</v>
      </c>
      <c r="D3465" s="225" t="s">
        <v>597</v>
      </c>
      <c r="E3465" s="225" t="s">
        <v>580</v>
      </c>
    </row>
    <row r="3466" spans="2:5" ht="15.75" thickBot="1">
      <c r="B3466" s="225" t="s">
        <v>5633</v>
      </c>
      <c r="C3466" s="226">
        <v>541151</v>
      </c>
      <c r="D3466" s="225" t="s">
        <v>597</v>
      </c>
      <c r="E3466" s="225" t="s">
        <v>681</v>
      </c>
    </row>
    <row r="3467" spans="2:5" ht="15.75" thickBot="1">
      <c r="B3467" s="225" t="s">
        <v>5634</v>
      </c>
      <c r="C3467" s="226">
        <v>541151</v>
      </c>
      <c r="D3467" s="225" t="s">
        <v>597</v>
      </c>
      <c r="E3467" s="225" t="s">
        <v>681</v>
      </c>
    </row>
    <row r="3468" spans="2:5" ht="15.75" thickBot="1">
      <c r="B3468" s="225" t="s">
        <v>5635</v>
      </c>
      <c r="C3468" s="226">
        <v>507508</v>
      </c>
      <c r="D3468" s="225" t="s">
        <v>597</v>
      </c>
      <c r="E3468" s="225" t="s">
        <v>1296</v>
      </c>
    </row>
    <row r="3469" spans="2:5" ht="15.75" thickBot="1">
      <c r="B3469" s="225" t="s">
        <v>5636</v>
      </c>
      <c r="C3469" s="226">
        <v>530251</v>
      </c>
      <c r="D3469" s="225" t="s">
        <v>597</v>
      </c>
      <c r="E3469" s="225" t="s">
        <v>619</v>
      </c>
    </row>
    <row r="3470" spans="2:5" ht="15.75" thickBot="1">
      <c r="B3470" s="225" t="s">
        <v>5637</v>
      </c>
      <c r="C3470" s="226">
        <v>514177</v>
      </c>
      <c r="D3470" s="225" t="s">
        <v>597</v>
      </c>
      <c r="E3470" s="225" t="s">
        <v>612</v>
      </c>
    </row>
    <row r="3471" spans="2:5" ht="15.75" thickBot="1">
      <c r="B3471" s="225" t="s">
        <v>5638</v>
      </c>
      <c r="C3471" s="226">
        <v>531539</v>
      </c>
      <c r="D3471" s="225" t="s">
        <v>597</v>
      </c>
      <c r="E3471" s="225" t="s">
        <v>629</v>
      </c>
    </row>
    <row r="3472" spans="2:5" ht="15.75" thickBot="1">
      <c r="B3472" s="225" t="s">
        <v>5639</v>
      </c>
      <c r="C3472" s="226">
        <v>526861</v>
      </c>
      <c r="D3472" s="225" t="s">
        <v>597</v>
      </c>
      <c r="E3472" s="225" t="s">
        <v>605</v>
      </c>
    </row>
    <row r="3473" spans="2:5" ht="15.75" thickBot="1">
      <c r="B3473" s="225" t="s">
        <v>5640</v>
      </c>
      <c r="C3473" s="226">
        <v>523021</v>
      </c>
      <c r="D3473" s="225" t="s">
        <v>597</v>
      </c>
      <c r="E3473" s="225" t="s">
        <v>792</v>
      </c>
    </row>
    <row r="3474" spans="2:5" ht="15.75" thickBot="1">
      <c r="B3474" s="225" t="s">
        <v>5641</v>
      </c>
      <c r="C3474" s="226">
        <v>526492</v>
      </c>
      <c r="D3474" s="225" t="s">
        <v>597</v>
      </c>
      <c r="E3474" s="225" t="s">
        <v>1517</v>
      </c>
    </row>
    <row r="3475" spans="2:5" ht="15.75" thickBot="1">
      <c r="B3475" s="225" t="s">
        <v>5642</v>
      </c>
      <c r="C3475" s="226">
        <v>542383</v>
      </c>
      <c r="D3475" s="225" t="s">
        <v>5643</v>
      </c>
      <c r="E3475" s="225" t="s">
        <v>918</v>
      </c>
    </row>
    <row r="3476" spans="2:5" ht="15.75" thickBot="1">
      <c r="B3476" s="225" t="s">
        <v>5644</v>
      </c>
      <c r="C3476" s="226">
        <v>541556</v>
      </c>
      <c r="D3476" s="225" t="s">
        <v>5645</v>
      </c>
      <c r="E3476" s="225" t="s">
        <v>995</v>
      </c>
    </row>
    <row r="3477" spans="2:5" ht="15.75" thickBot="1">
      <c r="B3477" s="225" t="s">
        <v>5646</v>
      </c>
      <c r="C3477" s="226">
        <v>519097</v>
      </c>
      <c r="D3477" s="225" t="s">
        <v>597</v>
      </c>
      <c r="E3477" s="225" t="s">
        <v>645</v>
      </c>
    </row>
    <row r="3478" spans="2:5" ht="15.75" thickBot="1">
      <c r="B3478" s="225" t="s">
        <v>5647</v>
      </c>
      <c r="C3478" s="226">
        <v>526407</v>
      </c>
      <c r="D3478" s="225" t="s">
        <v>597</v>
      </c>
      <c r="E3478" s="225" t="s">
        <v>711</v>
      </c>
    </row>
    <row r="3479" spans="2:5" ht="15.75" thickBot="1">
      <c r="B3479" s="225" t="s">
        <v>5648</v>
      </c>
      <c r="C3479" s="226">
        <v>540843</v>
      </c>
      <c r="D3479" s="225" t="s">
        <v>597</v>
      </c>
      <c r="E3479" s="225" t="s">
        <v>3377</v>
      </c>
    </row>
    <row r="3480" spans="2:5" ht="15.75" thickBot="1">
      <c r="B3480" s="225" t="s">
        <v>5649</v>
      </c>
      <c r="C3480" s="225" t="s">
        <v>597</v>
      </c>
      <c r="D3480" s="225" t="s">
        <v>5650</v>
      </c>
      <c r="E3480" s="225" t="s">
        <v>608</v>
      </c>
    </row>
    <row r="3481" spans="2:5" ht="15.75" thickBot="1">
      <c r="B3481" s="225" t="s">
        <v>5651</v>
      </c>
      <c r="C3481" s="226">
        <v>512618</v>
      </c>
      <c r="D3481" s="225" t="s">
        <v>597</v>
      </c>
      <c r="E3481" s="225" t="s">
        <v>612</v>
      </c>
    </row>
    <row r="3482" spans="2:5" ht="15.75" thickBot="1">
      <c r="B3482" s="225" t="s">
        <v>5652</v>
      </c>
      <c r="C3482" s="226">
        <v>540358</v>
      </c>
      <c r="D3482" s="225" t="s">
        <v>597</v>
      </c>
      <c r="E3482" s="225" t="s">
        <v>895</v>
      </c>
    </row>
    <row r="3483" spans="2:5" ht="15.75" thickBot="1">
      <c r="B3483" s="225" t="s">
        <v>5653</v>
      </c>
      <c r="C3483" s="226">
        <v>500365</v>
      </c>
      <c r="D3483" s="225" t="s">
        <v>597</v>
      </c>
      <c r="E3483" s="225" t="s">
        <v>629</v>
      </c>
    </row>
    <row r="3484" spans="2:5" ht="15.75" thickBot="1">
      <c r="B3484" s="225" t="s">
        <v>5654</v>
      </c>
      <c r="C3484" s="226">
        <v>531447</v>
      </c>
      <c r="D3484" s="225" t="s">
        <v>597</v>
      </c>
      <c r="E3484" s="225" t="s">
        <v>619</v>
      </c>
    </row>
    <row r="3485" spans="2:5" ht="15.75" thickBot="1">
      <c r="B3485" s="225" t="s">
        <v>5655</v>
      </c>
      <c r="C3485" s="226">
        <v>531822</v>
      </c>
      <c r="D3485" s="225" t="s">
        <v>597</v>
      </c>
      <c r="E3485" s="225" t="s">
        <v>683</v>
      </c>
    </row>
    <row r="3486" spans="2:5" ht="15.75" thickBot="1">
      <c r="B3486" s="225" t="s">
        <v>5656</v>
      </c>
      <c r="C3486" s="226">
        <v>532731</v>
      </c>
      <c r="D3486" s="225" t="s">
        <v>5657</v>
      </c>
      <c r="E3486" s="225" t="s">
        <v>629</v>
      </c>
    </row>
    <row r="3487" spans="2:5" ht="15.75" thickBot="1">
      <c r="B3487" s="225" t="s">
        <v>5658</v>
      </c>
      <c r="C3487" s="226">
        <v>505807</v>
      </c>
      <c r="D3487" s="225" t="s">
        <v>597</v>
      </c>
      <c r="E3487" s="225" t="s">
        <v>1517</v>
      </c>
    </row>
    <row r="3488" spans="2:5" ht="15.75" thickBot="1">
      <c r="B3488" s="225" t="s">
        <v>5659</v>
      </c>
      <c r="C3488" s="226">
        <v>502448</v>
      </c>
      <c r="D3488" s="225" t="s">
        <v>5660</v>
      </c>
      <c r="E3488" s="225" t="s">
        <v>792</v>
      </c>
    </row>
    <row r="3489" spans="2:5" ht="15.75" thickBot="1">
      <c r="B3489" s="225" t="s">
        <v>5661</v>
      </c>
      <c r="C3489" s="226">
        <v>500366</v>
      </c>
      <c r="D3489" s="225" t="s">
        <v>5662</v>
      </c>
      <c r="E3489" s="225" t="s">
        <v>603</v>
      </c>
    </row>
    <row r="3490" spans="2:5" ht="15.75" thickBot="1">
      <c r="B3490" s="225" t="s">
        <v>5663</v>
      </c>
      <c r="C3490" s="226">
        <v>500366</v>
      </c>
      <c r="D3490" s="225" t="s">
        <v>5662</v>
      </c>
      <c r="E3490" s="225" t="s">
        <v>603</v>
      </c>
    </row>
    <row r="3491" spans="2:5" ht="15.75" thickBot="1">
      <c r="B3491" s="225" t="s">
        <v>5664</v>
      </c>
      <c r="C3491" s="226">
        <v>542145</v>
      </c>
      <c r="D3491" s="225" t="s">
        <v>597</v>
      </c>
      <c r="E3491" s="225" t="s">
        <v>619</v>
      </c>
    </row>
    <row r="3492" spans="2:5" ht="15.75" thickBot="1">
      <c r="B3492" s="225" t="s">
        <v>5665</v>
      </c>
      <c r="C3492" s="226">
        <v>530991</v>
      </c>
      <c r="D3492" s="225" t="s">
        <v>597</v>
      </c>
      <c r="E3492" s="225" t="s">
        <v>635</v>
      </c>
    </row>
    <row r="3493" spans="2:5" ht="15.75" thickBot="1">
      <c r="B3493" s="225" t="s">
        <v>5666</v>
      </c>
      <c r="C3493" s="226">
        <v>542599</v>
      </c>
      <c r="D3493" s="225" t="s">
        <v>5667</v>
      </c>
      <c r="E3493" s="225" t="s">
        <v>798</v>
      </c>
    </row>
    <row r="3494" spans="2:5" ht="15.75" thickBot="1">
      <c r="B3494" s="225" t="s">
        <v>5668</v>
      </c>
      <c r="C3494" s="226">
        <v>531324</v>
      </c>
      <c r="D3494" s="225" t="s">
        <v>597</v>
      </c>
      <c r="E3494" s="225" t="s">
        <v>580</v>
      </c>
    </row>
    <row r="3495" spans="2:5" ht="15.75" thickBot="1">
      <c r="B3495" s="225" t="s">
        <v>5669</v>
      </c>
      <c r="C3495" s="226">
        <v>533168</v>
      </c>
      <c r="D3495" s="225" t="s">
        <v>5670</v>
      </c>
      <c r="E3495" s="225" t="s">
        <v>1004</v>
      </c>
    </row>
    <row r="3496" spans="2:5" ht="15.75" thickBot="1">
      <c r="B3496" s="225" t="s">
        <v>5671</v>
      </c>
      <c r="C3496" s="226">
        <v>533168</v>
      </c>
      <c r="D3496" s="225" t="s">
        <v>5670</v>
      </c>
      <c r="E3496" s="225" t="s">
        <v>1004</v>
      </c>
    </row>
    <row r="3497" spans="2:5" ht="15.75" thickBot="1">
      <c r="B3497" s="225" t="s">
        <v>5672</v>
      </c>
      <c r="C3497" s="226">
        <v>517500</v>
      </c>
      <c r="D3497" s="225" t="s">
        <v>597</v>
      </c>
      <c r="E3497" s="225" t="s">
        <v>605</v>
      </c>
    </row>
    <row r="3498" spans="2:5" ht="15.75" thickBot="1">
      <c r="B3498" s="225" t="s">
        <v>5673</v>
      </c>
      <c r="C3498" s="226">
        <v>539922</v>
      </c>
      <c r="D3498" s="225" t="s">
        <v>597</v>
      </c>
      <c r="E3498" s="225" t="s">
        <v>619</v>
      </c>
    </row>
    <row r="3499" spans="2:5" ht="15.75" thickBot="1">
      <c r="B3499" s="225" t="s">
        <v>5674</v>
      </c>
      <c r="C3499" s="226">
        <v>539922</v>
      </c>
      <c r="D3499" s="225" t="s">
        <v>597</v>
      </c>
      <c r="E3499" s="225" t="s">
        <v>619</v>
      </c>
    </row>
    <row r="3500" spans="2:5" ht="15.75" thickBot="1">
      <c r="B3500" s="225" t="s">
        <v>5675</v>
      </c>
      <c r="C3500" s="226">
        <v>526193</v>
      </c>
      <c r="D3500" s="225" t="s">
        <v>597</v>
      </c>
      <c r="E3500" s="225" t="s">
        <v>874</v>
      </c>
    </row>
    <row r="3501" spans="2:5" ht="15.75" thickBot="1">
      <c r="B3501" s="225" t="s">
        <v>5676</v>
      </c>
      <c r="C3501" s="226">
        <v>512047</v>
      </c>
      <c r="D3501" s="225" t="s">
        <v>597</v>
      </c>
      <c r="E3501" s="225" t="s">
        <v>711</v>
      </c>
    </row>
    <row r="3502" spans="2:5" ht="15.75" thickBot="1">
      <c r="B3502" s="225" t="s">
        <v>5677</v>
      </c>
      <c r="C3502" s="226">
        <v>532699</v>
      </c>
      <c r="D3502" s="225" t="s">
        <v>5678</v>
      </c>
      <c r="E3502" s="225" t="s">
        <v>798</v>
      </c>
    </row>
    <row r="3503" spans="2:5" ht="15.75" thickBot="1">
      <c r="B3503" s="225" t="s">
        <v>5679</v>
      </c>
      <c r="C3503" s="226">
        <v>526640</v>
      </c>
      <c r="D3503" s="225" t="s">
        <v>597</v>
      </c>
      <c r="E3503" s="225" t="s">
        <v>798</v>
      </c>
    </row>
    <row r="3504" spans="2:5" ht="15.75" thickBot="1">
      <c r="B3504" s="225" t="s">
        <v>5680</v>
      </c>
      <c r="C3504" s="226">
        <v>532983</v>
      </c>
      <c r="D3504" s="225" t="s">
        <v>5681</v>
      </c>
      <c r="E3504" s="225" t="s">
        <v>635</v>
      </c>
    </row>
    <row r="3505" spans="2:5" ht="15.75" thickBot="1">
      <c r="B3505" s="225" t="s">
        <v>5682</v>
      </c>
      <c r="C3505" s="226">
        <v>511626</v>
      </c>
      <c r="D3505" s="225" t="s">
        <v>597</v>
      </c>
      <c r="E3505" s="225" t="s">
        <v>614</v>
      </c>
    </row>
    <row r="3506" spans="2:5" ht="15.75" thickBot="1">
      <c r="B3506" s="225" t="s">
        <v>5683</v>
      </c>
      <c r="C3506" s="226">
        <v>530179</v>
      </c>
      <c r="D3506" s="225" t="s">
        <v>597</v>
      </c>
      <c r="E3506" s="225" t="s">
        <v>612</v>
      </c>
    </row>
    <row r="3507" spans="2:5" ht="15.75" thickBot="1">
      <c r="B3507" s="225" t="s">
        <v>5684</v>
      </c>
      <c r="C3507" s="226">
        <v>539875</v>
      </c>
      <c r="D3507" s="225" t="s">
        <v>597</v>
      </c>
      <c r="E3507" s="225" t="s">
        <v>617</v>
      </c>
    </row>
    <row r="3508" spans="2:5" ht="15.75" thickBot="1">
      <c r="B3508" s="225" t="s">
        <v>5685</v>
      </c>
      <c r="C3508" s="226">
        <v>500350</v>
      </c>
      <c r="D3508" s="225" t="s">
        <v>5686</v>
      </c>
      <c r="E3508" s="225" t="s">
        <v>612</v>
      </c>
    </row>
    <row r="3509" spans="2:5" ht="15.75" thickBot="1">
      <c r="B3509" s="225" t="s">
        <v>5687</v>
      </c>
      <c r="C3509" s="226">
        <v>531215</v>
      </c>
      <c r="D3509" s="225" t="s">
        <v>597</v>
      </c>
      <c r="E3509" s="225" t="s">
        <v>895</v>
      </c>
    </row>
    <row r="3510" spans="2:5" ht="15.75" thickBot="1">
      <c r="B3510" s="225" t="s">
        <v>5688</v>
      </c>
      <c r="C3510" s="226">
        <v>500367</v>
      </c>
      <c r="D3510" s="225" t="s">
        <v>597</v>
      </c>
      <c r="E3510" s="225" t="s">
        <v>1077</v>
      </c>
    </row>
    <row r="3511" spans="2:5" ht="15.75" thickBot="1">
      <c r="B3511" s="225" t="s">
        <v>5689</v>
      </c>
      <c r="C3511" s="226">
        <v>531099</v>
      </c>
      <c r="D3511" s="225" t="s">
        <v>597</v>
      </c>
      <c r="E3511" s="225" t="s">
        <v>635</v>
      </c>
    </row>
    <row r="3512" spans="2:5" ht="15.75" thickBot="1">
      <c r="B3512" s="225" t="s">
        <v>5690</v>
      </c>
      <c r="C3512" s="226">
        <v>509020</v>
      </c>
      <c r="D3512" s="225" t="s">
        <v>5691</v>
      </c>
      <c r="E3512" s="225" t="s">
        <v>846</v>
      </c>
    </row>
    <row r="3513" spans="2:5" ht="15.75" thickBot="1">
      <c r="B3513" s="225" t="s">
        <v>5692</v>
      </c>
      <c r="C3513" s="226">
        <v>500368</v>
      </c>
      <c r="D3513" s="225" t="s">
        <v>5693</v>
      </c>
      <c r="E3513" s="225" t="s">
        <v>846</v>
      </c>
    </row>
    <row r="3514" spans="2:5" ht="15.75" thickBot="1">
      <c r="B3514" s="225" t="s">
        <v>5694</v>
      </c>
      <c r="C3514" s="226">
        <v>540696</v>
      </c>
      <c r="D3514" s="225" t="s">
        <v>597</v>
      </c>
      <c r="E3514" s="225" t="s">
        <v>619</v>
      </c>
    </row>
    <row r="3515" spans="2:5" ht="15.75" thickBot="1">
      <c r="B3515" s="225" t="s">
        <v>5695</v>
      </c>
      <c r="C3515" s="226">
        <v>540696</v>
      </c>
      <c r="D3515" s="225" t="s">
        <v>597</v>
      </c>
      <c r="E3515" s="225" t="s">
        <v>619</v>
      </c>
    </row>
    <row r="3516" spans="2:5" ht="15.75" thickBot="1">
      <c r="B3516" s="225" t="s">
        <v>5696</v>
      </c>
      <c r="C3516" s="226">
        <v>532785</v>
      </c>
      <c r="D3516" s="225" t="s">
        <v>5697</v>
      </c>
      <c r="E3516" s="225" t="s">
        <v>591</v>
      </c>
    </row>
    <row r="3517" spans="2:5" ht="15.75" thickBot="1">
      <c r="B3517" s="225" t="s">
        <v>5698</v>
      </c>
      <c r="C3517" s="226">
        <v>539226</v>
      </c>
      <c r="D3517" s="225" t="s">
        <v>597</v>
      </c>
      <c r="E3517" s="225" t="s">
        <v>629</v>
      </c>
    </row>
    <row r="3518" spans="2:5" ht="15.75" thickBot="1">
      <c r="B3518" s="225" t="s">
        <v>5699</v>
      </c>
      <c r="C3518" s="225" t="s">
        <v>597</v>
      </c>
      <c r="D3518" s="225" t="s">
        <v>5700</v>
      </c>
      <c r="E3518" s="225" t="s">
        <v>608</v>
      </c>
    </row>
    <row r="3519" spans="2:5" ht="15.75" thickBot="1">
      <c r="B3519" s="225" t="s">
        <v>5701</v>
      </c>
      <c r="C3519" s="226">
        <v>519413</v>
      </c>
      <c r="D3519" s="225" t="s">
        <v>597</v>
      </c>
      <c r="E3519" s="225" t="s">
        <v>619</v>
      </c>
    </row>
    <row r="3520" spans="2:5" ht="15.75" thickBot="1">
      <c r="B3520" s="225" t="s">
        <v>5702</v>
      </c>
      <c r="C3520" s="226">
        <v>530449</v>
      </c>
      <c r="D3520" s="225" t="s">
        <v>597</v>
      </c>
      <c r="E3520" s="225" t="s">
        <v>717</v>
      </c>
    </row>
    <row r="3521" spans="2:5" ht="15.75" thickBot="1">
      <c r="B3521" s="225" t="s">
        <v>5703</v>
      </c>
      <c r="C3521" s="226">
        <v>533552</v>
      </c>
      <c r="D3521" s="225" t="s">
        <v>5704</v>
      </c>
      <c r="E3521" s="225" t="s">
        <v>711</v>
      </c>
    </row>
    <row r="3522" spans="2:5" ht="15.75" thickBot="1">
      <c r="B3522" s="225" t="s">
        <v>5705</v>
      </c>
      <c r="C3522" s="226">
        <v>533470</v>
      </c>
      <c r="D3522" s="225" t="s">
        <v>5706</v>
      </c>
      <c r="E3522" s="225" t="s">
        <v>1092</v>
      </c>
    </row>
    <row r="3523" spans="2:5" ht="15.75" thickBot="1">
      <c r="B3523" s="225" t="s">
        <v>5707</v>
      </c>
      <c r="C3523" s="226">
        <v>504335</v>
      </c>
      <c r="D3523" s="225" t="s">
        <v>597</v>
      </c>
      <c r="E3523" s="225" t="s">
        <v>619</v>
      </c>
    </row>
    <row r="3524" spans="2:5" ht="15.75" thickBot="1">
      <c r="B3524" s="225" t="s">
        <v>5708</v>
      </c>
      <c r="C3524" s="226">
        <v>517035</v>
      </c>
      <c r="D3524" s="225" t="s">
        <v>597</v>
      </c>
      <c r="E3524" s="225" t="s">
        <v>1139</v>
      </c>
    </row>
    <row r="3525" spans="2:5" ht="15.75" thickBot="1">
      <c r="B3525" s="225" t="s">
        <v>5709</v>
      </c>
      <c r="C3525" s="226">
        <v>542034</v>
      </c>
      <c r="D3525" s="225" t="s">
        <v>597</v>
      </c>
      <c r="E3525" s="225" t="s">
        <v>711</v>
      </c>
    </row>
    <row r="3526" spans="2:5" ht="15.75" thickBot="1">
      <c r="B3526" s="225" t="s">
        <v>5710</v>
      </c>
      <c r="C3526" s="226">
        <v>532604</v>
      </c>
      <c r="D3526" s="225" t="s">
        <v>5711</v>
      </c>
      <c r="E3526" s="225" t="s">
        <v>629</v>
      </c>
    </row>
    <row r="3527" spans="2:5" ht="15.75" thickBot="1">
      <c r="B3527" s="225" t="s">
        <v>5712</v>
      </c>
      <c r="C3527" s="226">
        <v>540497</v>
      </c>
      <c r="D3527" s="225" t="s">
        <v>5713</v>
      </c>
      <c r="E3527" s="225" t="s">
        <v>1121</v>
      </c>
    </row>
    <row r="3528" spans="2:5" ht="15.75" thickBot="1">
      <c r="B3528" s="225" t="s">
        <v>5714</v>
      </c>
      <c r="C3528" s="226">
        <v>534598</v>
      </c>
      <c r="D3528" s="225" t="s">
        <v>5715</v>
      </c>
      <c r="E3528" s="225" t="s">
        <v>736</v>
      </c>
    </row>
    <row r="3529" spans="2:5" ht="15.75" thickBot="1">
      <c r="B3529" s="225" t="s">
        <v>5716</v>
      </c>
      <c r="C3529" s="226">
        <v>539450</v>
      </c>
      <c r="D3529" s="225" t="s">
        <v>5717</v>
      </c>
      <c r="E3529" s="225" t="s">
        <v>779</v>
      </c>
    </row>
    <row r="3530" spans="2:5" ht="15.75" thickBot="1">
      <c r="B3530" s="225" t="s">
        <v>5718</v>
      </c>
      <c r="C3530" s="226">
        <v>532316</v>
      </c>
      <c r="D3530" s="225" t="s">
        <v>5719</v>
      </c>
      <c r="E3530" s="225" t="s">
        <v>5720</v>
      </c>
    </row>
    <row r="3531" spans="2:5" ht="15.75" thickBot="1">
      <c r="B3531" s="225" t="s">
        <v>5721</v>
      </c>
      <c r="C3531" s="226">
        <v>540048</v>
      </c>
      <c r="D3531" s="225" t="s">
        <v>5722</v>
      </c>
      <c r="E3531" s="225" t="s">
        <v>711</v>
      </c>
    </row>
    <row r="3532" spans="2:5" ht="15.75" thickBot="1">
      <c r="B3532" s="225" t="s">
        <v>5723</v>
      </c>
      <c r="C3532" s="226">
        <v>536710</v>
      </c>
      <c r="D3532" s="225" t="s">
        <v>597</v>
      </c>
      <c r="E3532" s="225" t="s">
        <v>614</v>
      </c>
    </row>
    <row r="3533" spans="2:5" ht="15.75" thickBot="1">
      <c r="B3533" s="225" t="s">
        <v>5724</v>
      </c>
      <c r="C3533" s="226">
        <v>513515</v>
      </c>
      <c r="D3533" s="225" t="s">
        <v>597</v>
      </c>
      <c r="E3533" s="225" t="s">
        <v>612</v>
      </c>
    </row>
    <row r="3534" spans="2:5" ht="15.75" thickBot="1">
      <c r="B3534" s="225" t="s">
        <v>5725</v>
      </c>
      <c r="C3534" s="226">
        <v>531307</v>
      </c>
      <c r="D3534" s="225" t="s">
        <v>597</v>
      </c>
      <c r="E3534" s="225" t="s">
        <v>612</v>
      </c>
    </row>
    <row r="3535" spans="2:5" ht="15.75" thickBot="1">
      <c r="B3535" s="225" t="s">
        <v>5726</v>
      </c>
      <c r="C3535" s="225" t="s">
        <v>597</v>
      </c>
      <c r="D3535" s="225" t="s">
        <v>5727</v>
      </c>
      <c r="E3535" s="225" t="s">
        <v>608</v>
      </c>
    </row>
    <row r="3536" spans="2:5" ht="15.75" thickBot="1">
      <c r="B3536" s="225" t="s">
        <v>5728</v>
      </c>
      <c r="C3536" s="226">
        <v>538876</v>
      </c>
      <c r="D3536" s="225" t="s">
        <v>597</v>
      </c>
      <c r="E3536" s="225" t="s">
        <v>614</v>
      </c>
    </row>
    <row r="3537" spans="2:5" ht="15.75" thickBot="1">
      <c r="B3537" s="225" t="s">
        <v>5729</v>
      </c>
      <c r="C3537" s="226">
        <v>535621</v>
      </c>
      <c r="D3537" s="225" t="s">
        <v>597</v>
      </c>
      <c r="E3537" s="225" t="s">
        <v>683</v>
      </c>
    </row>
    <row r="3538" spans="2:5" ht="15.75" thickBot="1">
      <c r="B3538" s="225" t="s">
        <v>5730</v>
      </c>
      <c r="C3538" s="226">
        <v>503622</v>
      </c>
      <c r="D3538" s="225" t="s">
        <v>597</v>
      </c>
      <c r="E3538" s="225" t="s">
        <v>580</v>
      </c>
    </row>
    <row r="3539" spans="2:5" ht="15.75" thickBot="1">
      <c r="B3539" s="225" t="s">
        <v>5731</v>
      </c>
      <c r="C3539" s="226">
        <v>514197</v>
      </c>
      <c r="D3539" s="225" t="s">
        <v>597</v>
      </c>
      <c r="E3539" s="225" t="s">
        <v>612</v>
      </c>
    </row>
    <row r="3540" spans="2:5" ht="15.75" thickBot="1">
      <c r="B3540" s="225" t="s">
        <v>5732</v>
      </c>
      <c r="C3540" s="226">
        <v>540081</v>
      </c>
      <c r="D3540" s="225" t="s">
        <v>5733</v>
      </c>
      <c r="E3540" s="225" t="s">
        <v>1121</v>
      </c>
    </row>
    <row r="3541" spans="2:5" ht="15.75" thickBot="1">
      <c r="B3541" s="225" t="s">
        <v>5734</v>
      </c>
      <c r="C3541" s="226">
        <v>539112</v>
      </c>
      <c r="D3541" s="225" t="s">
        <v>597</v>
      </c>
      <c r="E3541" s="225" t="s">
        <v>683</v>
      </c>
    </row>
    <row r="3542" spans="2:5" ht="15.75" thickBot="1">
      <c r="B3542" s="225" t="s">
        <v>5735</v>
      </c>
      <c r="C3542" s="226">
        <v>530267</v>
      </c>
      <c r="D3542" s="225" t="s">
        <v>597</v>
      </c>
      <c r="E3542" s="225" t="s">
        <v>605</v>
      </c>
    </row>
    <row r="3543" spans="2:5" ht="15.75" thickBot="1">
      <c r="B3543" s="225" t="s">
        <v>5736</v>
      </c>
      <c r="C3543" s="226">
        <v>530461</v>
      </c>
      <c r="D3543" s="225" t="s">
        <v>597</v>
      </c>
      <c r="E3543" s="225" t="s">
        <v>677</v>
      </c>
    </row>
    <row r="3544" spans="2:5" ht="15.75" thickBot="1">
      <c r="B3544" s="225" t="s">
        <v>5737</v>
      </c>
      <c r="C3544" s="226">
        <v>540132</v>
      </c>
      <c r="D3544" s="225" t="s">
        <v>597</v>
      </c>
      <c r="E3544" s="225" t="s">
        <v>619</v>
      </c>
    </row>
    <row r="3545" spans="2:5" ht="15.75" thickBot="1">
      <c r="B3545" s="225" t="s">
        <v>5738</v>
      </c>
      <c r="C3545" s="226">
        <v>540132</v>
      </c>
      <c r="D3545" s="225" t="s">
        <v>597</v>
      </c>
      <c r="E3545" s="225" t="s">
        <v>619</v>
      </c>
    </row>
    <row r="3546" spans="2:5" ht="15.75" thickBot="1">
      <c r="B3546" s="225" t="s">
        <v>5739</v>
      </c>
      <c r="C3546" s="226">
        <v>531869</v>
      </c>
      <c r="D3546" s="225" t="s">
        <v>597</v>
      </c>
      <c r="E3546" s="225" t="s">
        <v>902</v>
      </c>
    </row>
    <row r="3547" spans="2:5" ht="15.75" thickBot="1">
      <c r="B3547" s="225" t="s">
        <v>5740</v>
      </c>
      <c r="C3547" s="226">
        <v>532710</v>
      </c>
      <c r="D3547" s="225" t="s">
        <v>5741</v>
      </c>
      <c r="E3547" s="225" t="s">
        <v>995</v>
      </c>
    </row>
    <row r="3548" spans="2:5" ht="15.75" thickBot="1">
      <c r="B3548" s="225" t="s">
        <v>5742</v>
      </c>
      <c r="C3548" s="226">
        <v>539346</v>
      </c>
      <c r="D3548" s="225" t="s">
        <v>5743</v>
      </c>
      <c r="E3548" s="225" t="s">
        <v>1192</v>
      </c>
    </row>
    <row r="3549" spans="2:5" ht="15.75" thickBot="1">
      <c r="B3549" s="225" t="s">
        <v>5744</v>
      </c>
      <c r="C3549" s="226">
        <v>506642</v>
      </c>
      <c r="D3549" s="225" t="s">
        <v>597</v>
      </c>
      <c r="E3549" s="225" t="s">
        <v>645</v>
      </c>
    </row>
    <row r="3550" spans="2:5" ht="15.75" thickBot="1">
      <c r="B3550" s="225" t="s">
        <v>5745</v>
      </c>
      <c r="C3550" s="226">
        <v>540821</v>
      </c>
      <c r="D3550" s="225" t="s">
        <v>597</v>
      </c>
      <c r="E3550" s="225" t="s">
        <v>1336</v>
      </c>
    </row>
    <row r="3551" spans="2:5" ht="15.75" thickBot="1">
      <c r="B3551" s="225" t="s">
        <v>5746</v>
      </c>
      <c r="C3551" s="226">
        <v>532034</v>
      </c>
      <c r="D3551" s="225" t="s">
        <v>597</v>
      </c>
      <c r="E3551" s="225" t="s">
        <v>779</v>
      </c>
    </row>
    <row r="3552" spans="2:5" ht="15.75" thickBot="1">
      <c r="B3552" s="225" t="s">
        <v>5747</v>
      </c>
      <c r="C3552" s="226">
        <v>531448</v>
      </c>
      <c r="D3552" s="225" t="s">
        <v>597</v>
      </c>
      <c r="E3552" s="225" t="s">
        <v>1018</v>
      </c>
    </row>
    <row r="3553" spans="2:5" ht="15.75" thickBot="1">
      <c r="B3553" s="225" t="s">
        <v>5748</v>
      </c>
      <c r="C3553" s="226">
        <v>523025</v>
      </c>
      <c r="D3553" s="225" t="s">
        <v>597</v>
      </c>
      <c r="E3553" s="225" t="s">
        <v>711</v>
      </c>
    </row>
    <row r="3554" spans="2:5" ht="15.75" thickBot="1">
      <c r="B3554" s="225" t="s">
        <v>5749</v>
      </c>
      <c r="C3554" s="226">
        <v>523025</v>
      </c>
      <c r="D3554" s="225" t="s">
        <v>597</v>
      </c>
      <c r="E3554" s="225" t="s">
        <v>711</v>
      </c>
    </row>
    <row r="3555" spans="2:5" ht="15.75" thickBot="1">
      <c r="B3555" s="225" t="s">
        <v>5750</v>
      </c>
      <c r="C3555" s="226">
        <v>502090</v>
      </c>
      <c r="D3555" s="225" t="s">
        <v>5751</v>
      </c>
      <c r="E3555" s="225" t="s">
        <v>610</v>
      </c>
    </row>
    <row r="3556" spans="2:5" ht="15.75" thickBot="1">
      <c r="B3556" s="225" t="s">
        <v>5752</v>
      </c>
      <c r="C3556" s="226">
        <v>540715</v>
      </c>
      <c r="D3556" s="225" t="s">
        <v>597</v>
      </c>
      <c r="E3556" s="225" t="s">
        <v>711</v>
      </c>
    </row>
    <row r="3557" spans="2:5" ht="15.75" thickBot="1">
      <c r="B3557" s="225" t="s">
        <v>5753</v>
      </c>
      <c r="C3557" s="226">
        <v>532092</v>
      </c>
      <c r="D3557" s="225" t="s">
        <v>597</v>
      </c>
      <c r="E3557" s="225" t="s">
        <v>614</v>
      </c>
    </row>
    <row r="3558" spans="2:5" ht="15.75" thickBot="1">
      <c r="B3558" s="225" t="s">
        <v>5754</v>
      </c>
      <c r="C3558" s="226">
        <v>507663</v>
      </c>
      <c r="D3558" s="225" t="s">
        <v>597</v>
      </c>
      <c r="E3558" s="225" t="s">
        <v>846</v>
      </c>
    </row>
    <row r="3559" spans="2:5" ht="15.75" thickBot="1">
      <c r="B3559" s="225" t="s">
        <v>5755</v>
      </c>
      <c r="C3559" s="226">
        <v>511254</v>
      </c>
      <c r="D3559" s="225" t="s">
        <v>597</v>
      </c>
      <c r="E3559" s="225" t="s">
        <v>614</v>
      </c>
    </row>
    <row r="3560" spans="2:5" ht="15.75" thickBot="1">
      <c r="B3560" s="225" t="s">
        <v>5756</v>
      </c>
      <c r="C3560" s="226">
        <v>526085</v>
      </c>
      <c r="D3560" s="225" t="s">
        <v>597</v>
      </c>
      <c r="E3560" s="225" t="s">
        <v>798</v>
      </c>
    </row>
    <row r="3561" spans="2:5" ht="15.75" thickBot="1">
      <c r="B3561" s="225" t="s">
        <v>5757</v>
      </c>
      <c r="C3561" s="225" t="s">
        <v>597</v>
      </c>
      <c r="D3561" s="225" t="s">
        <v>5758</v>
      </c>
      <c r="E3561" s="225" t="s">
        <v>608</v>
      </c>
    </row>
    <row r="3562" spans="2:5" ht="15.75" thickBot="1">
      <c r="B3562" s="225" t="s">
        <v>5759</v>
      </c>
      <c r="C3562" s="226">
        <v>540143</v>
      </c>
      <c r="D3562" s="225" t="s">
        <v>597</v>
      </c>
      <c r="E3562" s="225" t="s">
        <v>583</v>
      </c>
    </row>
    <row r="3563" spans="2:5" ht="15.75" thickBot="1">
      <c r="B3563" s="225" t="s">
        <v>5760</v>
      </c>
      <c r="C3563" s="226">
        <v>540143</v>
      </c>
      <c r="D3563" s="225" t="s">
        <v>597</v>
      </c>
      <c r="E3563" s="225" t="s">
        <v>583</v>
      </c>
    </row>
    <row r="3564" spans="2:5" ht="15.75" thickBot="1">
      <c r="B3564" s="225" t="s">
        <v>5761</v>
      </c>
      <c r="C3564" s="226">
        <v>511533</v>
      </c>
      <c r="D3564" s="225" t="s">
        <v>597</v>
      </c>
      <c r="E3564" s="225" t="s">
        <v>655</v>
      </c>
    </row>
    <row r="3565" spans="2:5" ht="15.75" thickBot="1">
      <c r="B3565" s="225" t="s">
        <v>5762</v>
      </c>
      <c r="C3565" s="226">
        <v>503691</v>
      </c>
      <c r="D3565" s="225" t="s">
        <v>597</v>
      </c>
      <c r="E3565" s="225" t="s">
        <v>1336</v>
      </c>
    </row>
    <row r="3566" spans="2:5" ht="15.75" thickBot="1">
      <c r="B3566" s="225" t="s">
        <v>5763</v>
      </c>
      <c r="C3566" s="226">
        <v>532841</v>
      </c>
      <c r="D3566" s="225" t="s">
        <v>597</v>
      </c>
      <c r="E3566" s="225" t="s">
        <v>610</v>
      </c>
    </row>
    <row r="3567" spans="2:5" ht="15.75" thickBot="1">
      <c r="B3567" s="225" t="s">
        <v>5764</v>
      </c>
      <c r="C3567" s="226">
        <v>539660</v>
      </c>
      <c r="D3567" s="225" t="s">
        <v>597</v>
      </c>
      <c r="E3567" s="225" t="s">
        <v>580</v>
      </c>
    </row>
    <row r="3568" spans="2:5" ht="15.75" thickBot="1">
      <c r="B3568" s="225" t="s">
        <v>5765</v>
      </c>
      <c r="C3568" s="226">
        <v>538557</v>
      </c>
      <c r="D3568" s="225" t="s">
        <v>597</v>
      </c>
      <c r="E3568" s="225" t="s">
        <v>619</v>
      </c>
    </row>
    <row r="3569" spans="2:5" ht="15.75" thickBot="1">
      <c r="B3569" s="225" t="s">
        <v>5766</v>
      </c>
      <c r="C3569" s="226">
        <v>531931</v>
      </c>
      <c r="D3569" s="225" t="s">
        <v>597</v>
      </c>
      <c r="E3569" s="225" t="s">
        <v>1018</v>
      </c>
    </row>
    <row r="3570" spans="2:5" ht="15.75" thickBot="1">
      <c r="B3570" s="225" t="s">
        <v>5767</v>
      </c>
      <c r="C3570" s="226">
        <v>530905</v>
      </c>
      <c r="D3570" s="225" t="s">
        <v>597</v>
      </c>
      <c r="E3570" s="225" t="s">
        <v>614</v>
      </c>
    </row>
    <row r="3571" spans="2:5" ht="15.75" thickBot="1">
      <c r="B3571" s="225" t="s">
        <v>5768</v>
      </c>
      <c r="C3571" s="226">
        <v>540066</v>
      </c>
      <c r="D3571" s="225" t="s">
        <v>597</v>
      </c>
      <c r="E3571" s="225" t="s">
        <v>952</v>
      </c>
    </row>
    <row r="3572" spans="2:5" ht="15.75" thickBot="1">
      <c r="B3572" s="225" t="s">
        <v>5769</v>
      </c>
      <c r="C3572" s="226">
        <v>530265</v>
      </c>
      <c r="D3572" s="225" t="s">
        <v>597</v>
      </c>
      <c r="E3572" s="225" t="s">
        <v>610</v>
      </c>
    </row>
    <row r="3573" spans="2:5" ht="15.75" thickBot="1">
      <c r="B3573" s="225" t="s">
        <v>5770</v>
      </c>
      <c r="C3573" s="226">
        <v>515043</v>
      </c>
      <c r="D3573" s="225" t="s">
        <v>597</v>
      </c>
      <c r="E3573" s="225" t="s">
        <v>874</v>
      </c>
    </row>
    <row r="3574" spans="2:5" ht="15.75" thickBot="1">
      <c r="B3574" s="225" t="s">
        <v>5771</v>
      </c>
      <c r="C3574" s="226">
        <v>515043</v>
      </c>
      <c r="D3574" s="225" t="s">
        <v>597</v>
      </c>
      <c r="E3574" s="225" t="s">
        <v>874</v>
      </c>
    </row>
    <row r="3575" spans="2:5" ht="15.75" thickBot="1">
      <c r="B3575" s="225" t="s">
        <v>5772</v>
      </c>
      <c r="C3575" s="225" t="s">
        <v>597</v>
      </c>
      <c r="D3575" s="225" t="s">
        <v>5773</v>
      </c>
      <c r="E3575" s="225" t="s">
        <v>608</v>
      </c>
    </row>
    <row r="3576" spans="2:5" ht="15.75" thickBot="1">
      <c r="B3576" s="225" t="s">
        <v>5774</v>
      </c>
      <c r="C3576" s="225" t="s">
        <v>597</v>
      </c>
      <c r="D3576" s="225" t="s">
        <v>5775</v>
      </c>
      <c r="E3576" s="225" t="s">
        <v>608</v>
      </c>
    </row>
    <row r="3577" spans="2:5" ht="15.75" thickBot="1">
      <c r="B3577" s="225" t="s">
        <v>5776</v>
      </c>
      <c r="C3577" s="226">
        <v>590051</v>
      </c>
      <c r="D3577" s="225" t="s">
        <v>5777</v>
      </c>
      <c r="E3577" s="225" t="s">
        <v>690</v>
      </c>
    </row>
    <row r="3578" spans="2:5" ht="15.75" thickBot="1">
      <c r="B3578" s="225" t="s">
        <v>5778</v>
      </c>
      <c r="C3578" s="226">
        <v>511066</v>
      </c>
      <c r="D3578" s="225" t="s">
        <v>597</v>
      </c>
      <c r="E3578" s="225" t="s">
        <v>614</v>
      </c>
    </row>
    <row r="3579" spans="2:5" ht="15.75" thickBot="1">
      <c r="B3579" s="225" t="s">
        <v>5779</v>
      </c>
      <c r="C3579" s="226">
        <v>507315</v>
      </c>
      <c r="D3579" s="225" t="s">
        <v>5780</v>
      </c>
      <c r="E3579" s="225" t="s">
        <v>1296</v>
      </c>
    </row>
    <row r="3580" spans="2:5" ht="15.75" thickBot="1">
      <c r="B3580" s="225" t="s">
        <v>5781</v>
      </c>
      <c r="C3580" s="226">
        <v>532713</v>
      </c>
      <c r="D3580" s="225" t="s">
        <v>5782</v>
      </c>
      <c r="E3580" s="225" t="s">
        <v>619</v>
      </c>
    </row>
    <row r="3581" spans="2:5" ht="15.75" thickBot="1">
      <c r="B3581" s="225" t="s">
        <v>5783</v>
      </c>
      <c r="C3581" s="226">
        <v>540642</v>
      </c>
      <c r="D3581" s="225" t="s">
        <v>5784</v>
      </c>
      <c r="E3581" s="225" t="s">
        <v>995</v>
      </c>
    </row>
    <row r="3582" spans="2:5" ht="15.75" thickBot="1">
      <c r="B3582" s="225" t="s">
        <v>5785</v>
      </c>
      <c r="C3582" s="226">
        <v>540181</v>
      </c>
      <c r="D3582" s="225" t="s">
        <v>597</v>
      </c>
      <c r="E3582" s="225" t="s">
        <v>614</v>
      </c>
    </row>
    <row r="3583" spans="2:5" ht="15.75" thickBot="1">
      <c r="B3583" s="225" t="s">
        <v>5786</v>
      </c>
      <c r="C3583" s="226">
        <v>526554</v>
      </c>
      <c r="D3583" s="225" t="s">
        <v>597</v>
      </c>
      <c r="E3583" s="225" t="s">
        <v>792</v>
      </c>
    </row>
    <row r="3584" spans="2:5" ht="15.75" thickBot="1">
      <c r="B3584" s="225" t="s">
        <v>5787</v>
      </c>
      <c r="C3584" s="226">
        <v>590056</v>
      </c>
      <c r="D3584" s="225" t="s">
        <v>5788</v>
      </c>
      <c r="E3584" s="225" t="s">
        <v>612</v>
      </c>
    </row>
    <row r="3585" spans="2:5" ht="15.75" thickBot="1">
      <c r="B3585" s="225" t="s">
        <v>5789</v>
      </c>
      <c r="C3585" s="226">
        <v>500370</v>
      </c>
      <c r="D3585" s="225" t="s">
        <v>5790</v>
      </c>
      <c r="E3585" s="225" t="s">
        <v>619</v>
      </c>
    </row>
    <row r="3586" spans="2:5" ht="15.75" thickBot="1">
      <c r="B3586" s="225" t="s">
        <v>5791</v>
      </c>
      <c r="C3586" s="226">
        <v>517059</v>
      </c>
      <c r="D3586" s="225" t="s">
        <v>5792</v>
      </c>
      <c r="E3586" s="225" t="s">
        <v>895</v>
      </c>
    </row>
    <row r="3587" spans="2:5" ht="15.75" thickBot="1">
      <c r="B3587" s="225" t="s">
        <v>5793</v>
      </c>
      <c r="C3587" s="226">
        <v>532005</v>
      </c>
      <c r="D3587" s="225" t="s">
        <v>597</v>
      </c>
      <c r="E3587" s="225" t="s">
        <v>782</v>
      </c>
    </row>
    <row r="3588" spans="2:5" ht="15.75" thickBot="1">
      <c r="B3588" s="225" t="s">
        <v>5794</v>
      </c>
      <c r="C3588" s="226">
        <v>521240</v>
      </c>
      <c r="D3588" s="225" t="s">
        <v>597</v>
      </c>
      <c r="E3588" s="225" t="s">
        <v>612</v>
      </c>
    </row>
    <row r="3589" spans="2:5" ht="15.75" thickBot="1">
      <c r="B3589" s="225" t="s">
        <v>5795</v>
      </c>
      <c r="C3589" s="226">
        <v>511630</v>
      </c>
      <c r="D3589" s="225" t="s">
        <v>5796</v>
      </c>
      <c r="E3589" s="225" t="s">
        <v>1121</v>
      </c>
    </row>
    <row r="3590" spans="2:5" ht="15.75" thickBot="1">
      <c r="B3590" s="225" t="s">
        <v>5797</v>
      </c>
      <c r="C3590" s="226">
        <v>520075</v>
      </c>
      <c r="D3590" s="225" t="s">
        <v>597</v>
      </c>
      <c r="E3590" s="225" t="s">
        <v>952</v>
      </c>
    </row>
    <row r="3591" spans="2:5" ht="15.75" thickBot="1">
      <c r="B3591" s="225" t="s">
        <v>5798</v>
      </c>
      <c r="C3591" s="226">
        <v>530617</v>
      </c>
      <c r="D3591" s="225" t="s">
        <v>597</v>
      </c>
      <c r="E3591" s="225" t="s">
        <v>657</v>
      </c>
    </row>
    <row r="3592" spans="2:5" ht="15.75" thickBot="1">
      <c r="B3592" s="225" t="s">
        <v>5799</v>
      </c>
      <c r="C3592" s="226">
        <v>530125</v>
      </c>
      <c r="D3592" s="225" t="s">
        <v>597</v>
      </c>
      <c r="E3592" s="225" t="s">
        <v>635</v>
      </c>
    </row>
    <row r="3593" spans="2:5" ht="15.75" thickBot="1">
      <c r="B3593" s="225" t="s">
        <v>5800</v>
      </c>
      <c r="C3593" s="226">
        <v>500371</v>
      </c>
      <c r="D3593" s="225" t="s">
        <v>597</v>
      </c>
      <c r="E3593" s="225" t="s">
        <v>966</v>
      </c>
    </row>
    <row r="3594" spans="2:5" ht="15.75" thickBot="1">
      <c r="B3594" s="225" t="s">
        <v>5801</v>
      </c>
      <c r="C3594" s="226">
        <v>500371</v>
      </c>
      <c r="D3594" s="225" t="s">
        <v>597</v>
      </c>
      <c r="E3594" s="225" t="s">
        <v>966</v>
      </c>
    </row>
    <row r="3595" spans="2:5" ht="15.75" thickBot="1">
      <c r="B3595" s="225" t="s">
        <v>5802</v>
      </c>
      <c r="C3595" s="226">
        <v>521206</v>
      </c>
      <c r="D3595" s="225" t="s">
        <v>597</v>
      </c>
      <c r="E3595" s="225" t="s">
        <v>711</v>
      </c>
    </row>
    <row r="3596" spans="2:5" ht="15.75" thickBot="1">
      <c r="B3596" s="225" t="s">
        <v>5803</v>
      </c>
      <c r="C3596" s="226">
        <v>530025</v>
      </c>
      <c r="D3596" s="225" t="s">
        <v>597</v>
      </c>
      <c r="E3596" s="225" t="s">
        <v>1018</v>
      </c>
    </row>
    <row r="3597" spans="2:5" ht="15.75" thickBot="1">
      <c r="B3597" s="225" t="s">
        <v>5804</v>
      </c>
      <c r="C3597" s="226">
        <v>780015</v>
      </c>
      <c r="D3597" s="225" t="s">
        <v>597</v>
      </c>
      <c r="E3597" s="225" t="s">
        <v>688</v>
      </c>
    </row>
    <row r="3598" spans="2:5" ht="15.75" thickBot="1">
      <c r="B3598" s="225" t="s">
        <v>5805</v>
      </c>
      <c r="C3598" s="226">
        <v>509423</v>
      </c>
      <c r="D3598" s="225" t="s">
        <v>597</v>
      </c>
      <c r="E3598" s="225" t="s">
        <v>645</v>
      </c>
    </row>
    <row r="3599" spans="2:5" ht="15.75" thickBot="1">
      <c r="B3599" s="225" t="s">
        <v>5806</v>
      </c>
      <c r="C3599" s="226">
        <v>521222</v>
      </c>
      <c r="D3599" s="225" t="s">
        <v>597</v>
      </c>
      <c r="E3599" s="225" t="s">
        <v>711</v>
      </c>
    </row>
    <row r="3600" spans="2:5" ht="15.75" thickBot="1">
      <c r="B3600" s="225" t="s">
        <v>5807</v>
      </c>
      <c r="C3600" s="225" t="s">
        <v>597</v>
      </c>
      <c r="D3600" s="225" t="s">
        <v>5808</v>
      </c>
      <c r="E3600" s="225" t="s">
        <v>688</v>
      </c>
    </row>
    <row r="3601" spans="2:5" ht="15.75" thickBot="1">
      <c r="B3601" s="225" t="s">
        <v>5809</v>
      </c>
      <c r="C3601" s="226">
        <v>523116</v>
      </c>
      <c r="D3601" s="225" t="s">
        <v>597</v>
      </c>
      <c r="E3601" s="225" t="s">
        <v>720</v>
      </c>
    </row>
    <row r="3602" spans="2:5" ht="15.75" thickBot="1">
      <c r="B3602" s="225" t="s">
        <v>5810</v>
      </c>
      <c r="C3602" s="226">
        <v>541163</v>
      </c>
      <c r="D3602" s="225" t="s">
        <v>5811</v>
      </c>
      <c r="E3602" s="225" t="s">
        <v>952</v>
      </c>
    </row>
    <row r="3603" spans="2:5" ht="15.75" thickBot="1">
      <c r="B3603" s="225" t="s">
        <v>5812</v>
      </c>
      <c r="C3603" s="226">
        <v>524703</v>
      </c>
      <c r="D3603" s="225" t="s">
        <v>597</v>
      </c>
      <c r="E3603" s="225" t="s">
        <v>635</v>
      </c>
    </row>
    <row r="3604" spans="2:5" ht="15.75" thickBot="1">
      <c r="B3604" s="225" t="s">
        <v>5813</v>
      </c>
      <c r="C3604" s="226">
        <v>504918</v>
      </c>
      <c r="D3604" s="225" t="s">
        <v>597</v>
      </c>
      <c r="E3604" s="225" t="s">
        <v>577</v>
      </c>
    </row>
    <row r="3605" spans="2:5" ht="15.75" thickBot="1">
      <c r="B3605" s="225" t="s">
        <v>5814</v>
      </c>
      <c r="C3605" s="226">
        <v>539392</v>
      </c>
      <c r="D3605" s="225" t="s">
        <v>597</v>
      </c>
      <c r="E3605" s="225" t="s">
        <v>619</v>
      </c>
    </row>
    <row r="3606" spans="2:5" ht="15.75" thickBot="1">
      <c r="B3606" s="225" t="s">
        <v>5815</v>
      </c>
      <c r="C3606" s="226">
        <v>539392</v>
      </c>
      <c r="D3606" s="225" t="s">
        <v>597</v>
      </c>
      <c r="E3606" s="225" t="s">
        <v>619</v>
      </c>
    </row>
    <row r="3607" spans="2:5" ht="15.75" thickBot="1">
      <c r="B3607" s="225" t="s">
        <v>5816</v>
      </c>
      <c r="C3607" s="226">
        <v>516096</v>
      </c>
      <c r="D3607" s="225" t="s">
        <v>597</v>
      </c>
      <c r="E3607" s="225" t="s">
        <v>591</v>
      </c>
    </row>
    <row r="3608" spans="2:5" ht="15.75" thickBot="1">
      <c r="B3608" s="225" t="s">
        <v>5817</v>
      </c>
      <c r="C3608" s="226">
        <v>514234</v>
      </c>
      <c r="D3608" s="225" t="s">
        <v>5818</v>
      </c>
      <c r="E3608" s="225" t="s">
        <v>612</v>
      </c>
    </row>
    <row r="3609" spans="2:5" ht="15.75" thickBot="1">
      <c r="B3609" s="225" t="s">
        <v>5819</v>
      </c>
      <c r="C3609" s="226">
        <v>514234</v>
      </c>
      <c r="D3609" s="225" t="s">
        <v>5818</v>
      </c>
      <c r="E3609" s="225" t="s">
        <v>612</v>
      </c>
    </row>
    <row r="3610" spans="2:5" ht="15.75" thickBot="1">
      <c r="B3610" s="225" t="s">
        <v>5820</v>
      </c>
      <c r="C3610" s="226">
        <v>534618</v>
      </c>
      <c r="D3610" s="225" t="s">
        <v>597</v>
      </c>
      <c r="E3610" s="225" t="s">
        <v>736</v>
      </c>
    </row>
    <row r="3611" spans="2:5" ht="15.75" thickBot="1">
      <c r="B3611" s="225" t="s">
        <v>5821</v>
      </c>
      <c r="C3611" s="226">
        <v>511640</v>
      </c>
      <c r="D3611" s="225" t="s">
        <v>597</v>
      </c>
      <c r="E3611" s="225" t="s">
        <v>614</v>
      </c>
    </row>
    <row r="3612" spans="2:5" ht="15.75" thickBot="1">
      <c r="B3612" s="225" t="s">
        <v>5822</v>
      </c>
      <c r="C3612" s="226">
        <v>526521</v>
      </c>
      <c r="D3612" s="225" t="s">
        <v>5823</v>
      </c>
      <c r="E3612" s="225" t="s">
        <v>610</v>
      </c>
    </row>
    <row r="3613" spans="2:5" ht="15.75" thickBot="1">
      <c r="B3613" s="225" t="s">
        <v>5824</v>
      </c>
      <c r="C3613" s="226">
        <v>540782</v>
      </c>
      <c r="D3613" s="225" t="s">
        <v>597</v>
      </c>
      <c r="E3613" s="225" t="s">
        <v>798</v>
      </c>
    </row>
    <row r="3614" spans="2:5" ht="15.75" thickBot="1">
      <c r="B3614" s="225" t="s">
        <v>5825</v>
      </c>
      <c r="C3614" s="226">
        <v>533411</v>
      </c>
      <c r="D3614" s="225" t="s">
        <v>5826</v>
      </c>
      <c r="E3614" s="225" t="s">
        <v>1517</v>
      </c>
    </row>
    <row r="3615" spans="2:5" ht="15.75" thickBot="1">
      <c r="B3615" s="225" t="s">
        <v>5827</v>
      </c>
      <c r="C3615" s="226">
        <v>530073</v>
      </c>
      <c r="D3615" s="225" t="s">
        <v>5828</v>
      </c>
      <c r="E3615" s="225" t="s">
        <v>720</v>
      </c>
    </row>
    <row r="3616" spans="2:5" ht="15.75" thickBot="1">
      <c r="B3616" s="225" t="s">
        <v>5829</v>
      </c>
      <c r="C3616" s="225" t="s">
        <v>597</v>
      </c>
      <c r="D3616" s="225" t="s">
        <v>5830</v>
      </c>
      <c r="E3616" s="225" t="s">
        <v>608</v>
      </c>
    </row>
    <row r="3617" spans="2:5" ht="15.75" thickBot="1">
      <c r="B3617" s="225" t="s">
        <v>5831</v>
      </c>
      <c r="C3617" s="226">
        <v>531898</v>
      </c>
      <c r="D3617" s="225" t="s">
        <v>597</v>
      </c>
      <c r="E3617" s="225" t="s">
        <v>600</v>
      </c>
    </row>
    <row r="3618" spans="2:5" ht="15.75" thickBot="1">
      <c r="B3618" s="225" t="s">
        <v>5832</v>
      </c>
      <c r="C3618" s="226">
        <v>531569</v>
      </c>
      <c r="D3618" s="225" t="s">
        <v>597</v>
      </c>
      <c r="E3618" s="225" t="s">
        <v>635</v>
      </c>
    </row>
    <row r="3619" spans="2:5" ht="15.75" thickBot="1">
      <c r="B3619" s="225" t="s">
        <v>5833</v>
      </c>
      <c r="C3619" s="226">
        <v>532972</v>
      </c>
      <c r="D3619" s="225" t="s">
        <v>597</v>
      </c>
      <c r="E3619" s="225" t="s">
        <v>690</v>
      </c>
    </row>
    <row r="3620" spans="2:5" ht="15.75" thickBot="1">
      <c r="B3620" s="225" t="s">
        <v>5834</v>
      </c>
      <c r="C3620" s="226">
        <v>532435</v>
      </c>
      <c r="D3620" s="225" t="s">
        <v>597</v>
      </c>
      <c r="E3620" s="225" t="s">
        <v>683</v>
      </c>
    </row>
    <row r="3621" spans="2:5" ht="15.75" thickBot="1">
      <c r="B3621" s="225" t="s">
        <v>5835</v>
      </c>
      <c r="C3621" s="226">
        <v>512062</v>
      </c>
      <c r="D3621" s="225" t="s">
        <v>597</v>
      </c>
      <c r="E3621" s="225" t="s">
        <v>1018</v>
      </c>
    </row>
    <row r="3622" spans="2:5" ht="15.75" thickBot="1">
      <c r="B3622" s="225" t="s">
        <v>5836</v>
      </c>
      <c r="C3622" s="226">
        <v>500674</v>
      </c>
      <c r="D3622" s="225" t="s">
        <v>5837</v>
      </c>
      <c r="E3622" s="225" t="s">
        <v>635</v>
      </c>
    </row>
    <row r="3623" spans="2:5" ht="15.75" thickBot="1">
      <c r="B3623" s="225" t="s">
        <v>5838</v>
      </c>
      <c r="C3623" s="226">
        <v>500674</v>
      </c>
      <c r="D3623" s="225" t="s">
        <v>5837</v>
      </c>
      <c r="E3623" s="225" t="s">
        <v>635</v>
      </c>
    </row>
    <row r="3624" spans="2:5" ht="15.75" thickBot="1">
      <c r="B3624" s="225" t="s">
        <v>5839</v>
      </c>
      <c r="C3624" s="226">
        <v>514280</v>
      </c>
      <c r="D3624" s="225" t="s">
        <v>597</v>
      </c>
      <c r="E3624" s="225" t="s">
        <v>612</v>
      </c>
    </row>
    <row r="3625" spans="2:5" ht="15.75" thickBot="1">
      <c r="B3625" s="225" t="s">
        <v>5840</v>
      </c>
      <c r="C3625" s="226">
        <v>530035</v>
      </c>
      <c r="D3625" s="225" t="s">
        <v>597</v>
      </c>
      <c r="E3625" s="225" t="s">
        <v>612</v>
      </c>
    </row>
    <row r="3626" spans="2:5" ht="15.75" thickBot="1">
      <c r="B3626" s="225" t="s">
        <v>5841</v>
      </c>
      <c r="C3626" s="226">
        <v>540822</v>
      </c>
      <c r="D3626" s="225" t="s">
        <v>597</v>
      </c>
      <c r="E3626" s="225" t="s">
        <v>614</v>
      </c>
    </row>
    <row r="3627" spans="2:5" ht="15.75" thickBot="1">
      <c r="B3627" s="225" t="s">
        <v>5842</v>
      </c>
      <c r="C3627" s="226">
        <v>519260</v>
      </c>
      <c r="D3627" s="225" t="s">
        <v>5843</v>
      </c>
      <c r="E3627" s="225" t="s">
        <v>846</v>
      </c>
    </row>
    <row r="3628" spans="2:5" ht="15.75" thickBot="1">
      <c r="B3628" s="225" t="s">
        <v>5844</v>
      </c>
      <c r="C3628" s="226">
        <v>506906</v>
      </c>
      <c r="D3628" s="225" t="s">
        <v>597</v>
      </c>
      <c r="E3628" s="225" t="s">
        <v>619</v>
      </c>
    </row>
    <row r="3629" spans="2:5" ht="15.75" thickBot="1">
      <c r="B3629" s="225" t="s">
        <v>5845</v>
      </c>
      <c r="C3629" s="226">
        <v>519238</v>
      </c>
      <c r="D3629" s="225" t="s">
        <v>597</v>
      </c>
      <c r="E3629" s="225" t="s">
        <v>795</v>
      </c>
    </row>
    <row r="3630" spans="2:5" ht="15.75" thickBot="1">
      <c r="B3630" s="225" t="s">
        <v>5846</v>
      </c>
      <c r="C3630" s="226">
        <v>538992</v>
      </c>
      <c r="D3630" s="225" t="s">
        <v>597</v>
      </c>
      <c r="E3630" s="225" t="s">
        <v>952</v>
      </c>
    </row>
    <row r="3631" spans="2:5" ht="15.75" thickBot="1">
      <c r="B3631" s="225" t="s">
        <v>5847</v>
      </c>
      <c r="C3631" s="226">
        <v>512020</v>
      </c>
      <c r="D3631" s="225" t="s">
        <v>597</v>
      </c>
      <c r="E3631" s="225" t="s">
        <v>614</v>
      </c>
    </row>
    <row r="3632" spans="2:5" ht="15.75" thickBot="1">
      <c r="B3632" s="225" t="s">
        <v>5848</v>
      </c>
      <c r="C3632" s="226">
        <v>512020</v>
      </c>
      <c r="D3632" s="225" t="s">
        <v>597</v>
      </c>
      <c r="E3632" s="225" t="s">
        <v>614</v>
      </c>
    </row>
    <row r="3633" spans="2:5" ht="15.75" thickBot="1">
      <c r="B3633" s="225" t="s">
        <v>5849</v>
      </c>
      <c r="C3633" s="226">
        <v>504614</v>
      </c>
      <c r="D3633" s="225" t="s">
        <v>5850</v>
      </c>
      <c r="E3633" s="225" t="s">
        <v>629</v>
      </c>
    </row>
    <row r="3634" spans="2:5" ht="15.75" thickBot="1">
      <c r="B3634" s="225" t="s">
        <v>5851</v>
      </c>
      <c r="C3634" s="226">
        <v>516032</v>
      </c>
      <c r="D3634" s="225" t="s">
        <v>597</v>
      </c>
      <c r="E3634" s="225" t="s">
        <v>591</v>
      </c>
    </row>
    <row r="3635" spans="2:5" ht="15.75" thickBot="1">
      <c r="B3635" s="225" t="s">
        <v>5852</v>
      </c>
      <c r="C3635" s="226">
        <v>516003</v>
      </c>
      <c r="D3635" s="225" t="s">
        <v>597</v>
      </c>
      <c r="E3635" s="225" t="s">
        <v>1092</v>
      </c>
    </row>
    <row r="3636" spans="2:5" ht="15.75" thickBot="1">
      <c r="B3636" s="225" t="s">
        <v>5853</v>
      </c>
      <c r="C3636" s="226">
        <v>519242</v>
      </c>
      <c r="D3636" s="225" t="s">
        <v>597</v>
      </c>
      <c r="E3636" s="225" t="s">
        <v>846</v>
      </c>
    </row>
    <row r="3637" spans="2:5" ht="15.75" thickBot="1">
      <c r="B3637" s="225" t="s">
        <v>5854</v>
      </c>
      <c r="C3637" s="226">
        <v>532163</v>
      </c>
      <c r="D3637" s="225" t="s">
        <v>5855</v>
      </c>
      <c r="E3637" s="225" t="s">
        <v>600</v>
      </c>
    </row>
    <row r="3638" spans="2:5" ht="15.75" thickBot="1">
      <c r="B3638" s="225" t="s">
        <v>5856</v>
      </c>
      <c r="C3638" s="226">
        <v>532163</v>
      </c>
      <c r="D3638" s="225" t="s">
        <v>5855</v>
      </c>
      <c r="E3638" s="225" t="s">
        <v>600</v>
      </c>
    </row>
    <row r="3639" spans="2:5" ht="15.75" thickBot="1">
      <c r="B3639" s="225" t="s">
        <v>5857</v>
      </c>
      <c r="C3639" s="226">
        <v>526885</v>
      </c>
      <c r="D3639" s="225" t="s">
        <v>5858</v>
      </c>
      <c r="E3639" s="225" t="s">
        <v>612</v>
      </c>
    </row>
    <row r="3640" spans="2:5" ht="15.75" thickBot="1">
      <c r="B3640" s="225" t="s">
        <v>5859</v>
      </c>
      <c r="C3640" s="226">
        <v>530993</v>
      </c>
      <c r="D3640" s="225" t="s">
        <v>597</v>
      </c>
      <c r="E3640" s="225" t="s">
        <v>619</v>
      </c>
    </row>
    <row r="3641" spans="2:5" ht="15.75" thickBot="1">
      <c r="B3641" s="225" t="s">
        <v>5860</v>
      </c>
      <c r="C3641" s="226">
        <v>531930</v>
      </c>
      <c r="D3641" s="225" t="s">
        <v>597</v>
      </c>
      <c r="E3641" s="225" t="s">
        <v>1517</v>
      </c>
    </row>
    <row r="3642" spans="2:5" ht="15.75" thickBot="1">
      <c r="B3642" s="225" t="s">
        <v>5861</v>
      </c>
      <c r="C3642" s="226">
        <v>540393</v>
      </c>
      <c r="D3642" s="225" t="s">
        <v>597</v>
      </c>
      <c r="E3642" s="225" t="s">
        <v>920</v>
      </c>
    </row>
    <row r="3643" spans="2:5" ht="15.75" thickBot="1">
      <c r="B3643" s="225" t="s">
        <v>5862</v>
      </c>
      <c r="C3643" s="226">
        <v>514412</v>
      </c>
      <c r="D3643" s="225" t="s">
        <v>597</v>
      </c>
      <c r="E3643" s="225" t="s">
        <v>711</v>
      </c>
    </row>
    <row r="3644" spans="2:5" ht="15.75" thickBot="1">
      <c r="B3644" s="225" t="s">
        <v>5863</v>
      </c>
      <c r="C3644" s="226">
        <v>506190</v>
      </c>
      <c r="D3644" s="225" t="s">
        <v>597</v>
      </c>
      <c r="E3644" s="225" t="s">
        <v>1018</v>
      </c>
    </row>
    <row r="3645" spans="2:5" ht="15.75" thickBot="1">
      <c r="B3645" s="225" t="s">
        <v>5864</v>
      </c>
      <c r="C3645" s="225" t="s">
        <v>597</v>
      </c>
      <c r="D3645" s="225" t="s">
        <v>5865</v>
      </c>
      <c r="E3645" s="225" t="s">
        <v>608</v>
      </c>
    </row>
    <row r="3646" spans="2:5" ht="15.75" thickBot="1">
      <c r="B3646" s="225" t="s">
        <v>5866</v>
      </c>
      <c r="C3646" s="226">
        <v>539124</v>
      </c>
      <c r="D3646" s="225" t="s">
        <v>597</v>
      </c>
      <c r="E3646" s="225" t="s">
        <v>614</v>
      </c>
    </row>
    <row r="3647" spans="2:5" ht="15.75" thickBot="1">
      <c r="B3647" s="225" t="s">
        <v>5867</v>
      </c>
      <c r="C3647" s="226">
        <v>506313</v>
      </c>
      <c r="D3647" s="225" t="s">
        <v>597</v>
      </c>
      <c r="E3647" s="225" t="s">
        <v>1125</v>
      </c>
    </row>
    <row r="3648" spans="2:5" ht="15.75" thickBot="1">
      <c r="B3648" s="225" t="s">
        <v>5868</v>
      </c>
      <c r="C3648" s="226">
        <v>532663</v>
      </c>
      <c r="D3648" s="225" t="s">
        <v>5869</v>
      </c>
      <c r="E3648" s="225" t="s">
        <v>583</v>
      </c>
    </row>
    <row r="3649" spans="2:5" ht="15.75" thickBot="1">
      <c r="B3649" s="225" t="s">
        <v>5870</v>
      </c>
      <c r="C3649" s="226">
        <v>533259</v>
      </c>
      <c r="D3649" s="225" t="s">
        <v>5871</v>
      </c>
      <c r="E3649" s="225" t="s">
        <v>786</v>
      </c>
    </row>
    <row r="3650" spans="2:5" ht="15.75" thickBot="1">
      <c r="B3650" s="225" t="s">
        <v>5872</v>
      </c>
      <c r="C3650" s="226">
        <v>511076</v>
      </c>
      <c r="D3650" s="225" t="s">
        <v>597</v>
      </c>
      <c r="E3650" s="225" t="s">
        <v>619</v>
      </c>
    </row>
    <row r="3651" spans="2:5" ht="15.75" thickBot="1">
      <c r="B3651" s="225" t="s">
        <v>5873</v>
      </c>
      <c r="C3651" s="226">
        <v>526093</v>
      </c>
      <c r="D3651" s="225" t="s">
        <v>5874</v>
      </c>
      <c r="E3651" s="225" t="s">
        <v>629</v>
      </c>
    </row>
    <row r="3652" spans="2:5" ht="15.75" thickBot="1">
      <c r="B3652" s="225" t="s">
        <v>5875</v>
      </c>
      <c r="C3652" s="226">
        <v>539201</v>
      </c>
      <c r="D3652" s="225" t="s">
        <v>597</v>
      </c>
      <c r="E3652" s="225" t="s">
        <v>591</v>
      </c>
    </row>
    <row r="3653" spans="2:5" ht="15.75" thickBot="1">
      <c r="B3653" s="225" t="s">
        <v>5876</v>
      </c>
      <c r="C3653" s="226">
        <v>539404</v>
      </c>
      <c r="D3653" s="225" t="s">
        <v>5877</v>
      </c>
      <c r="E3653" s="225" t="s">
        <v>614</v>
      </c>
    </row>
    <row r="3654" spans="2:5" ht="15.75" thickBot="1">
      <c r="B3654" s="225" t="s">
        <v>5878</v>
      </c>
      <c r="C3654" s="226">
        <v>536592</v>
      </c>
      <c r="D3654" s="225" t="s">
        <v>597</v>
      </c>
      <c r="E3654" s="225" t="s">
        <v>614</v>
      </c>
    </row>
    <row r="3655" spans="2:5" ht="15.75" thickBot="1">
      <c r="B3655" s="225" t="s">
        <v>5879</v>
      </c>
      <c r="C3655" s="226">
        <v>508996</v>
      </c>
      <c r="D3655" s="225" t="s">
        <v>5880</v>
      </c>
      <c r="E3655" s="225" t="s">
        <v>683</v>
      </c>
    </row>
    <row r="3656" spans="2:5" ht="15.75" thickBot="1">
      <c r="B3656" s="225" t="s">
        <v>5881</v>
      </c>
      <c r="C3656" s="226">
        <v>503893</v>
      </c>
      <c r="D3656" s="225" t="s">
        <v>597</v>
      </c>
      <c r="E3656" s="225" t="s">
        <v>580</v>
      </c>
    </row>
    <row r="3657" spans="2:5" ht="15.75" thickBot="1">
      <c r="B3657" s="225" t="s">
        <v>5882</v>
      </c>
      <c r="C3657" s="226">
        <v>539218</v>
      </c>
      <c r="D3657" s="225" t="s">
        <v>597</v>
      </c>
      <c r="E3657" s="225" t="s">
        <v>614</v>
      </c>
    </row>
    <row r="3658" spans="2:5" ht="15.75" thickBot="1">
      <c r="B3658" s="225" t="s">
        <v>5883</v>
      </c>
      <c r="C3658" s="226">
        <v>502175</v>
      </c>
      <c r="D3658" s="225" t="s">
        <v>597</v>
      </c>
      <c r="E3658" s="225" t="s">
        <v>610</v>
      </c>
    </row>
    <row r="3659" spans="2:5" ht="15.75" thickBot="1">
      <c r="B3659" s="225" t="s">
        <v>5884</v>
      </c>
      <c r="C3659" s="226">
        <v>511577</v>
      </c>
      <c r="D3659" s="225" t="s">
        <v>597</v>
      </c>
      <c r="E3659" s="225" t="s">
        <v>614</v>
      </c>
    </row>
    <row r="3660" spans="2:5" ht="15.75" thickBot="1">
      <c r="B3660" s="225" t="s">
        <v>5885</v>
      </c>
      <c r="C3660" s="226">
        <v>517320</v>
      </c>
      <c r="D3660" s="225" t="s">
        <v>597</v>
      </c>
      <c r="E3660" s="225" t="s">
        <v>895</v>
      </c>
    </row>
    <row r="3661" spans="2:5" ht="15.75" thickBot="1">
      <c r="B3661" s="225" t="s">
        <v>5886</v>
      </c>
      <c r="C3661" s="226">
        <v>532404</v>
      </c>
      <c r="D3661" s="225" t="s">
        <v>597</v>
      </c>
      <c r="E3661" s="225" t="s">
        <v>690</v>
      </c>
    </row>
    <row r="3662" spans="2:5" ht="15.75" thickBot="1">
      <c r="B3662" s="225" t="s">
        <v>5887</v>
      </c>
      <c r="C3662" s="226">
        <v>512634</v>
      </c>
      <c r="D3662" s="225" t="s">
        <v>597</v>
      </c>
      <c r="E3662" s="225" t="s">
        <v>798</v>
      </c>
    </row>
    <row r="3663" spans="2:5" ht="15.75" thickBot="1">
      <c r="B3663" s="225" t="s">
        <v>5888</v>
      </c>
      <c r="C3663" s="226">
        <v>524667</v>
      </c>
      <c r="D3663" s="225" t="s">
        <v>5889</v>
      </c>
      <c r="E3663" s="225" t="s">
        <v>1526</v>
      </c>
    </row>
    <row r="3664" spans="2:5" ht="15.75" thickBot="1">
      <c r="B3664" s="225" t="s">
        <v>5890</v>
      </c>
      <c r="C3664" s="226">
        <v>531893</v>
      </c>
      <c r="D3664" s="225" t="s">
        <v>597</v>
      </c>
      <c r="E3664" s="225" t="s">
        <v>1018</v>
      </c>
    </row>
    <row r="3665" spans="2:5" ht="15.75" thickBot="1">
      <c r="B3665" s="225" t="s">
        <v>5891</v>
      </c>
      <c r="C3665" s="226">
        <v>523710</v>
      </c>
      <c r="D3665" s="225" t="s">
        <v>597</v>
      </c>
      <c r="E3665" s="225" t="s">
        <v>798</v>
      </c>
    </row>
    <row r="3666" spans="2:5" ht="15.75" thickBot="1">
      <c r="B3666" s="225" t="s">
        <v>5892</v>
      </c>
      <c r="C3666" s="226">
        <v>540728</v>
      </c>
      <c r="D3666" s="225" t="s">
        <v>597</v>
      </c>
      <c r="E3666" s="225" t="s">
        <v>586</v>
      </c>
    </row>
    <row r="3667" spans="2:5" ht="15.75" thickBot="1">
      <c r="B3667" s="225" t="s">
        <v>5893</v>
      </c>
      <c r="C3667" s="226">
        <v>532102</v>
      </c>
      <c r="D3667" s="225" t="s">
        <v>597</v>
      </c>
      <c r="E3667" s="225" t="s">
        <v>1296</v>
      </c>
    </row>
    <row r="3668" spans="2:5" ht="15.75" thickBot="1">
      <c r="B3668" s="225" t="s">
        <v>5894</v>
      </c>
      <c r="C3668" s="226">
        <v>540719</v>
      </c>
      <c r="D3668" s="225" t="s">
        <v>5895</v>
      </c>
      <c r="E3668" s="225" t="s">
        <v>3009</v>
      </c>
    </row>
    <row r="3669" spans="2:5" ht="15.75" thickBot="1">
      <c r="B3669" s="225" t="s">
        <v>5896</v>
      </c>
      <c r="C3669" s="226">
        <v>590098</v>
      </c>
      <c r="D3669" s="225" t="s">
        <v>5897</v>
      </c>
      <c r="E3669" s="225" t="s">
        <v>580</v>
      </c>
    </row>
    <row r="3670" spans="2:5" ht="15.75" thickBot="1">
      <c r="B3670" s="225" t="s">
        <v>5898</v>
      </c>
      <c r="C3670" s="226">
        <v>526081</v>
      </c>
      <c r="D3670" s="225" t="s">
        <v>5899</v>
      </c>
      <c r="E3670" s="225" t="s">
        <v>657</v>
      </c>
    </row>
    <row r="3671" spans="2:5" ht="15.75" thickBot="1">
      <c r="B3671" s="225" t="s">
        <v>5900</v>
      </c>
      <c r="C3671" s="226">
        <v>531797</v>
      </c>
      <c r="D3671" s="225" t="s">
        <v>597</v>
      </c>
      <c r="E3671" s="225" t="s">
        <v>610</v>
      </c>
    </row>
    <row r="3672" spans="2:5" ht="15.75" thickBot="1">
      <c r="B3672" s="225" t="s">
        <v>5901</v>
      </c>
      <c r="C3672" s="226">
        <v>511672</v>
      </c>
      <c r="D3672" s="225" t="s">
        <v>597</v>
      </c>
      <c r="E3672" s="225" t="s">
        <v>629</v>
      </c>
    </row>
    <row r="3673" spans="2:5" ht="15.75" thickBot="1">
      <c r="B3673" s="225" t="s">
        <v>5902</v>
      </c>
      <c r="C3673" s="226">
        <v>516110</v>
      </c>
      <c r="D3673" s="225" t="s">
        <v>5903</v>
      </c>
      <c r="E3673" s="225" t="s">
        <v>786</v>
      </c>
    </row>
    <row r="3674" spans="2:5" ht="15.75" thickBot="1">
      <c r="B3674" s="225" t="s">
        <v>5904</v>
      </c>
      <c r="C3674" s="226">
        <v>526544</v>
      </c>
      <c r="D3674" s="225" t="s">
        <v>597</v>
      </c>
      <c r="E3674" s="225" t="s">
        <v>603</v>
      </c>
    </row>
    <row r="3675" spans="2:5" ht="15.75" thickBot="1">
      <c r="B3675" s="225" t="s">
        <v>5905</v>
      </c>
      <c r="C3675" s="226">
        <v>507894</v>
      </c>
      <c r="D3675" s="225" t="s">
        <v>597</v>
      </c>
      <c r="E3675" s="225" t="s">
        <v>874</v>
      </c>
    </row>
    <row r="3676" spans="2:5" ht="15.75" thickBot="1">
      <c r="B3676" s="225" t="s">
        <v>5906</v>
      </c>
      <c r="C3676" s="226">
        <v>507894</v>
      </c>
      <c r="D3676" s="225" t="s">
        <v>597</v>
      </c>
      <c r="E3676" s="225" t="s">
        <v>874</v>
      </c>
    </row>
    <row r="3677" spans="2:5" ht="15.75" thickBot="1">
      <c r="B3677" s="225" t="s">
        <v>5907</v>
      </c>
      <c r="C3677" s="226">
        <v>505790</v>
      </c>
      <c r="D3677" s="225" t="s">
        <v>5908</v>
      </c>
      <c r="E3677" s="225" t="s">
        <v>605</v>
      </c>
    </row>
    <row r="3678" spans="2:5" ht="15.75" thickBot="1">
      <c r="B3678" s="225" t="s">
        <v>5909</v>
      </c>
      <c r="C3678" s="226">
        <v>505790</v>
      </c>
      <c r="D3678" s="225" t="s">
        <v>5908</v>
      </c>
      <c r="E3678" s="225" t="s">
        <v>605</v>
      </c>
    </row>
    <row r="3679" spans="2:5" ht="15.75" thickBot="1">
      <c r="B3679" s="225" t="s">
        <v>5910</v>
      </c>
      <c r="C3679" s="226">
        <v>534139</v>
      </c>
      <c r="D3679" s="225" t="s">
        <v>5911</v>
      </c>
      <c r="E3679" s="225" t="s">
        <v>640</v>
      </c>
    </row>
    <row r="3680" spans="2:5" ht="15.75" thickBot="1">
      <c r="B3680" s="225" t="s">
        <v>5912</v>
      </c>
      <c r="C3680" s="226">
        <v>538857</v>
      </c>
      <c r="D3680" s="225" t="s">
        <v>597</v>
      </c>
      <c r="E3680" s="225" t="s">
        <v>614</v>
      </c>
    </row>
    <row r="3681" spans="2:5" ht="15.75" thickBot="1">
      <c r="B3681" s="225" t="s">
        <v>5913</v>
      </c>
      <c r="C3681" s="226">
        <v>505141</v>
      </c>
      <c r="D3681" s="225" t="s">
        <v>597</v>
      </c>
      <c r="E3681" s="225" t="s">
        <v>1255</v>
      </c>
    </row>
    <row r="3682" spans="2:5" ht="15.75" thickBot="1">
      <c r="B3682" s="225" t="s">
        <v>5914</v>
      </c>
      <c r="C3682" s="226">
        <v>505141</v>
      </c>
      <c r="D3682" s="225" t="s">
        <v>597</v>
      </c>
      <c r="E3682" s="225" t="s">
        <v>1255</v>
      </c>
    </row>
    <row r="3683" spans="2:5" ht="15.75" thickBot="1">
      <c r="B3683" s="225" t="s">
        <v>5915</v>
      </c>
      <c r="C3683" s="226">
        <v>530361</v>
      </c>
      <c r="D3683" s="225" t="s">
        <v>597</v>
      </c>
      <c r="E3683" s="225" t="s">
        <v>657</v>
      </c>
    </row>
    <row r="3684" spans="2:5" ht="15.75" thickBot="1">
      <c r="B3684" s="225" t="s">
        <v>5916</v>
      </c>
      <c r="C3684" s="226">
        <v>533268</v>
      </c>
      <c r="D3684" s="225" t="s">
        <v>597</v>
      </c>
      <c r="E3684" s="225" t="s">
        <v>1336</v>
      </c>
    </row>
    <row r="3685" spans="2:5" ht="15.75" thickBot="1">
      <c r="B3685" s="225" t="s">
        <v>5917</v>
      </c>
      <c r="C3685" s="226">
        <v>526807</v>
      </c>
      <c r="D3685" s="225" t="s">
        <v>5918</v>
      </c>
      <c r="E3685" s="225" t="s">
        <v>1844</v>
      </c>
    </row>
    <row r="3686" spans="2:5" ht="15.75" thickBot="1">
      <c r="B3686" s="225" t="s">
        <v>5919</v>
      </c>
      <c r="C3686" s="226">
        <v>521182</v>
      </c>
      <c r="D3686" s="225" t="s">
        <v>597</v>
      </c>
      <c r="E3686" s="225" t="s">
        <v>619</v>
      </c>
    </row>
    <row r="3687" spans="2:5" ht="15.75" thickBot="1">
      <c r="B3687" s="225" t="s">
        <v>5920</v>
      </c>
      <c r="C3687" s="226">
        <v>514264</v>
      </c>
      <c r="D3687" s="225" t="s">
        <v>597</v>
      </c>
      <c r="E3687" s="225" t="s">
        <v>612</v>
      </c>
    </row>
    <row r="3688" spans="2:5" ht="15.75" thickBot="1">
      <c r="B3688" s="225" t="s">
        <v>5921</v>
      </c>
      <c r="C3688" s="225" t="s">
        <v>597</v>
      </c>
      <c r="D3688" s="225" t="s">
        <v>5922</v>
      </c>
      <c r="E3688" s="225" t="s">
        <v>608</v>
      </c>
    </row>
    <row r="3689" spans="2:5" ht="15.75" thickBot="1">
      <c r="B3689" s="225" t="s">
        <v>5923</v>
      </c>
      <c r="C3689" s="226">
        <v>540673</v>
      </c>
      <c r="D3689" s="225" t="s">
        <v>5924</v>
      </c>
      <c r="E3689" s="225" t="s">
        <v>3377</v>
      </c>
    </row>
    <row r="3690" spans="2:5" ht="15.75" thickBot="1">
      <c r="B3690" s="225" t="s">
        <v>5925</v>
      </c>
      <c r="C3690" s="226">
        <v>540673</v>
      </c>
      <c r="D3690" s="225" t="s">
        <v>5924</v>
      </c>
      <c r="E3690" s="225" t="s">
        <v>3377</v>
      </c>
    </row>
    <row r="3691" spans="2:5" ht="15.75" thickBot="1">
      <c r="B3691" s="225" t="s">
        <v>5926</v>
      </c>
      <c r="C3691" s="226">
        <v>532886</v>
      </c>
      <c r="D3691" s="225" t="s">
        <v>5927</v>
      </c>
      <c r="E3691" s="225" t="s">
        <v>612</v>
      </c>
    </row>
    <row r="3692" spans="2:5" ht="15.75" thickBot="1">
      <c r="B3692" s="225" t="s">
        <v>5928</v>
      </c>
      <c r="C3692" s="226">
        <v>530075</v>
      </c>
      <c r="D3692" s="225" t="s">
        <v>5929</v>
      </c>
      <c r="E3692" s="225" t="s">
        <v>660</v>
      </c>
    </row>
    <row r="3693" spans="2:5" ht="15.75" thickBot="1">
      <c r="B3693" s="225" t="s">
        <v>5930</v>
      </c>
      <c r="C3693" s="226">
        <v>538875</v>
      </c>
      <c r="D3693" s="225" t="s">
        <v>597</v>
      </c>
      <c r="E3693" s="225" t="s">
        <v>1018</v>
      </c>
    </row>
    <row r="3694" spans="2:5" ht="15.75" thickBot="1">
      <c r="B3694" s="225" t="s">
        <v>5931</v>
      </c>
      <c r="C3694" s="226">
        <v>532021</v>
      </c>
      <c r="D3694" s="225" t="s">
        <v>597</v>
      </c>
      <c r="E3694" s="225" t="s">
        <v>635</v>
      </c>
    </row>
    <row r="3695" spans="2:5" ht="15.75" thickBot="1">
      <c r="B3695" s="225" t="s">
        <v>5932</v>
      </c>
      <c r="C3695" s="226">
        <v>531980</v>
      </c>
      <c r="D3695" s="225" t="s">
        <v>597</v>
      </c>
      <c r="E3695" s="225" t="s">
        <v>583</v>
      </c>
    </row>
    <row r="3696" spans="2:5" ht="15.75" thickBot="1">
      <c r="B3696" s="225" t="s">
        <v>5933</v>
      </c>
      <c r="C3696" s="226">
        <v>512529</v>
      </c>
      <c r="D3696" s="225" t="s">
        <v>5934</v>
      </c>
      <c r="E3696" s="225" t="s">
        <v>635</v>
      </c>
    </row>
    <row r="3697" spans="2:5" ht="15.75" thickBot="1">
      <c r="B3697" s="225" t="s">
        <v>5935</v>
      </c>
      <c r="C3697" s="225" t="s">
        <v>597</v>
      </c>
      <c r="D3697" s="225" t="s">
        <v>5936</v>
      </c>
      <c r="E3697" s="225" t="s">
        <v>608</v>
      </c>
    </row>
    <row r="3698" spans="2:5" ht="15.75" thickBot="1">
      <c r="B3698" s="225" t="s">
        <v>5937</v>
      </c>
      <c r="C3698" s="226">
        <v>502450</v>
      </c>
      <c r="D3698" s="225" t="s">
        <v>5938</v>
      </c>
      <c r="E3698" s="225" t="s">
        <v>591</v>
      </c>
    </row>
    <row r="3699" spans="2:5" ht="15.75" thickBot="1">
      <c r="B3699" s="225" t="s">
        <v>5939</v>
      </c>
      <c r="C3699" s="226">
        <v>505075</v>
      </c>
      <c r="D3699" s="225" t="s">
        <v>5940</v>
      </c>
      <c r="E3699" s="225" t="s">
        <v>952</v>
      </c>
    </row>
    <row r="3700" spans="2:5" ht="15.75" thickBot="1">
      <c r="B3700" s="225" t="s">
        <v>5941</v>
      </c>
      <c r="C3700" s="226">
        <v>511760</v>
      </c>
      <c r="D3700" s="225" t="s">
        <v>597</v>
      </c>
      <c r="E3700" s="225" t="s">
        <v>614</v>
      </c>
    </row>
    <row r="3701" spans="2:5" ht="15.75" thickBot="1">
      <c r="B3701" s="225" t="s">
        <v>5942</v>
      </c>
      <c r="C3701" s="226">
        <v>524324</v>
      </c>
      <c r="D3701" s="225" t="s">
        <v>597</v>
      </c>
      <c r="E3701" s="225" t="s">
        <v>757</v>
      </c>
    </row>
    <row r="3702" spans="2:5" ht="15.75" thickBot="1">
      <c r="B3702" s="225" t="s">
        <v>5943</v>
      </c>
      <c r="C3702" s="226">
        <v>532993</v>
      </c>
      <c r="D3702" s="225" t="s">
        <v>5944</v>
      </c>
      <c r="E3702" s="225" t="s">
        <v>1125</v>
      </c>
    </row>
    <row r="3703" spans="2:5" ht="15.75" thickBot="1">
      <c r="B3703" s="225" t="s">
        <v>5945</v>
      </c>
      <c r="C3703" s="226">
        <v>530867</v>
      </c>
      <c r="D3703" s="225" t="s">
        <v>597</v>
      </c>
      <c r="E3703" s="225" t="s">
        <v>580</v>
      </c>
    </row>
    <row r="3704" spans="2:5" ht="15.75" thickBot="1">
      <c r="B3704" s="225" t="s">
        <v>5946</v>
      </c>
      <c r="C3704" s="226">
        <v>524546</v>
      </c>
      <c r="D3704" s="225" t="s">
        <v>597</v>
      </c>
      <c r="E3704" s="225" t="s">
        <v>635</v>
      </c>
    </row>
    <row r="3705" spans="2:5" ht="15.75" thickBot="1">
      <c r="B3705" s="225" t="s">
        <v>5947</v>
      </c>
      <c r="C3705" s="226">
        <v>513436</v>
      </c>
      <c r="D3705" s="225" t="s">
        <v>5948</v>
      </c>
      <c r="E3705" s="225" t="s">
        <v>629</v>
      </c>
    </row>
    <row r="3706" spans="2:5" ht="15.75" thickBot="1">
      <c r="B3706" s="225" t="s">
        <v>5949</v>
      </c>
      <c r="C3706" s="226">
        <v>509870</v>
      </c>
      <c r="D3706" s="225" t="s">
        <v>597</v>
      </c>
      <c r="E3706" s="225" t="s">
        <v>683</v>
      </c>
    </row>
    <row r="3707" spans="2:5" ht="15.75" thickBot="1">
      <c r="B3707" s="225" t="s">
        <v>5950</v>
      </c>
      <c r="C3707" s="226">
        <v>519031</v>
      </c>
      <c r="D3707" s="225" t="s">
        <v>597</v>
      </c>
      <c r="E3707" s="225" t="s">
        <v>657</v>
      </c>
    </row>
    <row r="3708" spans="2:5" ht="15.75" thickBot="1">
      <c r="B3708" s="225" t="s">
        <v>5951</v>
      </c>
      <c r="C3708" s="226">
        <v>526508</v>
      </c>
      <c r="D3708" s="225" t="s">
        <v>597</v>
      </c>
      <c r="E3708" s="225" t="s">
        <v>1844</v>
      </c>
    </row>
    <row r="3709" spans="2:5" ht="15.75" thickBot="1">
      <c r="B3709" s="225" t="s">
        <v>5952</v>
      </c>
      <c r="C3709" s="226">
        <v>539520</v>
      </c>
      <c r="D3709" s="225" t="s">
        <v>597</v>
      </c>
      <c r="E3709" s="225" t="s">
        <v>619</v>
      </c>
    </row>
    <row r="3710" spans="2:5" ht="15.75" thickBot="1">
      <c r="B3710" s="225" t="s">
        <v>5953</v>
      </c>
      <c r="C3710" s="226">
        <v>501423</v>
      </c>
      <c r="D3710" s="225" t="s">
        <v>597</v>
      </c>
      <c r="E3710" s="225" t="s">
        <v>717</v>
      </c>
    </row>
    <row r="3711" spans="2:5" ht="15.75" thickBot="1">
      <c r="B3711" s="225" t="s">
        <v>5954</v>
      </c>
      <c r="C3711" s="225" t="s">
        <v>597</v>
      </c>
      <c r="D3711" s="225" t="s">
        <v>5955</v>
      </c>
      <c r="E3711" s="225" t="s">
        <v>608</v>
      </c>
    </row>
    <row r="3712" spans="2:5" ht="15.75" thickBot="1">
      <c r="B3712" s="225" t="s">
        <v>5956</v>
      </c>
      <c r="C3712" s="226">
        <v>531431</v>
      </c>
      <c r="D3712" s="225" t="s">
        <v>5957</v>
      </c>
      <c r="E3712" s="225" t="s">
        <v>605</v>
      </c>
    </row>
    <row r="3713" spans="2:5" ht="15.75" thickBot="1">
      <c r="B3713" s="225" t="s">
        <v>5958</v>
      </c>
      <c r="C3713" s="226">
        <v>531431</v>
      </c>
      <c r="D3713" s="225" t="s">
        <v>5957</v>
      </c>
      <c r="E3713" s="225" t="s">
        <v>605</v>
      </c>
    </row>
    <row r="3714" spans="2:5" ht="15.75" thickBot="1">
      <c r="B3714" s="225" t="s">
        <v>5959</v>
      </c>
      <c r="C3714" s="226">
        <v>540797</v>
      </c>
      <c r="D3714" s="225" t="s">
        <v>5960</v>
      </c>
      <c r="E3714" s="225" t="s">
        <v>1067</v>
      </c>
    </row>
    <row r="3715" spans="2:5" ht="15.75" thickBot="1">
      <c r="B3715" s="225" t="s">
        <v>5961</v>
      </c>
      <c r="C3715" s="226">
        <v>511754</v>
      </c>
      <c r="D3715" s="225" t="s">
        <v>597</v>
      </c>
      <c r="E3715" s="225" t="s">
        <v>614</v>
      </c>
    </row>
    <row r="3716" spans="2:5" ht="15.75" thickBot="1">
      <c r="B3716" s="225" t="s">
        <v>5962</v>
      </c>
      <c r="C3716" s="226">
        <v>539895</v>
      </c>
      <c r="D3716" s="225" t="s">
        <v>597</v>
      </c>
      <c r="E3716" s="225" t="s">
        <v>580</v>
      </c>
    </row>
    <row r="3717" spans="2:5" ht="15.75" thickBot="1">
      <c r="B3717" s="225" t="s">
        <v>5963</v>
      </c>
      <c r="C3717" s="226">
        <v>509874</v>
      </c>
      <c r="D3717" s="225" t="s">
        <v>5964</v>
      </c>
      <c r="E3717" s="225" t="s">
        <v>874</v>
      </c>
    </row>
    <row r="3718" spans="2:5" ht="15.75" thickBot="1">
      <c r="B3718" s="225" t="s">
        <v>5965</v>
      </c>
      <c r="C3718" s="226">
        <v>512499</v>
      </c>
      <c r="D3718" s="225" t="s">
        <v>597</v>
      </c>
      <c r="E3718" s="225" t="s">
        <v>580</v>
      </c>
    </row>
    <row r="3719" spans="2:5" ht="15.75" thickBot="1">
      <c r="B3719" s="225" t="s">
        <v>5966</v>
      </c>
      <c r="C3719" s="226">
        <v>532455</v>
      </c>
      <c r="D3719" s="225" t="s">
        <v>597</v>
      </c>
      <c r="E3719" s="225" t="s">
        <v>671</v>
      </c>
    </row>
    <row r="3720" spans="2:5" ht="15.75" thickBot="1">
      <c r="B3720" s="225" t="s">
        <v>5967</v>
      </c>
      <c r="C3720" s="226">
        <v>540259</v>
      </c>
      <c r="D3720" s="225" t="s">
        <v>597</v>
      </c>
      <c r="E3720" s="225" t="s">
        <v>3377</v>
      </c>
    </row>
    <row r="3721" spans="2:5" ht="15.75" thickBot="1">
      <c r="B3721" s="225" t="s">
        <v>5968</v>
      </c>
      <c r="C3721" s="226">
        <v>542232</v>
      </c>
      <c r="D3721" s="225" t="s">
        <v>5969</v>
      </c>
      <c r="E3721" s="225" t="s">
        <v>963</v>
      </c>
    </row>
    <row r="3722" spans="2:5" ht="15.75" thickBot="1">
      <c r="B3722" s="225" t="s">
        <v>5970</v>
      </c>
      <c r="C3722" s="226">
        <v>540425</v>
      </c>
      <c r="D3722" s="225" t="s">
        <v>5971</v>
      </c>
      <c r="E3722" s="225" t="s">
        <v>920</v>
      </c>
    </row>
    <row r="3723" spans="2:5" ht="15.75" thickBot="1">
      <c r="B3723" s="225" t="s">
        <v>5972</v>
      </c>
      <c r="C3723" s="226">
        <v>512297</v>
      </c>
      <c r="D3723" s="225" t="s">
        <v>597</v>
      </c>
      <c r="E3723" s="225" t="s">
        <v>605</v>
      </c>
    </row>
    <row r="3724" spans="2:5" ht="15.75" thickBot="1">
      <c r="B3724" s="225" t="s">
        <v>5973</v>
      </c>
      <c r="C3724" s="226">
        <v>531925</v>
      </c>
      <c r="D3724" s="225" t="s">
        <v>597</v>
      </c>
      <c r="E3724" s="225" t="s">
        <v>657</v>
      </c>
    </row>
    <row r="3725" spans="2:5" ht="15.75" thickBot="1">
      <c r="B3725" s="225" t="s">
        <v>5974</v>
      </c>
      <c r="C3725" s="226">
        <v>522034</v>
      </c>
      <c r="D3725" s="225" t="s">
        <v>5975</v>
      </c>
      <c r="E3725" s="225" t="s">
        <v>952</v>
      </c>
    </row>
    <row r="3726" spans="2:5" ht="15.75" thickBot="1">
      <c r="B3726" s="225" t="s">
        <v>5976</v>
      </c>
      <c r="C3726" s="226">
        <v>539921</v>
      </c>
      <c r="D3726" s="225" t="s">
        <v>597</v>
      </c>
      <c r="E3726" s="225" t="s">
        <v>702</v>
      </c>
    </row>
    <row r="3727" spans="2:5" ht="15.75" thickBot="1">
      <c r="B3727" s="225" t="s">
        <v>5977</v>
      </c>
      <c r="C3727" s="225" t="s">
        <v>597</v>
      </c>
      <c r="D3727" s="225" t="s">
        <v>5978</v>
      </c>
      <c r="E3727" s="225" t="s">
        <v>608</v>
      </c>
    </row>
    <row r="3728" spans="2:5" ht="15.75" thickBot="1">
      <c r="B3728" s="225" t="s">
        <v>5979</v>
      </c>
      <c r="C3728" s="225" t="s">
        <v>597</v>
      </c>
      <c r="D3728" s="225" t="s">
        <v>5978</v>
      </c>
      <c r="E3728" s="225" t="s">
        <v>608</v>
      </c>
    </row>
    <row r="3729" spans="2:5" ht="15.75" thickBot="1">
      <c r="B3729" s="225" t="s">
        <v>5980</v>
      </c>
      <c r="C3729" s="226">
        <v>514402</v>
      </c>
      <c r="D3729" s="225" t="s">
        <v>597</v>
      </c>
      <c r="E3729" s="225" t="s">
        <v>612</v>
      </c>
    </row>
    <row r="3730" spans="2:5" ht="15.75" thickBot="1">
      <c r="B3730" s="225" t="s">
        <v>5981</v>
      </c>
      <c r="C3730" s="226">
        <v>539584</v>
      </c>
      <c r="D3730" s="225" t="s">
        <v>597</v>
      </c>
      <c r="E3730" s="225" t="s">
        <v>619</v>
      </c>
    </row>
    <row r="3731" spans="2:5" ht="15.75" thickBot="1">
      <c r="B3731" s="225" t="s">
        <v>5982</v>
      </c>
      <c r="C3731" s="226">
        <v>538666</v>
      </c>
      <c r="D3731" s="225" t="s">
        <v>5983</v>
      </c>
      <c r="E3731" s="225" t="s">
        <v>741</v>
      </c>
    </row>
    <row r="3732" spans="2:5" ht="15.75" thickBot="1">
      <c r="B3732" s="225" t="s">
        <v>5984</v>
      </c>
      <c r="C3732" s="226">
        <v>513548</v>
      </c>
      <c r="D3732" s="225" t="s">
        <v>597</v>
      </c>
      <c r="E3732" s="225" t="s">
        <v>629</v>
      </c>
    </row>
    <row r="3733" spans="2:5" ht="15.75" thickBot="1">
      <c r="B3733" s="225" t="s">
        <v>5985</v>
      </c>
      <c r="C3733" s="226">
        <v>535602</v>
      </c>
      <c r="D3733" s="225" t="s">
        <v>5986</v>
      </c>
      <c r="E3733" s="225" t="s">
        <v>952</v>
      </c>
    </row>
    <row r="3734" spans="2:5" ht="15.75" thickBot="1">
      <c r="B3734" s="225" t="s">
        <v>5987</v>
      </c>
      <c r="C3734" s="226">
        <v>512393</v>
      </c>
      <c r="D3734" s="225" t="s">
        <v>597</v>
      </c>
      <c r="E3734" s="225" t="s">
        <v>580</v>
      </c>
    </row>
    <row r="3735" spans="2:5" ht="15.75" thickBot="1">
      <c r="B3735" s="225" t="s">
        <v>5988</v>
      </c>
      <c r="C3735" s="226">
        <v>540725</v>
      </c>
      <c r="D3735" s="225" t="s">
        <v>597</v>
      </c>
      <c r="E3735" s="225" t="s">
        <v>580</v>
      </c>
    </row>
    <row r="3736" spans="2:5" ht="15.75" thickBot="1">
      <c r="B3736" s="225" t="s">
        <v>5989</v>
      </c>
      <c r="C3736" s="226">
        <v>540786</v>
      </c>
      <c r="D3736" s="225" t="s">
        <v>597</v>
      </c>
      <c r="E3736" s="225" t="s">
        <v>895</v>
      </c>
    </row>
    <row r="3737" spans="2:5" ht="15.75" thickBot="1">
      <c r="B3737" s="225" t="s">
        <v>5990</v>
      </c>
      <c r="C3737" s="226">
        <v>532908</v>
      </c>
      <c r="D3737" s="225" t="s">
        <v>5991</v>
      </c>
      <c r="E3737" s="225" t="s">
        <v>635</v>
      </c>
    </row>
    <row r="3738" spans="2:5" ht="15.75" thickBot="1">
      <c r="B3738" s="225" t="s">
        <v>5992</v>
      </c>
      <c r="C3738" s="226">
        <v>523449</v>
      </c>
      <c r="D3738" s="225" t="s">
        <v>597</v>
      </c>
      <c r="E3738" s="225" t="s">
        <v>966</v>
      </c>
    </row>
    <row r="3739" spans="2:5" ht="15.75" thickBot="1">
      <c r="B3739" s="225" t="s">
        <v>5993</v>
      </c>
      <c r="C3739" s="226">
        <v>523449</v>
      </c>
      <c r="D3739" s="225" t="s">
        <v>597</v>
      </c>
      <c r="E3739" s="225" t="s">
        <v>966</v>
      </c>
    </row>
    <row r="3740" spans="2:5" ht="15.75" thickBot="1">
      <c r="B3740" s="225" t="s">
        <v>5994</v>
      </c>
      <c r="C3740" s="226">
        <v>538212</v>
      </c>
      <c r="D3740" s="225" t="s">
        <v>597</v>
      </c>
      <c r="E3740" s="225" t="s">
        <v>614</v>
      </c>
    </row>
    <row r="3741" spans="2:5" ht="15.75" thickBot="1">
      <c r="B3741" s="225" t="s">
        <v>5995</v>
      </c>
      <c r="C3741" s="226">
        <v>540221</v>
      </c>
      <c r="D3741" s="225" t="s">
        <v>597</v>
      </c>
      <c r="E3741" s="225" t="s">
        <v>619</v>
      </c>
    </row>
    <row r="3742" spans="2:5" ht="15.75" thickBot="1">
      <c r="B3742" s="225" t="s">
        <v>5996</v>
      </c>
      <c r="C3742" s="226">
        <v>540147</v>
      </c>
      <c r="D3742" s="225" t="s">
        <v>597</v>
      </c>
      <c r="E3742" s="225" t="s">
        <v>995</v>
      </c>
    </row>
    <row r="3743" spans="2:5" ht="15.75" thickBot="1">
      <c r="B3743" s="225" t="s">
        <v>5997</v>
      </c>
      <c r="C3743" s="226">
        <v>540203</v>
      </c>
      <c r="D3743" s="225" t="s">
        <v>5998</v>
      </c>
      <c r="E3743" s="225" t="s">
        <v>874</v>
      </c>
    </row>
    <row r="3744" spans="2:5" ht="15.75" thickBot="1">
      <c r="B3744" s="225" t="s">
        <v>5999</v>
      </c>
      <c r="C3744" s="226">
        <v>540757</v>
      </c>
      <c r="D3744" s="225" t="s">
        <v>597</v>
      </c>
      <c r="E3744" s="225" t="s">
        <v>657</v>
      </c>
    </row>
    <row r="3745" spans="2:5" ht="15.75" thickBot="1">
      <c r="B3745" s="225" t="s">
        <v>6000</v>
      </c>
      <c r="C3745" s="226">
        <v>530525</v>
      </c>
      <c r="D3745" s="225" t="s">
        <v>597</v>
      </c>
      <c r="E3745" s="225" t="s">
        <v>711</v>
      </c>
    </row>
    <row r="3746" spans="2:5" ht="15.75" thickBot="1">
      <c r="B3746" s="225" t="s">
        <v>6001</v>
      </c>
      <c r="C3746" s="226">
        <v>533301</v>
      </c>
      <c r="D3746" s="225" t="s">
        <v>6002</v>
      </c>
      <c r="E3746" s="225" t="s">
        <v>612</v>
      </c>
    </row>
    <row r="3747" spans="2:5" ht="15.75" thickBot="1">
      <c r="B3747" s="225" t="s">
        <v>6003</v>
      </c>
      <c r="C3747" s="226">
        <v>526839</v>
      </c>
      <c r="D3747" s="225" t="s">
        <v>597</v>
      </c>
      <c r="E3747" s="225" t="s">
        <v>995</v>
      </c>
    </row>
    <row r="3748" spans="2:5" ht="15.75" thickBot="1">
      <c r="B3748" s="225" t="s">
        <v>6004</v>
      </c>
      <c r="C3748" s="226">
        <v>538685</v>
      </c>
      <c r="D3748" s="225" t="s">
        <v>6005</v>
      </c>
      <c r="E3748" s="225" t="s">
        <v>600</v>
      </c>
    </row>
    <row r="3749" spans="2:5" ht="15.75" thickBot="1">
      <c r="B3749" s="225" t="s">
        <v>6006</v>
      </c>
      <c r="C3749" s="226">
        <v>512367</v>
      </c>
      <c r="D3749" s="225" t="s">
        <v>597</v>
      </c>
      <c r="E3749" s="225" t="s">
        <v>580</v>
      </c>
    </row>
    <row r="3750" spans="2:5" ht="15.75" thickBot="1">
      <c r="B3750" s="225" t="s">
        <v>6007</v>
      </c>
      <c r="C3750" s="226">
        <v>526117</v>
      </c>
      <c r="D3750" s="225" t="s">
        <v>597</v>
      </c>
      <c r="E3750" s="225" t="s">
        <v>1143</v>
      </c>
    </row>
    <row r="3751" spans="2:5" ht="15.75" thickBot="1">
      <c r="B3751" s="225" t="s">
        <v>6008</v>
      </c>
      <c r="C3751" s="226">
        <v>539111</v>
      </c>
      <c r="D3751" s="225" t="s">
        <v>597</v>
      </c>
      <c r="E3751" s="225" t="s">
        <v>612</v>
      </c>
    </row>
    <row r="3752" spans="2:5" ht="15.75" thickBot="1">
      <c r="B3752" s="225" t="s">
        <v>6009</v>
      </c>
      <c r="C3752" s="226">
        <v>526137</v>
      </c>
      <c r="D3752" s="225" t="s">
        <v>597</v>
      </c>
      <c r="E3752" s="225" t="s">
        <v>792</v>
      </c>
    </row>
    <row r="3753" spans="2:5" ht="15.75" thickBot="1">
      <c r="B3753" s="225" t="s">
        <v>6010</v>
      </c>
      <c r="C3753" s="226">
        <v>507952</v>
      </c>
      <c r="D3753" s="225" t="s">
        <v>597</v>
      </c>
      <c r="E3753" s="225" t="s">
        <v>614</v>
      </c>
    </row>
    <row r="3754" spans="2:5" ht="15.75" thickBot="1">
      <c r="B3754" s="225" t="s">
        <v>6011</v>
      </c>
      <c r="C3754" s="226">
        <v>531201</v>
      </c>
      <c r="D3754" s="225" t="s">
        <v>597</v>
      </c>
      <c r="E3754" s="225" t="s">
        <v>895</v>
      </c>
    </row>
    <row r="3755" spans="2:5" ht="15.75" thickBot="1">
      <c r="B3755" s="225" t="s">
        <v>6012</v>
      </c>
      <c r="C3755" s="226">
        <v>513709</v>
      </c>
      <c r="D3755" s="225" t="s">
        <v>597</v>
      </c>
      <c r="E3755" s="225" t="s">
        <v>605</v>
      </c>
    </row>
    <row r="3756" spans="2:5" ht="15.75" thickBot="1">
      <c r="B3756" s="225" t="s">
        <v>6013</v>
      </c>
      <c r="C3756" s="226">
        <v>530549</v>
      </c>
      <c r="D3756" s="225" t="s">
        <v>6014</v>
      </c>
      <c r="E3756" s="225" t="s">
        <v>635</v>
      </c>
    </row>
    <row r="3757" spans="2:5" ht="15.75" thickBot="1">
      <c r="B3757" s="225" t="s">
        <v>6015</v>
      </c>
      <c r="C3757" s="226">
        <v>533389</v>
      </c>
      <c r="D3757" s="225" t="s">
        <v>6016</v>
      </c>
      <c r="E3757" s="225" t="s">
        <v>895</v>
      </c>
    </row>
    <row r="3758" spans="2:5" ht="15.75" thickBot="1">
      <c r="B3758" s="225" t="s">
        <v>6017</v>
      </c>
      <c r="C3758" s="226">
        <v>523598</v>
      </c>
      <c r="D3758" s="225" t="s">
        <v>6018</v>
      </c>
      <c r="E3758" s="225" t="s">
        <v>1844</v>
      </c>
    </row>
    <row r="3759" spans="2:5" ht="15.75" thickBot="1">
      <c r="B3759" s="225" t="s">
        <v>6019</v>
      </c>
      <c r="C3759" s="226">
        <v>523598</v>
      </c>
      <c r="D3759" s="225" t="s">
        <v>6018</v>
      </c>
      <c r="E3759" s="225" t="s">
        <v>1844</v>
      </c>
    </row>
    <row r="3760" spans="2:5" ht="15.75" thickBot="1">
      <c r="B3760" s="225" t="s">
        <v>6020</v>
      </c>
      <c r="C3760" s="226">
        <v>512289</v>
      </c>
      <c r="D3760" s="225" t="s">
        <v>6021</v>
      </c>
      <c r="E3760" s="225" t="s">
        <v>2844</v>
      </c>
    </row>
    <row r="3761" spans="2:5" ht="15.75" thickBot="1">
      <c r="B3761" s="225" t="s">
        <v>6022</v>
      </c>
      <c r="C3761" s="226">
        <v>540693</v>
      </c>
      <c r="D3761" s="225" t="s">
        <v>597</v>
      </c>
      <c r="E3761" s="225" t="s">
        <v>717</v>
      </c>
    </row>
    <row r="3762" spans="2:5" ht="15.75" thickBot="1">
      <c r="B3762" s="225" t="s">
        <v>6023</v>
      </c>
      <c r="C3762" s="226">
        <v>532323</v>
      </c>
      <c r="D3762" s="225" t="s">
        <v>597</v>
      </c>
      <c r="E3762" s="225" t="s">
        <v>610</v>
      </c>
    </row>
    <row r="3763" spans="2:5" ht="15.75" thickBot="1">
      <c r="B3763" s="225" t="s">
        <v>6024</v>
      </c>
      <c r="C3763" s="226">
        <v>530433</v>
      </c>
      <c r="D3763" s="225" t="s">
        <v>597</v>
      </c>
      <c r="E3763" s="225" t="s">
        <v>1105</v>
      </c>
    </row>
    <row r="3764" spans="2:5" ht="15.75" thickBot="1">
      <c r="B3764" s="225" t="s">
        <v>6025</v>
      </c>
      <c r="C3764" s="226">
        <v>540072</v>
      </c>
      <c r="D3764" s="225" t="s">
        <v>597</v>
      </c>
      <c r="E3764" s="225" t="s">
        <v>1125</v>
      </c>
    </row>
    <row r="3765" spans="2:5" ht="15.75" thickBot="1">
      <c r="B3765" s="225" t="s">
        <v>6026</v>
      </c>
      <c r="C3765" s="226">
        <v>524602</v>
      </c>
      <c r="D3765" s="225" t="s">
        <v>6027</v>
      </c>
      <c r="E3765" s="225" t="s">
        <v>786</v>
      </c>
    </row>
    <row r="3766" spans="2:5" ht="15.75" thickBot="1">
      <c r="B3766" s="225" t="s">
        <v>6028</v>
      </c>
      <c r="C3766" s="226">
        <v>540961</v>
      </c>
      <c r="D3766" s="225" t="s">
        <v>6029</v>
      </c>
      <c r="E3766" s="225" t="s">
        <v>612</v>
      </c>
    </row>
    <row r="3767" spans="2:5" ht="15.75" thickBot="1">
      <c r="B3767" s="225" t="s">
        <v>6030</v>
      </c>
      <c r="C3767" s="226">
        <v>521003</v>
      </c>
      <c r="D3767" s="225" t="s">
        <v>597</v>
      </c>
      <c r="E3767" s="225" t="s">
        <v>619</v>
      </c>
    </row>
    <row r="3768" spans="2:5" ht="15.75" thickBot="1">
      <c r="B3768" s="225" t="s">
        <v>6031</v>
      </c>
      <c r="C3768" s="226">
        <v>511108</v>
      </c>
      <c r="D3768" s="225" t="s">
        <v>6032</v>
      </c>
      <c r="E3768" s="225" t="s">
        <v>612</v>
      </c>
    </row>
    <row r="3769" spans="2:5" ht="15.75" thickBot="1">
      <c r="B3769" s="225" t="s">
        <v>6033</v>
      </c>
      <c r="C3769" s="226">
        <v>522237</v>
      </c>
      <c r="D3769" s="225" t="s">
        <v>597</v>
      </c>
      <c r="E3769" s="225" t="s">
        <v>605</v>
      </c>
    </row>
    <row r="3770" spans="2:5" ht="15.75" thickBot="1">
      <c r="B3770" s="225" t="s">
        <v>6034</v>
      </c>
      <c r="C3770" s="226">
        <v>513097</v>
      </c>
      <c r="D3770" s="225" t="s">
        <v>597</v>
      </c>
      <c r="E3770" s="225" t="s">
        <v>1139</v>
      </c>
    </row>
    <row r="3771" spans="2:5" ht="15.75" thickBot="1">
      <c r="B3771" s="225" t="s">
        <v>6035</v>
      </c>
      <c r="C3771" s="226">
        <v>539148</v>
      </c>
      <c r="D3771" s="225" t="s">
        <v>597</v>
      </c>
      <c r="E3771" s="225" t="s">
        <v>741</v>
      </c>
    </row>
    <row r="3772" spans="2:5" ht="15.75" thickBot="1">
      <c r="B3772" s="225" t="s">
        <v>6036</v>
      </c>
      <c r="C3772" s="226">
        <v>532776</v>
      </c>
      <c r="D3772" s="225" t="s">
        <v>6037</v>
      </c>
      <c r="E3772" s="225" t="s">
        <v>952</v>
      </c>
    </row>
    <row r="3773" spans="2:5" ht="15.75" thickBot="1">
      <c r="B3773" s="225" t="s">
        <v>6038</v>
      </c>
      <c r="C3773" s="226">
        <v>539593</v>
      </c>
      <c r="D3773" s="225" t="s">
        <v>597</v>
      </c>
      <c r="E3773" s="225" t="s">
        <v>580</v>
      </c>
    </row>
    <row r="3774" spans="2:5" ht="15.75" thickBot="1">
      <c r="B3774" s="225" t="s">
        <v>6039</v>
      </c>
      <c r="C3774" s="226">
        <v>539683</v>
      </c>
      <c r="D3774" s="225" t="s">
        <v>597</v>
      </c>
      <c r="E3774" s="225" t="s">
        <v>614</v>
      </c>
    </row>
    <row r="3775" spans="2:5" ht="15.75" thickBot="1">
      <c r="B3775" s="225" t="s">
        <v>6040</v>
      </c>
      <c r="C3775" s="226">
        <v>539833</v>
      </c>
      <c r="D3775" s="225" t="s">
        <v>597</v>
      </c>
      <c r="E3775" s="225" t="s">
        <v>614</v>
      </c>
    </row>
    <row r="3776" spans="2:5" ht="15.75" thickBot="1">
      <c r="B3776" s="225" t="s">
        <v>6041</v>
      </c>
      <c r="C3776" s="226">
        <v>532638</v>
      </c>
      <c r="D3776" s="225" t="s">
        <v>6042</v>
      </c>
      <c r="E3776" s="225" t="s">
        <v>766</v>
      </c>
    </row>
    <row r="3777" spans="2:5" ht="15.75" thickBot="1">
      <c r="B3777" s="225" t="s">
        <v>6043</v>
      </c>
      <c r="C3777" s="225" t="s">
        <v>597</v>
      </c>
      <c r="D3777" s="225" t="s">
        <v>6044</v>
      </c>
      <c r="E3777" s="225" t="s">
        <v>608</v>
      </c>
    </row>
    <row r="3778" spans="2:5" ht="15.75" thickBot="1">
      <c r="B3778" s="225" t="s">
        <v>6045</v>
      </c>
      <c r="C3778" s="226">
        <v>538795</v>
      </c>
      <c r="D3778" s="225" t="s">
        <v>597</v>
      </c>
      <c r="E3778" s="225" t="s">
        <v>591</v>
      </c>
    </row>
    <row r="3779" spans="2:5" ht="15.75" thickBot="1">
      <c r="B3779" s="225" t="s">
        <v>6046</v>
      </c>
      <c r="C3779" s="226">
        <v>521131</v>
      </c>
      <c r="D3779" s="225" t="s">
        <v>597</v>
      </c>
      <c r="E3779" s="225" t="s">
        <v>612</v>
      </c>
    </row>
    <row r="3780" spans="2:5" ht="15.75" thickBot="1">
      <c r="B3780" s="225" t="s">
        <v>6047</v>
      </c>
      <c r="C3780" s="226">
        <v>502563</v>
      </c>
      <c r="D3780" s="225" t="s">
        <v>597</v>
      </c>
      <c r="E3780" s="225" t="s">
        <v>591</v>
      </c>
    </row>
    <row r="3781" spans="2:5" ht="15.75" thickBot="1">
      <c r="B3781" s="225" t="s">
        <v>6048</v>
      </c>
      <c r="C3781" s="226">
        <v>500387</v>
      </c>
      <c r="D3781" s="225" t="s">
        <v>6049</v>
      </c>
      <c r="E3781" s="225" t="s">
        <v>610</v>
      </c>
    </row>
    <row r="3782" spans="2:5" ht="15.75" thickBot="1">
      <c r="B3782" s="225" t="s">
        <v>6050</v>
      </c>
      <c r="C3782" s="226">
        <v>502180</v>
      </c>
      <c r="D3782" s="225" t="s">
        <v>597</v>
      </c>
      <c r="E3782" s="225" t="s">
        <v>610</v>
      </c>
    </row>
    <row r="3783" spans="2:5" ht="15.75" thickBot="1">
      <c r="B3783" s="225" t="s">
        <v>6051</v>
      </c>
      <c r="C3783" s="226">
        <v>539470</v>
      </c>
      <c r="D3783" s="225" t="s">
        <v>597</v>
      </c>
      <c r="E3783" s="225" t="s">
        <v>935</v>
      </c>
    </row>
    <row r="3784" spans="2:5" ht="15.75" thickBot="1">
      <c r="B3784" s="225" t="s">
        <v>6052</v>
      </c>
      <c r="C3784" s="226">
        <v>539470</v>
      </c>
      <c r="D3784" s="225" t="s">
        <v>597</v>
      </c>
      <c r="E3784" s="225" t="s">
        <v>935</v>
      </c>
    </row>
    <row r="3785" spans="2:5" ht="15.75" thickBot="1">
      <c r="B3785" s="225" t="s">
        <v>6053</v>
      </c>
      <c r="C3785" s="226">
        <v>530797</v>
      </c>
      <c r="D3785" s="225" t="s">
        <v>597</v>
      </c>
      <c r="E3785" s="225" t="s">
        <v>619</v>
      </c>
    </row>
    <row r="3786" spans="2:5" ht="15.75" thickBot="1">
      <c r="B3786" s="225" t="s">
        <v>6054</v>
      </c>
      <c r="C3786" s="226">
        <v>532643</v>
      </c>
      <c r="D3786" s="225" t="s">
        <v>6055</v>
      </c>
      <c r="E3786" s="225" t="s">
        <v>1517</v>
      </c>
    </row>
    <row r="3787" spans="2:5" ht="15.75" thickBot="1">
      <c r="B3787" s="225" t="s">
        <v>6056</v>
      </c>
      <c r="C3787" s="226">
        <v>540737</v>
      </c>
      <c r="D3787" s="225" t="s">
        <v>597</v>
      </c>
      <c r="E3787" s="225" t="s">
        <v>635</v>
      </c>
    </row>
    <row r="3788" spans="2:5" ht="15.75" thickBot="1">
      <c r="B3788" s="225" t="s">
        <v>6057</v>
      </c>
      <c r="C3788" s="226">
        <v>512463</v>
      </c>
      <c r="D3788" s="225" t="s">
        <v>597</v>
      </c>
      <c r="E3788" s="225" t="s">
        <v>614</v>
      </c>
    </row>
    <row r="3789" spans="2:5" ht="15.75" thickBot="1">
      <c r="B3789" s="225" t="s">
        <v>6058</v>
      </c>
      <c r="C3789" s="226">
        <v>524336</v>
      </c>
      <c r="D3789" s="225" t="s">
        <v>597</v>
      </c>
      <c r="E3789" s="225" t="s">
        <v>645</v>
      </c>
    </row>
    <row r="3790" spans="2:5" ht="15.75" thickBot="1">
      <c r="B3790" s="225" t="s">
        <v>6059</v>
      </c>
      <c r="C3790" s="226">
        <v>516106</v>
      </c>
      <c r="D3790" s="225" t="s">
        <v>597</v>
      </c>
      <c r="E3790" s="225" t="s">
        <v>591</v>
      </c>
    </row>
    <row r="3791" spans="2:5" ht="15.75" thickBot="1">
      <c r="B3791" s="225" t="s">
        <v>6060</v>
      </c>
      <c r="C3791" s="226">
        <v>542146</v>
      </c>
      <c r="D3791" s="225" t="s">
        <v>597</v>
      </c>
      <c r="E3791" s="225" t="s">
        <v>683</v>
      </c>
    </row>
    <row r="3792" spans="2:5" ht="15.75" thickBot="1">
      <c r="B3792" s="225" t="s">
        <v>6061</v>
      </c>
      <c r="C3792" s="226">
        <v>500388</v>
      </c>
      <c r="D3792" s="225" t="s">
        <v>597</v>
      </c>
      <c r="E3792" s="225" t="s">
        <v>591</v>
      </c>
    </row>
    <row r="3793" spans="2:5" ht="15.75" thickBot="1">
      <c r="B3793" s="225" t="s">
        <v>6062</v>
      </c>
      <c r="C3793" s="226">
        <v>503863</v>
      </c>
      <c r="D3793" s="225" t="s">
        <v>597</v>
      </c>
      <c r="E3793" s="225" t="s">
        <v>612</v>
      </c>
    </row>
    <row r="3794" spans="2:5" ht="15.75" thickBot="1">
      <c r="B3794" s="225" t="s">
        <v>6063</v>
      </c>
      <c r="C3794" s="226">
        <v>531962</v>
      </c>
      <c r="D3794" s="225" t="s">
        <v>597</v>
      </c>
      <c r="E3794" s="225" t="s">
        <v>614</v>
      </c>
    </row>
    <row r="3795" spans="2:5" ht="15.75" thickBot="1">
      <c r="B3795" s="225" t="s">
        <v>6064</v>
      </c>
      <c r="C3795" s="226">
        <v>540253</v>
      </c>
      <c r="D3795" s="225" t="s">
        <v>597</v>
      </c>
      <c r="E3795" s="225" t="s">
        <v>580</v>
      </c>
    </row>
    <row r="3796" spans="2:5" ht="15.75" thickBot="1">
      <c r="B3796" s="225" t="s">
        <v>6065</v>
      </c>
      <c r="C3796" s="226">
        <v>506180</v>
      </c>
      <c r="D3796" s="225" t="s">
        <v>597</v>
      </c>
      <c r="E3796" s="225" t="s">
        <v>619</v>
      </c>
    </row>
    <row r="3797" spans="2:5" ht="15.75" thickBot="1">
      <c r="B3797" s="225" t="s">
        <v>6066</v>
      </c>
      <c r="C3797" s="226">
        <v>527005</v>
      </c>
      <c r="D3797" s="225" t="s">
        <v>597</v>
      </c>
      <c r="E3797" s="225" t="s">
        <v>1562</v>
      </c>
    </row>
    <row r="3798" spans="2:5" ht="15.75" thickBot="1">
      <c r="B3798" s="225" t="s">
        <v>6067</v>
      </c>
      <c r="C3798" s="226">
        <v>533110</v>
      </c>
      <c r="D3798" s="225" t="s">
        <v>597</v>
      </c>
      <c r="E3798" s="225" t="s">
        <v>920</v>
      </c>
    </row>
    <row r="3799" spans="2:5" ht="15.75" thickBot="1">
      <c r="B3799" s="225" t="s">
        <v>6068</v>
      </c>
      <c r="C3799" s="226">
        <v>539334</v>
      </c>
      <c r="D3799" s="225" t="s">
        <v>6069</v>
      </c>
      <c r="E3799" s="225" t="s">
        <v>757</v>
      </c>
    </row>
    <row r="3800" spans="2:5" ht="15.75" thickBot="1">
      <c r="B3800" s="225" t="s">
        <v>6070</v>
      </c>
      <c r="C3800" s="226">
        <v>503837</v>
      </c>
      <c r="D3800" s="225" t="s">
        <v>597</v>
      </c>
      <c r="E3800" s="225" t="s">
        <v>612</v>
      </c>
    </row>
    <row r="3801" spans="2:5" ht="15.75" thickBot="1">
      <c r="B3801" s="225" t="s">
        <v>6071</v>
      </c>
      <c r="C3801" s="226">
        <v>516086</v>
      </c>
      <c r="D3801" s="225" t="s">
        <v>597</v>
      </c>
      <c r="E3801" s="225" t="s">
        <v>591</v>
      </c>
    </row>
    <row r="3802" spans="2:5" ht="15.75" thickBot="1">
      <c r="B3802" s="225" t="s">
        <v>6072</v>
      </c>
      <c r="C3802" s="225" t="s">
        <v>597</v>
      </c>
      <c r="D3802" s="225" t="s">
        <v>6073</v>
      </c>
      <c r="E3802" s="225" t="s">
        <v>608</v>
      </c>
    </row>
    <row r="3803" spans="2:5" ht="15.75" thickBot="1">
      <c r="B3803" s="225" t="s">
        <v>6074</v>
      </c>
      <c r="C3803" s="226">
        <v>532310</v>
      </c>
      <c r="D3803" s="225" t="s">
        <v>6075</v>
      </c>
      <c r="E3803" s="225" t="s">
        <v>792</v>
      </c>
    </row>
    <row r="3804" spans="2:5" ht="15.75" thickBot="1">
      <c r="B3804" s="225" t="s">
        <v>6076</v>
      </c>
      <c r="C3804" s="226">
        <v>500356</v>
      </c>
      <c r="D3804" s="225" t="s">
        <v>6077</v>
      </c>
      <c r="E3804" s="225" t="s">
        <v>591</v>
      </c>
    </row>
    <row r="3805" spans="2:5" ht="15.75" thickBot="1">
      <c r="B3805" s="225" t="s">
        <v>6078</v>
      </c>
      <c r="C3805" s="226">
        <v>532670</v>
      </c>
      <c r="D3805" s="225" t="s">
        <v>6079</v>
      </c>
      <c r="E3805" s="225" t="s">
        <v>1296</v>
      </c>
    </row>
    <row r="3806" spans="2:5" ht="15.75" thickBot="1">
      <c r="B3806" s="225" t="s">
        <v>6080</v>
      </c>
      <c r="C3806" s="226">
        <v>503635</v>
      </c>
      <c r="D3806" s="225" t="s">
        <v>597</v>
      </c>
      <c r="E3806" s="225" t="s">
        <v>580</v>
      </c>
    </row>
    <row r="3807" spans="2:5" ht="15.75" thickBot="1">
      <c r="B3807" s="225" t="s">
        <v>6081</v>
      </c>
      <c r="C3807" s="226">
        <v>538975</v>
      </c>
      <c r="D3807" s="225" t="s">
        <v>597</v>
      </c>
      <c r="E3807" s="225" t="s">
        <v>614</v>
      </c>
    </row>
    <row r="3808" spans="2:5" ht="15.75" thickBot="1">
      <c r="B3808" s="225" t="s">
        <v>6082</v>
      </c>
      <c r="C3808" s="226">
        <v>513488</v>
      </c>
      <c r="D3808" s="225" t="s">
        <v>597</v>
      </c>
      <c r="E3808" s="225" t="s">
        <v>920</v>
      </c>
    </row>
    <row r="3809" spans="2:5" ht="15.75" thickBot="1">
      <c r="B3809" s="225" t="s">
        <v>6083</v>
      </c>
      <c r="C3809" s="226">
        <v>531667</v>
      </c>
      <c r="D3809" s="225" t="s">
        <v>597</v>
      </c>
      <c r="E3809" s="225" t="s">
        <v>619</v>
      </c>
    </row>
    <row r="3810" spans="2:5" ht="15.75" thickBot="1">
      <c r="B3810" s="225" t="s">
        <v>6084</v>
      </c>
      <c r="C3810" s="225" t="s">
        <v>597</v>
      </c>
      <c r="D3810" s="225" t="s">
        <v>6085</v>
      </c>
      <c r="E3810" s="225" t="s">
        <v>608</v>
      </c>
    </row>
    <row r="3811" spans="2:5" ht="15.75" thickBot="1">
      <c r="B3811" s="225" t="s">
        <v>6086</v>
      </c>
      <c r="C3811" s="226">
        <v>590128</v>
      </c>
      <c r="D3811" s="225" t="s">
        <v>597</v>
      </c>
      <c r="E3811" s="225" t="s">
        <v>583</v>
      </c>
    </row>
    <row r="3812" spans="2:5" ht="15.75" thickBot="1">
      <c r="B3812" s="225" t="s">
        <v>6087</v>
      </c>
      <c r="C3812" s="225" t="s">
        <v>597</v>
      </c>
      <c r="D3812" s="225" t="s">
        <v>6088</v>
      </c>
      <c r="E3812" s="225" t="s">
        <v>608</v>
      </c>
    </row>
    <row r="3813" spans="2:5" ht="15.75" thickBot="1">
      <c r="B3813" s="225" t="s">
        <v>6089</v>
      </c>
      <c r="C3813" s="226">
        <v>541358</v>
      </c>
      <c r="D3813" s="225" t="s">
        <v>597</v>
      </c>
      <c r="E3813" s="225" t="s">
        <v>614</v>
      </c>
    </row>
    <row r="3814" spans="2:5" ht="15.75" thickBot="1">
      <c r="B3814" s="225" t="s">
        <v>6090</v>
      </c>
      <c r="C3814" s="226">
        <v>540738</v>
      </c>
      <c r="D3814" s="225" t="s">
        <v>597</v>
      </c>
      <c r="E3814" s="225" t="s">
        <v>918</v>
      </c>
    </row>
    <row r="3815" spans="2:5" ht="15.75" thickBot="1">
      <c r="B3815" s="225" t="s">
        <v>6091</v>
      </c>
      <c r="C3815" s="226">
        <v>503696</v>
      </c>
      <c r="D3815" s="225" t="s">
        <v>597</v>
      </c>
      <c r="E3815" s="225" t="s">
        <v>1018</v>
      </c>
    </row>
    <row r="3816" spans="2:5" ht="15.75" thickBot="1">
      <c r="B3816" s="225" t="s">
        <v>6092</v>
      </c>
      <c r="C3816" s="225" t="s">
        <v>597</v>
      </c>
      <c r="D3816" s="225" t="s">
        <v>6093</v>
      </c>
      <c r="E3816" s="225" t="s">
        <v>608</v>
      </c>
    </row>
    <row r="3817" spans="2:5" ht="15.75" thickBot="1">
      <c r="B3817" s="225" t="s">
        <v>6094</v>
      </c>
      <c r="C3817" s="226">
        <v>541112</v>
      </c>
      <c r="D3817" s="225" t="s">
        <v>597</v>
      </c>
      <c r="E3817" s="225" t="s">
        <v>995</v>
      </c>
    </row>
    <row r="3818" spans="2:5" ht="15.75" thickBot="1">
      <c r="B3818" s="225" t="s">
        <v>6095</v>
      </c>
      <c r="C3818" s="226">
        <v>532007</v>
      </c>
      <c r="D3818" s="225" t="s">
        <v>597</v>
      </c>
      <c r="E3818" s="225" t="s">
        <v>1018</v>
      </c>
    </row>
    <row r="3819" spans="2:5" ht="15.75" thickBot="1">
      <c r="B3819" s="225" t="s">
        <v>6096</v>
      </c>
      <c r="C3819" s="225" t="s">
        <v>597</v>
      </c>
      <c r="D3819" s="225" t="s">
        <v>6097</v>
      </c>
      <c r="E3819" s="225" t="s">
        <v>608</v>
      </c>
    </row>
    <row r="3820" spans="2:5" ht="15.75" thickBot="1">
      <c r="B3820" s="225" t="s">
        <v>6098</v>
      </c>
      <c r="C3820" s="226">
        <v>516016</v>
      </c>
      <c r="D3820" s="225" t="s">
        <v>6099</v>
      </c>
      <c r="E3820" s="225" t="s">
        <v>591</v>
      </c>
    </row>
    <row r="3821" spans="2:5" ht="15.75" thickBot="1">
      <c r="B3821" s="225" t="s">
        <v>6100</v>
      </c>
      <c r="C3821" s="226">
        <v>526335</v>
      </c>
      <c r="D3821" s="225" t="s">
        <v>597</v>
      </c>
      <c r="E3821" s="225" t="s">
        <v>645</v>
      </c>
    </row>
    <row r="3822" spans="2:5" ht="15.75" thickBot="1">
      <c r="B3822" s="225" t="s">
        <v>6101</v>
      </c>
      <c r="C3822" s="226">
        <v>520151</v>
      </c>
      <c r="D3822" s="225" t="s">
        <v>6102</v>
      </c>
      <c r="E3822" s="225" t="s">
        <v>1844</v>
      </c>
    </row>
    <row r="3823" spans="2:5" ht="15.75" thickBot="1">
      <c r="B3823" s="225" t="s">
        <v>6103</v>
      </c>
      <c r="C3823" s="226">
        <v>526981</v>
      </c>
      <c r="D3823" s="225" t="s">
        <v>597</v>
      </c>
      <c r="E3823" s="225" t="s">
        <v>920</v>
      </c>
    </row>
    <row r="3824" spans="2:5" ht="15.75" thickBot="1">
      <c r="B3824" s="225" t="s">
        <v>6104</v>
      </c>
      <c r="C3824" s="226">
        <v>530841</v>
      </c>
      <c r="D3824" s="225" t="s">
        <v>597</v>
      </c>
      <c r="E3824" s="225" t="s">
        <v>874</v>
      </c>
    </row>
    <row r="3825" spans="2:5" ht="15.75" thickBot="1">
      <c r="B3825" s="225" t="s">
        <v>6105</v>
      </c>
      <c r="C3825" s="226">
        <v>503804</v>
      </c>
      <c r="D3825" s="225" t="s">
        <v>597</v>
      </c>
      <c r="E3825" s="225" t="s">
        <v>612</v>
      </c>
    </row>
    <row r="3826" spans="2:5" ht="15.75" thickBot="1">
      <c r="B3826" s="225" t="s">
        <v>6106</v>
      </c>
      <c r="C3826" s="226">
        <v>512453</v>
      </c>
      <c r="D3826" s="225" t="s">
        <v>597</v>
      </c>
      <c r="E3826" s="225" t="s">
        <v>792</v>
      </c>
    </row>
    <row r="3827" spans="2:5" ht="15.75" thickBot="1">
      <c r="B3827" s="225" t="s">
        <v>6107</v>
      </c>
      <c r="C3827" s="226">
        <v>532083</v>
      </c>
      <c r="D3827" s="225" t="s">
        <v>597</v>
      </c>
      <c r="E3827" s="225" t="s">
        <v>1018</v>
      </c>
    </row>
    <row r="3828" spans="2:5" ht="15.75" thickBot="1">
      <c r="B3828" s="225" t="s">
        <v>6108</v>
      </c>
      <c r="C3828" s="226">
        <v>530977</v>
      </c>
      <c r="D3828" s="225" t="s">
        <v>597</v>
      </c>
      <c r="E3828" s="225" t="s">
        <v>610</v>
      </c>
    </row>
    <row r="3829" spans="2:5" ht="15.75" thickBot="1">
      <c r="B3829" s="225" t="s">
        <v>6109</v>
      </c>
      <c r="C3829" s="226">
        <v>531080</v>
      </c>
      <c r="D3829" s="225" t="s">
        <v>597</v>
      </c>
      <c r="E3829" s="225" t="s">
        <v>683</v>
      </c>
    </row>
    <row r="3830" spans="2:5" ht="15.75" thickBot="1">
      <c r="B3830" s="225" t="s">
        <v>6110</v>
      </c>
      <c r="C3830" s="226">
        <v>538897</v>
      </c>
      <c r="D3830" s="225" t="s">
        <v>597</v>
      </c>
      <c r="E3830" s="225" t="s">
        <v>614</v>
      </c>
    </row>
    <row r="3831" spans="2:5" ht="15.75" thickBot="1">
      <c r="B3831" s="225" t="s">
        <v>6111</v>
      </c>
      <c r="C3831" s="225" t="s">
        <v>597</v>
      </c>
      <c r="D3831" s="225" t="s">
        <v>6112</v>
      </c>
      <c r="E3831" s="225" t="s">
        <v>608</v>
      </c>
    </row>
    <row r="3832" spans="2:5" ht="15.75" thickBot="1">
      <c r="B3832" s="225" t="s">
        <v>6113</v>
      </c>
      <c r="C3832" s="226">
        <v>508961</v>
      </c>
      <c r="D3832" s="225" t="s">
        <v>597</v>
      </c>
      <c r="E3832" s="225" t="s">
        <v>614</v>
      </c>
    </row>
    <row r="3833" spans="2:5" ht="15.75" thickBot="1">
      <c r="B3833" s="225" t="s">
        <v>6114</v>
      </c>
      <c r="C3833" s="226">
        <v>531359</v>
      </c>
      <c r="D3833" s="225" t="s">
        <v>597</v>
      </c>
      <c r="E3833" s="225" t="s">
        <v>3002</v>
      </c>
    </row>
    <row r="3834" spans="2:5" ht="15.75" thickBot="1">
      <c r="B3834" s="225" t="s">
        <v>6115</v>
      </c>
      <c r="C3834" s="226">
        <v>532498</v>
      </c>
      <c r="D3834" s="225" t="s">
        <v>6116</v>
      </c>
      <c r="E3834" s="225" t="s">
        <v>614</v>
      </c>
    </row>
    <row r="3835" spans="2:5" ht="15.75" thickBot="1">
      <c r="B3835" s="225" t="s">
        <v>6117</v>
      </c>
      <c r="C3835" s="226">
        <v>532945</v>
      </c>
      <c r="D3835" s="225" t="s">
        <v>6118</v>
      </c>
      <c r="E3835" s="225" t="s">
        <v>995</v>
      </c>
    </row>
    <row r="3836" spans="2:5" ht="15.75" thickBot="1">
      <c r="B3836" s="225" t="s">
        <v>6119</v>
      </c>
      <c r="C3836" s="225" t="s">
        <v>597</v>
      </c>
      <c r="D3836" s="225" t="s">
        <v>6120</v>
      </c>
      <c r="E3836" s="225" t="s">
        <v>688</v>
      </c>
    </row>
    <row r="3837" spans="2:5" ht="15.75" thickBot="1">
      <c r="B3837" s="225" t="s">
        <v>6121</v>
      </c>
      <c r="C3837" s="226">
        <v>511218</v>
      </c>
      <c r="D3837" s="225" t="s">
        <v>6122</v>
      </c>
      <c r="E3837" s="225" t="s">
        <v>614</v>
      </c>
    </row>
    <row r="3838" spans="2:5" ht="15.75" thickBot="1">
      <c r="B3838" s="225" t="s">
        <v>6123</v>
      </c>
      <c r="C3838" s="226">
        <v>511411</v>
      </c>
      <c r="D3838" s="225" t="s">
        <v>597</v>
      </c>
      <c r="E3838" s="225" t="s">
        <v>995</v>
      </c>
    </row>
    <row r="3839" spans="2:5" ht="15.75" thickBot="1">
      <c r="B3839" s="225" t="s">
        <v>6124</v>
      </c>
      <c r="C3839" s="226">
        <v>542019</v>
      </c>
      <c r="D3839" s="225" t="s">
        <v>597</v>
      </c>
      <c r="E3839" s="225" t="s">
        <v>612</v>
      </c>
    </row>
    <row r="3840" spans="2:5" ht="15.75" thickBot="1">
      <c r="B3840" s="225" t="s">
        <v>6125</v>
      </c>
      <c r="C3840" s="225" t="s">
        <v>597</v>
      </c>
      <c r="D3840" s="225" t="s">
        <v>6126</v>
      </c>
      <c r="E3840" s="225" t="s">
        <v>608</v>
      </c>
    </row>
    <row r="3841" spans="2:5" ht="15.75" thickBot="1">
      <c r="B3841" s="225" t="s">
        <v>6127</v>
      </c>
      <c r="C3841" s="226">
        <v>531506</v>
      </c>
      <c r="D3841" s="225" t="s">
        <v>6128</v>
      </c>
      <c r="E3841" s="225" t="s">
        <v>1018</v>
      </c>
    </row>
    <row r="3842" spans="2:5" ht="15.75" thickBot="1">
      <c r="B3842" s="225" t="s">
        <v>6129</v>
      </c>
      <c r="C3842" s="226">
        <v>523790</v>
      </c>
      <c r="D3842" s="225" t="s">
        <v>597</v>
      </c>
      <c r="E3842" s="225" t="s">
        <v>711</v>
      </c>
    </row>
    <row r="3843" spans="2:5" ht="15.75" thickBot="1">
      <c r="B3843" s="225" t="s">
        <v>6130</v>
      </c>
      <c r="C3843" s="226">
        <v>524632</v>
      </c>
      <c r="D3843" s="225" t="s">
        <v>597</v>
      </c>
      <c r="E3843" s="225" t="s">
        <v>635</v>
      </c>
    </row>
    <row r="3844" spans="2:5" ht="15.75" thickBot="1">
      <c r="B3844" s="225" t="s">
        <v>6131</v>
      </c>
      <c r="C3844" s="226">
        <v>539252</v>
      </c>
      <c r="D3844" s="225" t="s">
        <v>6132</v>
      </c>
      <c r="E3844" s="225" t="s">
        <v>629</v>
      </c>
    </row>
    <row r="3845" spans="2:5" ht="15.75" thickBot="1">
      <c r="B3845" s="225" t="s">
        <v>6133</v>
      </c>
      <c r="C3845" s="226">
        <v>517411</v>
      </c>
      <c r="D3845" s="225" t="s">
        <v>6134</v>
      </c>
      <c r="E3845" s="225" t="s">
        <v>743</v>
      </c>
    </row>
    <row r="3846" spans="2:5" ht="15.75" thickBot="1">
      <c r="B3846" s="225" t="s">
        <v>6135</v>
      </c>
      <c r="C3846" s="226">
        <v>531219</v>
      </c>
      <c r="D3846" s="225" t="s">
        <v>597</v>
      </c>
      <c r="E3846" s="225" t="s">
        <v>635</v>
      </c>
    </row>
    <row r="3847" spans="2:5" ht="15.75" thickBot="1">
      <c r="B3847" s="225" t="s">
        <v>6136</v>
      </c>
      <c r="C3847" s="226">
        <v>505515</v>
      </c>
      <c r="D3847" s="225" t="s">
        <v>597</v>
      </c>
      <c r="E3847" s="225" t="s">
        <v>580</v>
      </c>
    </row>
    <row r="3848" spans="2:5" ht="15.75" thickBot="1">
      <c r="B3848" s="225" t="s">
        <v>6137</v>
      </c>
      <c r="C3848" s="226">
        <v>530907</v>
      </c>
      <c r="D3848" s="225" t="s">
        <v>597</v>
      </c>
      <c r="E3848" s="225" t="s">
        <v>1018</v>
      </c>
    </row>
    <row r="3849" spans="2:5" ht="15.75" thickBot="1">
      <c r="B3849" s="225" t="s">
        <v>6138</v>
      </c>
      <c r="C3849" s="226">
        <v>520141</v>
      </c>
      <c r="D3849" s="225" t="s">
        <v>597</v>
      </c>
      <c r="E3849" s="225" t="s">
        <v>952</v>
      </c>
    </row>
    <row r="3850" spans="2:5" ht="15.75" thickBot="1">
      <c r="B3850" s="225" t="s">
        <v>6139</v>
      </c>
      <c r="C3850" s="226">
        <v>533014</v>
      </c>
      <c r="D3850" s="225" t="s">
        <v>6140</v>
      </c>
      <c r="E3850" s="225" t="s">
        <v>619</v>
      </c>
    </row>
    <row r="3851" spans="2:5" ht="15.75" thickBot="1">
      <c r="B3851" s="225" t="s">
        <v>6141</v>
      </c>
      <c r="C3851" s="226">
        <v>533014</v>
      </c>
      <c r="D3851" s="225" t="s">
        <v>6140</v>
      </c>
      <c r="E3851" s="225" t="s">
        <v>619</v>
      </c>
    </row>
    <row r="3852" spans="2:5" ht="15.75" thickBot="1">
      <c r="B3852" s="225" t="s">
        <v>6142</v>
      </c>
      <c r="C3852" s="226">
        <v>520086</v>
      </c>
      <c r="D3852" s="225" t="s">
        <v>6143</v>
      </c>
      <c r="E3852" s="225" t="s">
        <v>918</v>
      </c>
    </row>
    <row r="3853" spans="2:5" ht="15.75" thickBot="1">
      <c r="B3853" s="225" t="s">
        <v>6144</v>
      </c>
      <c r="C3853" s="226">
        <v>540736</v>
      </c>
      <c r="D3853" s="225" t="s">
        <v>597</v>
      </c>
      <c r="E3853" s="225" t="s">
        <v>702</v>
      </c>
    </row>
    <row r="3854" spans="2:5" ht="15.75" thickBot="1">
      <c r="B3854" s="225" t="s">
        <v>6145</v>
      </c>
      <c r="C3854" s="226">
        <v>539983</v>
      </c>
      <c r="D3854" s="225" t="s">
        <v>597</v>
      </c>
      <c r="E3854" s="225" t="s">
        <v>580</v>
      </c>
    </row>
    <row r="3855" spans="2:5" ht="15.75" thickBot="1">
      <c r="B3855" s="225" t="s">
        <v>6146</v>
      </c>
      <c r="C3855" s="226">
        <v>532217</v>
      </c>
      <c r="D3855" s="225" t="s">
        <v>597</v>
      </c>
      <c r="E3855" s="225" t="s">
        <v>580</v>
      </c>
    </row>
    <row r="3856" spans="2:5" ht="15.75" thickBot="1">
      <c r="B3856" s="225" t="s">
        <v>6147</v>
      </c>
      <c r="C3856" s="226">
        <v>500550</v>
      </c>
      <c r="D3856" s="225" t="s">
        <v>6148</v>
      </c>
      <c r="E3856" s="225" t="s">
        <v>640</v>
      </c>
    </row>
    <row r="3857" spans="2:5" ht="15.75" thickBot="1">
      <c r="B3857" s="225" t="s">
        <v>6149</v>
      </c>
      <c r="C3857" s="226">
        <v>512131</v>
      </c>
      <c r="D3857" s="225" t="s">
        <v>6150</v>
      </c>
      <c r="E3857" s="225" t="s">
        <v>717</v>
      </c>
    </row>
    <row r="3858" spans="2:5" ht="15.75" thickBot="1">
      <c r="B3858" s="225" t="s">
        <v>6151</v>
      </c>
      <c r="C3858" s="226">
        <v>523606</v>
      </c>
      <c r="D3858" s="225" t="s">
        <v>597</v>
      </c>
      <c r="E3858" s="225" t="s">
        <v>1070</v>
      </c>
    </row>
    <row r="3859" spans="2:5" ht="15.75" thickBot="1">
      <c r="B3859" s="225" t="s">
        <v>6152</v>
      </c>
      <c r="C3859" s="225" t="s">
        <v>597</v>
      </c>
      <c r="D3859" s="225" t="s">
        <v>6153</v>
      </c>
      <c r="E3859" s="225" t="s">
        <v>608</v>
      </c>
    </row>
    <row r="3860" spans="2:5" ht="15.75" thickBot="1">
      <c r="B3860" s="225" t="s">
        <v>6154</v>
      </c>
      <c r="C3860" s="226">
        <v>524642</v>
      </c>
      <c r="D3860" s="225" t="s">
        <v>597</v>
      </c>
      <c r="E3860" s="225" t="s">
        <v>683</v>
      </c>
    </row>
    <row r="3861" spans="2:5" ht="15.75" thickBot="1">
      <c r="B3861" s="225" t="s">
        <v>6155</v>
      </c>
      <c r="C3861" s="226">
        <v>521194</v>
      </c>
      <c r="D3861" s="225" t="s">
        <v>6156</v>
      </c>
      <c r="E3861" s="225" t="s">
        <v>580</v>
      </c>
    </row>
    <row r="3862" spans="2:5" ht="15.75" thickBot="1">
      <c r="B3862" s="225" t="s">
        <v>6157</v>
      </c>
      <c r="C3862" s="225" t="s">
        <v>597</v>
      </c>
      <c r="D3862" s="225" t="s">
        <v>6158</v>
      </c>
      <c r="E3862" s="225" t="s">
        <v>608</v>
      </c>
    </row>
    <row r="3863" spans="2:5" ht="15.75" thickBot="1">
      <c r="B3863" s="225" t="s">
        <v>6159</v>
      </c>
      <c r="C3863" s="225" t="s">
        <v>597</v>
      </c>
      <c r="D3863" s="225" t="s">
        <v>6160</v>
      </c>
      <c r="E3863" s="225" t="s">
        <v>608</v>
      </c>
    </row>
    <row r="3864" spans="2:5" ht="15.75" thickBot="1">
      <c r="B3864" s="225" t="s">
        <v>6161</v>
      </c>
      <c r="C3864" s="226">
        <v>531635</v>
      </c>
      <c r="D3864" s="225" t="s">
        <v>597</v>
      </c>
      <c r="E3864" s="225" t="s">
        <v>1229</v>
      </c>
    </row>
    <row r="3865" spans="2:5" ht="15.75" thickBot="1">
      <c r="B3865" s="225" t="s">
        <v>6162</v>
      </c>
      <c r="C3865" s="226">
        <v>512197</v>
      </c>
      <c r="D3865" s="225" t="s">
        <v>597</v>
      </c>
      <c r="E3865" s="225" t="s">
        <v>614</v>
      </c>
    </row>
    <row r="3866" spans="2:5" ht="15.75" thickBot="1">
      <c r="B3866" s="225" t="s">
        <v>6163</v>
      </c>
      <c r="C3866" s="226">
        <v>531635</v>
      </c>
      <c r="D3866" s="225" t="s">
        <v>597</v>
      </c>
      <c r="E3866" s="225" t="s">
        <v>1229</v>
      </c>
    </row>
    <row r="3867" spans="2:5" ht="15.75" thickBot="1">
      <c r="B3867" s="225" t="s">
        <v>6164</v>
      </c>
      <c r="C3867" s="225" t="s">
        <v>597</v>
      </c>
      <c r="D3867" s="225" t="s">
        <v>6165</v>
      </c>
      <c r="E3867" s="225" t="s">
        <v>608</v>
      </c>
    </row>
    <row r="3868" spans="2:5" ht="15.75" thickBot="1">
      <c r="B3868" s="225" t="s">
        <v>6166</v>
      </c>
      <c r="C3868" s="226">
        <v>536073</v>
      </c>
      <c r="D3868" s="225" t="s">
        <v>597</v>
      </c>
      <c r="E3868" s="225" t="s">
        <v>995</v>
      </c>
    </row>
    <row r="3869" spans="2:5" ht="15.75" thickBot="1">
      <c r="B3869" s="225" t="s">
        <v>6167</v>
      </c>
      <c r="C3869" s="226">
        <v>539742</v>
      </c>
      <c r="D3869" s="225" t="s">
        <v>6168</v>
      </c>
      <c r="E3869" s="225" t="s">
        <v>1296</v>
      </c>
    </row>
    <row r="3870" spans="2:5" ht="15.75" thickBot="1">
      <c r="B3870" s="225" t="s">
        <v>6169</v>
      </c>
      <c r="C3870" s="226">
        <v>507998</v>
      </c>
      <c r="D3870" s="225" t="s">
        <v>597</v>
      </c>
      <c r="E3870" s="225" t="s">
        <v>952</v>
      </c>
    </row>
    <row r="3871" spans="2:5" ht="15.75" thickBot="1">
      <c r="B3871" s="225" t="s">
        <v>6170</v>
      </c>
      <c r="C3871" s="226">
        <v>513472</v>
      </c>
      <c r="D3871" s="225" t="s">
        <v>597</v>
      </c>
      <c r="E3871" s="225" t="s">
        <v>1517</v>
      </c>
    </row>
    <row r="3872" spans="2:5" ht="15.75" thickBot="1">
      <c r="B3872" s="225" t="s">
        <v>6171</v>
      </c>
      <c r="C3872" s="226">
        <v>523838</v>
      </c>
      <c r="D3872" s="225" t="s">
        <v>6172</v>
      </c>
      <c r="E3872" s="225" t="s">
        <v>995</v>
      </c>
    </row>
    <row r="3873" spans="2:5" ht="15.75" thickBot="1">
      <c r="B3873" s="225" t="s">
        <v>6173</v>
      </c>
      <c r="C3873" s="226">
        <v>533018</v>
      </c>
      <c r="D3873" s="225" t="s">
        <v>597</v>
      </c>
      <c r="E3873" s="225" t="s">
        <v>612</v>
      </c>
    </row>
    <row r="3874" spans="2:5" ht="15.75" thickBot="1">
      <c r="B3874" s="225" t="s">
        <v>6174</v>
      </c>
      <c r="C3874" s="226">
        <v>533019</v>
      </c>
      <c r="D3874" s="225" t="s">
        <v>597</v>
      </c>
      <c r="E3874" s="225" t="s">
        <v>591</v>
      </c>
    </row>
    <row r="3875" spans="2:5" ht="15.75" thickBot="1">
      <c r="B3875" s="225" t="s">
        <v>6175</v>
      </c>
      <c r="C3875" s="226">
        <v>503229</v>
      </c>
      <c r="D3875" s="225" t="s">
        <v>597</v>
      </c>
      <c r="E3875" s="225" t="s">
        <v>683</v>
      </c>
    </row>
    <row r="3876" spans="2:5" ht="15.75" thickBot="1">
      <c r="B3876" s="225" t="s">
        <v>6176</v>
      </c>
      <c r="C3876" s="226">
        <v>519566</v>
      </c>
      <c r="D3876" s="225" t="s">
        <v>597</v>
      </c>
      <c r="E3876" s="225" t="s">
        <v>657</v>
      </c>
    </row>
    <row r="3877" spans="2:5" ht="15.75" thickBot="1">
      <c r="B3877" s="225" t="s">
        <v>6177</v>
      </c>
      <c r="C3877" s="226">
        <v>523023</v>
      </c>
      <c r="D3877" s="225" t="s">
        <v>597</v>
      </c>
      <c r="E3877" s="225" t="s">
        <v>798</v>
      </c>
    </row>
    <row r="3878" spans="2:5" ht="15.75" thickBot="1">
      <c r="B3878" s="225" t="s">
        <v>6178</v>
      </c>
      <c r="C3878" s="226">
        <v>532029</v>
      </c>
      <c r="D3878" s="225" t="s">
        <v>597</v>
      </c>
      <c r="E3878" s="225" t="s">
        <v>1018</v>
      </c>
    </row>
    <row r="3879" spans="2:5" ht="15.75" thickBot="1">
      <c r="B3879" s="225" t="s">
        <v>6179</v>
      </c>
      <c r="C3879" s="226">
        <v>505504</v>
      </c>
      <c r="D3879" s="225" t="s">
        <v>597</v>
      </c>
      <c r="E3879" s="225" t="s">
        <v>583</v>
      </c>
    </row>
    <row r="3880" spans="2:5" ht="15.75" thickBot="1">
      <c r="B3880" s="225" t="s">
        <v>6180</v>
      </c>
      <c r="C3880" s="226">
        <v>505729</v>
      </c>
      <c r="D3880" s="225" t="s">
        <v>597</v>
      </c>
      <c r="E3880" s="225" t="s">
        <v>605</v>
      </c>
    </row>
    <row r="3881" spans="2:5" ht="15.75" thickBot="1">
      <c r="B3881" s="225" t="s">
        <v>6181</v>
      </c>
      <c r="C3881" s="226">
        <v>505729</v>
      </c>
      <c r="D3881" s="225" t="s">
        <v>597</v>
      </c>
      <c r="E3881" s="225" t="s">
        <v>605</v>
      </c>
    </row>
    <row r="3882" spans="2:5" ht="15.75" thickBot="1">
      <c r="B3882" s="225" t="s">
        <v>6182</v>
      </c>
      <c r="C3882" s="226">
        <v>509887</v>
      </c>
      <c r="D3882" s="225" t="s">
        <v>597</v>
      </c>
      <c r="E3882" s="225" t="s">
        <v>2767</v>
      </c>
    </row>
    <row r="3883" spans="2:5" ht="15.75" thickBot="1">
      <c r="B3883" s="225" t="s">
        <v>6183</v>
      </c>
      <c r="C3883" s="226">
        <v>539410</v>
      </c>
      <c r="D3883" s="225" t="s">
        <v>597</v>
      </c>
      <c r="E3883" s="225" t="s">
        <v>619</v>
      </c>
    </row>
    <row r="3884" spans="2:5" ht="15.75" thickBot="1">
      <c r="B3884" s="225" t="s">
        <v>6184</v>
      </c>
      <c r="C3884" s="226">
        <v>539410</v>
      </c>
      <c r="D3884" s="225" t="s">
        <v>597</v>
      </c>
      <c r="E3884" s="225" t="s">
        <v>619</v>
      </c>
    </row>
    <row r="3885" spans="2:5" ht="15.75" thickBot="1">
      <c r="B3885" s="225" t="s">
        <v>6185</v>
      </c>
      <c r="C3885" s="225" t="s">
        <v>597</v>
      </c>
      <c r="D3885" s="225" t="s">
        <v>6186</v>
      </c>
      <c r="E3885" s="225" t="s">
        <v>608</v>
      </c>
    </row>
    <row r="3886" spans="2:5" ht="15.75" thickBot="1">
      <c r="B3886" s="225" t="s">
        <v>6187</v>
      </c>
      <c r="C3886" s="225" t="s">
        <v>597</v>
      </c>
      <c r="D3886" s="225" t="s">
        <v>6186</v>
      </c>
      <c r="E3886" s="225" t="s">
        <v>608</v>
      </c>
    </row>
    <row r="3887" spans="2:5" ht="15.75" thickBot="1">
      <c r="B3887" s="225" t="s">
        <v>6188</v>
      </c>
      <c r="C3887" s="226">
        <v>502742</v>
      </c>
      <c r="D3887" s="225" t="s">
        <v>6189</v>
      </c>
      <c r="E3887" s="225" t="s">
        <v>612</v>
      </c>
    </row>
    <row r="3888" spans="2:5" ht="15.75" thickBot="1">
      <c r="B3888" s="225" t="s">
        <v>6190</v>
      </c>
      <c r="C3888" s="226">
        <v>540653</v>
      </c>
      <c r="D3888" s="225" t="s">
        <v>6191</v>
      </c>
      <c r="E3888" s="225" t="s">
        <v>717</v>
      </c>
    </row>
    <row r="3889" spans="2:5" ht="15.75" thickBot="1">
      <c r="B3889" s="225" t="s">
        <v>6192</v>
      </c>
      <c r="C3889" s="226">
        <v>523164</v>
      </c>
      <c r="D3889" s="225" t="s">
        <v>597</v>
      </c>
      <c r="E3889" s="225" t="s">
        <v>795</v>
      </c>
    </row>
    <row r="3890" spans="2:5" ht="15.75" thickBot="1">
      <c r="B3890" s="225" t="s">
        <v>6193</v>
      </c>
      <c r="C3890" s="226">
        <v>532879</v>
      </c>
      <c r="D3890" s="225" t="s">
        <v>597</v>
      </c>
      <c r="E3890" s="225" t="s">
        <v>1296</v>
      </c>
    </row>
    <row r="3891" spans="2:5" ht="15.75" thickBot="1">
      <c r="B3891" s="225" t="s">
        <v>6194</v>
      </c>
      <c r="C3891" s="225" t="s">
        <v>597</v>
      </c>
      <c r="D3891" s="225" t="s">
        <v>6195</v>
      </c>
      <c r="E3891" s="225" t="s">
        <v>608</v>
      </c>
    </row>
    <row r="3892" spans="2:5" ht="15.75" thickBot="1">
      <c r="B3892" s="225" t="s">
        <v>6196</v>
      </c>
      <c r="C3892" s="225" t="s">
        <v>597</v>
      </c>
      <c r="D3892" s="225" t="s">
        <v>6195</v>
      </c>
      <c r="E3892" s="225" t="s">
        <v>608</v>
      </c>
    </row>
    <row r="3893" spans="2:5" ht="15.75" thickBot="1">
      <c r="B3893" s="225" t="s">
        <v>6197</v>
      </c>
      <c r="C3893" s="226">
        <v>538667</v>
      </c>
      <c r="D3893" s="225" t="s">
        <v>597</v>
      </c>
      <c r="E3893" s="225" t="s">
        <v>619</v>
      </c>
    </row>
    <row r="3894" spans="2:5" ht="15.75" thickBot="1">
      <c r="B3894" s="225" t="s">
        <v>6198</v>
      </c>
      <c r="C3894" s="226">
        <v>512589</v>
      </c>
      <c r="D3894" s="225" t="s">
        <v>597</v>
      </c>
      <c r="E3894" s="225" t="s">
        <v>619</v>
      </c>
    </row>
    <row r="3895" spans="2:5" ht="15.75" thickBot="1">
      <c r="B3895" s="225" t="s">
        <v>6199</v>
      </c>
      <c r="C3895" s="226">
        <v>532961</v>
      </c>
      <c r="D3895" s="225" t="s">
        <v>6200</v>
      </c>
      <c r="E3895" s="225" t="s">
        <v>677</v>
      </c>
    </row>
    <row r="3896" spans="2:5" ht="15.75" thickBot="1">
      <c r="B3896" s="225" t="s">
        <v>6201</v>
      </c>
      <c r="C3896" s="226">
        <v>532795</v>
      </c>
      <c r="D3896" s="225" t="s">
        <v>6202</v>
      </c>
      <c r="E3896" s="225" t="s">
        <v>1336</v>
      </c>
    </row>
    <row r="3897" spans="2:5" ht="15.75" thickBot="1">
      <c r="B3897" s="225" t="s">
        <v>6203</v>
      </c>
      <c r="C3897" s="226">
        <v>503811</v>
      </c>
      <c r="D3897" s="225" t="s">
        <v>6204</v>
      </c>
      <c r="E3897" s="225" t="s">
        <v>612</v>
      </c>
    </row>
    <row r="3898" spans="2:5" ht="15.75" thickBot="1">
      <c r="B3898" s="225" t="s">
        <v>6205</v>
      </c>
      <c r="C3898" s="226">
        <v>504398</v>
      </c>
      <c r="D3898" s="225" t="s">
        <v>597</v>
      </c>
      <c r="E3898" s="225" t="s">
        <v>711</v>
      </c>
    </row>
    <row r="3899" spans="2:5" ht="15.75" thickBot="1">
      <c r="B3899" s="225" t="s">
        <v>6206</v>
      </c>
      <c r="C3899" s="226">
        <v>533206</v>
      </c>
      <c r="D3899" s="225" t="s">
        <v>555</v>
      </c>
      <c r="E3899" s="225" t="s">
        <v>736</v>
      </c>
    </row>
    <row r="3900" spans="2:5" ht="15.75" thickBot="1">
      <c r="B3900" s="225" t="s">
        <v>6207</v>
      </c>
      <c r="C3900" s="226">
        <v>500472</v>
      </c>
      <c r="D3900" s="225" t="s">
        <v>6208</v>
      </c>
      <c r="E3900" s="225" t="s">
        <v>782</v>
      </c>
    </row>
    <row r="3901" spans="2:5" ht="15.75" thickBot="1">
      <c r="B3901" s="225" t="s">
        <v>6209</v>
      </c>
      <c r="C3901" s="226">
        <v>500472</v>
      </c>
      <c r="D3901" s="225" t="s">
        <v>6210</v>
      </c>
      <c r="E3901" s="225" t="s">
        <v>782</v>
      </c>
    </row>
    <row r="3902" spans="2:5" ht="15.75" thickBot="1">
      <c r="B3902" s="225" t="s">
        <v>6211</v>
      </c>
      <c r="C3902" s="226">
        <v>539861</v>
      </c>
      <c r="D3902" s="225" t="s">
        <v>6212</v>
      </c>
      <c r="E3902" s="225" t="s">
        <v>995</v>
      </c>
    </row>
    <row r="3903" spans="2:5" ht="15.75" thickBot="1">
      <c r="B3903" s="225" t="s">
        <v>6213</v>
      </c>
      <c r="C3903" s="226">
        <v>538562</v>
      </c>
      <c r="D3903" s="225" t="s">
        <v>6214</v>
      </c>
      <c r="E3903" s="225" t="s">
        <v>995</v>
      </c>
    </row>
    <row r="3904" spans="2:5" ht="15.75" thickBot="1">
      <c r="B3904" s="225" t="s">
        <v>6215</v>
      </c>
      <c r="C3904" s="226">
        <v>532143</v>
      </c>
      <c r="D3904" s="225" t="s">
        <v>6216</v>
      </c>
      <c r="E3904" s="225" t="s">
        <v>677</v>
      </c>
    </row>
    <row r="3905" spans="2:5" ht="15.75" thickBot="1">
      <c r="B3905" s="225" t="s">
        <v>6217</v>
      </c>
      <c r="C3905" s="226">
        <v>532143</v>
      </c>
      <c r="D3905" s="225" t="s">
        <v>6216</v>
      </c>
      <c r="E3905" s="225" t="s">
        <v>677</v>
      </c>
    </row>
    <row r="3906" spans="2:5" ht="15.75" thickBot="1">
      <c r="B3906" s="225" t="s">
        <v>6218</v>
      </c>
      <c r="C3906" s="226">
        <v>531169</v>
      </c>
      <c r="D3906" s="225" t="s">
        <v>597</v>
      </c>
      <c r="E3906" s="225" t="s">
        <v>614</v>
      </c>
    </row>
    <row r="3907" spans="2:5" ht="15.75" thickBot="1">
      <c r="B3907" s="225" t="s">
        <v>6219</v>
      </c>
      <c r="C3907" s="225" t="s">
        <v>597</v>
      </c>
      <c r="D3907" s="225" t="s">
        <v>6220</v>
      </c>
      <c r="E3907" s="225" t="s">
        <v>608</v>
      </c>
    </row>
    <row r="3908" spans="2:5" ht="15.75" thickBot="1">
      <c r="B3908" s="225" t="s">
        <v>6221</v>
      </c>
      <c r="C3908" s="226">
        <v>541967</v>
      </c>
      <c r="D3908" s="225" t="s">
        <v>597</v>
      </c>
      <c r="E3908" s="225" t="s">
        <v>711</v>
      </c>
    </row>
    <row r="3909" spans="2:5" ht="15.75" thickBot="1">
      <c r="B3909" s="225" t="s">
        <v>6222</v>
      </c>
      <c r="C3909" s="226">
        <v>526479</v>
      </c>
      <c r="D3909" s="225" t="s">
        <v>597</v>
      </c>
      <c r="E3909" s="225" t="s">
        <v>612</v>
      </c>
    </row>
    <row r="3910" spans="2:5" ht="15.75" thickBot="1">
      <c r="B3910" s="225" t="s">
        <v>6223</v>
      </c>
      <c r="C3910" s="226">
        <v>505650</v>
      </c>
      <c r="D3910" s="225" t="s">
        <v>597</v>
      </c>
      <c r="E3910" s="225" t="s">
        <v>675</v>
      </c>
    </row>
    <row r="3911" spans="2:5" ht="15.75" thickBot="1">
      <c r="B3911" s="225" t="s">
        <v>6224</v>
      </c>
      <c r="C3911" s="226">
        <v>538919</v>
      </c>
      <c r="D3911" s="225" t="s">
        <v>597</v>
      </c>
      <c r="E3911" s="225" t="s">
        <v>683</v>
      </c>
    </row>
    <row r="3912" spans="2:5" ht="15.75" thickBot="1">
      <c r="B3912" s="225" t="s">
        <v>6225</v>
      </c>
      <c r="C3912" s="226">
        <v>538919</v>
      </c>
      <c r="D3912" s="225" t="s">
        <v>597</v>
      </c>
      <c r="E3912" s="225" t="s">
        <v>683</v>
      </c>
    </row>
    <row r="3913" spans="2:5" ht="15.75" thickBot="1">
      <c r="B3913" s="225" t="s">
        <v>6226</v>
      </c>
      <c r="C3913" s="226">
        <v>539494</v>
      </c>
      <c r="D3913" s="225" t="s">
        <v>597</v>
      </c>
      <c r="E3913" s="225" t="s">
        <v>614</v>
      </c>
    </row>
    <row r="3914" spans="2:5" ht="15.75" thickBot="1">
      <c r="B3914" s="225" t="s">
        <v>6227</v>
      </c>
      <c r="C3914" s="226">
        <v>532419</v>
      </c>
      <c r="D3914" s="225" t="s">
        <v>6228</v>
      </c>
      <c r="E3914" s="225" t="s">
        <v>2223</v>
      </c>
    </row>
    <row r="3915" spans="2:5" ht="15.75" thickBot="1">
      <c r="B3915" s="225" t="s">
        <v>6229</v>
      </c>
      <c r="C3915" s="226">
        <v>508905</v>
      </c>
      <c r="D3915" s="225" t="s">
        <v>597</v>
      </c>
      <c r="E3915" s="225" t="s">
        <v>580</v>
      </c>
    </row>
    <row r="3916" spans="2:5" ht="15.75" thickBot="1">
      <c r="B3916" s="225" t="s">
        <v>6230</v>
      </c>
      <c r="C3916" s="226">
        <v>505192</v>
      </c>
      <c r="D3916" s="225" t="s">
        <v>6231</v>
      </c>
      <c r="E3916" s="225" t="s">
        <v>675</v>
      </c>
    </row>
    <row r="3917" spans="2:5" ht="15.75" thickBot="1">
      <c r="B3917" s="225" t="s">
        <v>6232</v>
      </c>
      <c r="C3917" s="226">
        <v>540686</v>
      </c>
      <c r="D3917" s="225" t="s">
        <v>597</v>
      </c>
      <c r="E3917" s="225" t="s">
        <v>635</v>
      </c>
    </row>
    <row r="3918" spans="2:5" ht="15.75" thickBot="1">
      <c r="B3918" s="225" t="s">
        <v>6233</v>
      </c>
      <c r="C3918" s="226">
        <v>540679</v>
      </c>
      <c r="D3918" s="225" t="s">
        <v>6234</v>
      </c>
      <c r="E3918" s="225" t="s">
        <v>635</v>
      </c>
    </row>
    <row r="3919" spans="2:5" ht="15.75" thickBot="1">
      <c r="B3919" s="225" t="s">
        <v>6235</v>
      </c>
      <c r="C3919" s="226">
        <v>540679</v>
      </c>
      <c r="D3919" s="225" t="s">
        <v>6234</v>
      </c>
      <c r="E3919" s="225" t="s">
        <v>635</v>
      </c>
    </row>
    <row r="3920" spans="2:5" ht="15.75" thickBot="1">
      <c r="B3920" s="225" t="s">
        <v>6236</v>
      </c>
      <c r="C3920" s="226">
        <v>532815</v>
      </c>
      <c r="D3920" s="225" t="s">
        <v>6237</v>
      </c>
      <c r="E3920" s="225" t="s">
        <v>635</v>
      </c>
    </row>
    <row r="3921" spans="2:5" ht="15.75" thickBot="1">
      <c r="B3921" s="225" t="s">
        <v>6238</v>
      </c>
      <c r="C3921" s="225" t="s">
        <v>597</v>
      </c>
      <c r="D3921" s="225" t="s">
        <v>6239</v>
      </c>
      <c r="E3921" s="225" t="s">
        <v>608</v>
      </c>
    </row>
    <row r="3922" spans="2:5" ht="15.75" thickBot="1">
      <c r="B3922" s="225" t="s">
        <v>6240</v>
      </c>
      <c r="C3922" s="226">
        <v>505827</v>
      </c>
      <c r="D3922" s="225" t="s">
        <v>597</v>
      </c>
      <c r="E3922" s="225" t="s">
        <v>782</v>
      </c>
    </row>
    <row r="3923" spans="2:5" ht="15.75" thickBot="1">
      <c r="B3923" s="225" t="s">
        <v>6241</v>
      </c>
      <c r="C3923" s="226">
        <v>538635</v>
      </c>
      <c r="D3923" s="225" t="s">
        <v>6242</v>
      </c>
      <c r="E3923" s="225" t="s">
        <v>918</v>
      </c>
    </row>
    <row r="3924" spans="2:5" ht="15.75" thickBot="1">
      <c r="B3924" s="225" t="s">
        <v>6243</v>
      </c>
      <c r="C3924" s="226">
        <v>532784</v>
      </c>
      <c r="D3924" s="225" t="s">
        <v>6244</v>
      </c>
      <c r="E3924" s="225" t="s">
        <v>683</v>
      </c>
    </row>
    <row r="3925" spans="2:5" ht="15.75" thickBot="1">
      <c r="B3925" s="225" t="s">
        <v>6245</v>
      </c>
      <c r="C3925" s="226">
        <v>512014</v>
      </c>
      <c r="D3925" s="225" t="s">
        <v>597</v>
      </c>
      <c r="E3925" s="225" t="s">
        <v>1018</v>
      </c>
    </row>
    <row r="3926" spans="2:5" ht="15.75" thickBot="1">
      <c r="B3926" s="225" t="s">
        <v>6246</v>
      </c>
      <c r="C3926" s="226">
        <v>538923</v>
      </c>
      <c r="D3926" s="225" t="s">
        <v>597</v>
      </c>
      <c r="E3926" s="225" t="s">
        <v>583</v>
      </c>
    </row>
    <row r="3927" spans="2:5" ht="15.75" thickBot="1">
      <c r="B3927" s="225" t="s">
        <v>6247</v>
      </c>
      <c r="C3927" s="226">
        <v>504375</v>
      </c>
      <c r="D3927" s="225" t="s">
        <v>597</v>
      </c>
      <c r="E3927" s="225" t="s">
        <v>583</v>
      </c>
    </row>
    <row r="3928" spans="2:5" ht="15.75" thickBot="1">
      <c r="B3928" s="225" t="s">
        <v>6248</v>
      </c>
      <c r="C3928" s="226">
        <v>532344</v>
      </c>
      <c r="D3928" s="225" t="s">
        <v>597</v>
      </c>
      <c r="E3928" s="225" t="s">
        <v>690</v>
      </c>
    </row>
    <row r="3929" spans="2:5" ht="15.75" thickBot="1">
      <c r="B3929" s="225" t="s">
        <v>6249</v>
      </c>
      <c r="C3929" s="226">
        <v>532344</v>
      </c>
      <c r="D3929" s="225" t="s">
        <v>597</v>
      </c>
      <c r="E3929" s="225" t="s">
        <v>690</v>
      </c>
    </row>
    <row r="3930" spans="2:5" ht="15.75" thickBot="1">
      <c r="B3930" s="225" t="s">
        <v>6250</v>
      </c>
      <c r="C3930" s="225" t="s">
        <v>597</v>
      </c>
      <c r="D3930" s="225" t="s">
        <v>6251</v>
      </c>
      <c r="E3930" s="225" t="s">
        <v>608</v>
      </c>
    </row>
    <row r="3931" spans="2:5" ht="15.75" thickBot="1">
      <c r="B3931" s="225" t="s">
        <v>6252</v>
      </c>
      <c r="C3931" s="226">
        <v>532725</v>
      </c>
      <c r="D3931" s="225" t="s">
        <v>6253</v>
      </c>
      <c r="E3931" s="225" t="s">
        <v>757</v>
      </c>
    </row>
    <row r="3932" spans="2:5" ht="15.75" thickBot="1">
      <c r="B3932" s="225" t="s">
        <v>6254</v>
      </c>
      <c r="C3932" s="226">
        <v>532725</v>
      </c>
      <c r="D3932" s="225" t="s">
        <v>6253</v>
      </c>
      <c r="E3932" s="225" t="s">
        <v>757</v>
      </c>
    </row>
    <row r="3933" spans="2:5" ht="15.75" thickBot="1">
      <c r="B3933" s="225" t="s">
        <v>6255</v>
      </c>
      <c r="C3933" s="226">
        <v>541540</v>
      </c>
      <c r="D3933" s="225" t="s">
        <v>6256</v>
      </c>
      <c r="E3933" s="225" t="s">
        <v>635</v>
      </c>
    </row>
    <row r="3934" spans="2:5" ht="15.75" thickBot="1">
      <c r="B3934" s="225" t="s">
        <v>6257</v>
      </c>
      <c r="C3934" s="225" t="s">
        <v>597</v>
      </c>
      <c r="D3934" s="225" t="s">
        <v>6258</v>
      </c>
      <c r="E3934" s="225" t="s">
        <v>608</v>
      </c>
    </row>
    <row r="3935" spans="2:5" ht="15.75" thickBot="1">
      <c r="B3935" s="225" t="s">
        <v>6259</v>
      </c>
      <c r="C3935" s="226">
        <v>500394</v>
      </c>
      <c r="D3935" s="225" t="s">
        <v>597</v>
      </c>
      <c r="E3935" s="225" t="s">
        <v>782</v>
      </c>
    </row>
    <row r="3936" spans="2:5" ht="15.75" thickBot="1">
      <c r="B3936" s="225" t="s">
        <v>6260</v>
      </c>
      <c r="C3936" s="226">
        <v>502460</v>
      </c>
      <c r="D3936" s="225" t="s">
        <v>597</v>
      </c>
      <c r="E3936" s="225" t="s">
        <v>591</v>
      </c>
    </row>
    <row r="3937" spans="2:5" ht="15.75" thickBot="1">
      <c r="B3937" s="225" t="s">
        <v>6261</v>
      </c>
      <c r="C3937" s="226">
        <v>513699</v>
      </c>
      <c r="D3937" s="225" t="s">
        <v>597</v>
      </c>
      <c r="E3937" s="225" t="s">
        <v>1125</v>
      </c>
    </row>
    <row r="3938" spans="2:5" ht="15.75" thickBot="1">
      <c r="B3938" s="225" t="s">
        <v>6262</v>
      </c>
      <c r="C3938" s="226">
        <v>538575</v>
      </c>
      <c r="D3938" s="225" t="s">
        <v>597</v>
      </c>
      <c r="E3938" s="225" t="s">
        <v>619</v>
      </c>
    </row>
    <row r="3939" spans="2:5" ht="15.75" thickBot="1">
      <c r="B3939" s="225" t="s">
        <v>6263</v>
      </c>
      <c r="C3939" s="226">
        <v>522152</v>
      </c>
      <c r="D3939" s="225" t="s">
        <v>597</v>
      </c>
      <c r="E3939" s="225" t="s">
        <v>605</v>
      </c>
    </row>
    <row r="3940" spans="2:5" ht="15.75" thickBot="1">
      <c r="B3940" s="225" t="s">
        <v>6264</v>
      </c>
      <c r="C3940" s="226">
        <v>511571</v>
      </c>
      <c r="D3940" s="225" t="s">
        <v>597</v>
      </c>
      <c r="E3940" s="225" t="s">
        <v>614</v>
      </c>
    </row>
    <row r="3941" spans="2:5" ht="15.75" thickBot="1">
      <c r="B3941" s="225" t="s">
        <v>6265</v>
      </c>
      <c r="C3941" s="226">
        <v>507514</v>
      </c>
      <c r="D3941" s="225" t="s">
        <v>6266</v>
      </c>
      <c r="E3941" s="225" t="s">
        <v>1229</v>
      </c>
    </row>
    <row r="3942" spans="2:5" ht="15.75" thickBot="1">
      <c r="B3942" s="225" t="s">
        <v>6267</v>
      </c>
      <c r="C3942" s="226">
        <v>521034</v>
      </c>
      <c r="D3942" s="225" t="s">
        <v>6268</v>
      </c>
      <c r="E3942" s="225" t="s">
        <v>612</v>
      </c>
    </row>
    <row r="3943" spans="2:5" ht="15.75" thickBot="1">
      <c r="B3943" s="225" t="s">
        <v>6269</v>
      </c>
      <c r="C3943" s="226">
        <v>531548</v>
      </c>
      <c r="D3943" s="225" t="s">
        <v>6270</v>
      </c>
      <c r="E3943" s="225" t="s">
        <v>874</v>
      </c>
    </row>
    <row r="3944" spans="2:5" ht="15.75" thickBot="1">
      <c r="B3944" s="225" t="s">
        <v>6271</v>
      </c>
      <c r="C3944" s="226">
        <v>533001</v>
      </c>
      <c r="D3944" s="225" t="s">
        <v>6272</v>
      </c>
      <c r="E3944" s="225" t="s">
        <v>605</v>
      </c>
    </row>
    <row r="3945" spans="2:5" ht="15.75" thickBot="1">
      <c r="B3945" s="225" t="s">
        <v>6273</v>
      </c>
      <c r="C3945" s="226">
        <v>526901</v>
      </c>
      <c r="D3945" s="225" t="s">
        <v>597</v>
      </c>
      <c r="E3945" s="225" t="s">
        <v>645</v>
      </c>
    </row>
    <row r="3946" spans="2:5" ht="15.75" thickBot="1">
      <c r="B3946" s="225" t="s">
        <v>6274</v>
      </c>
      <c r="C3946" s="226">
        <v>538943</v>
      </c>
      <c r="D3946" s="225" t="s">
        <v>597</v>
      </c>
      <c r="E3946" s="225" t="s">
        <v>614</v>
      </c>
    </row>
    <row r="3947" spans="2:5" ht="15.75" thickBot="1">
      <c r="B3947" s="225" t="s">
        <v>6275</v>
      </c>
      <c r="C3947" s="225" t="s">
        <v>597</v>
      </c>
      <c r="D3947" s="225" t="s">
        <v>6276</v>
      </c>
      <c r="E3947" s="225" t="s">
        <v>608</v>
      </c>
    </row>
    <row r="3948" spans="2:5" ht="15.75" thickBot="1">
      <c r="B3948" s="225" t="s">
        <v>6277</v>
      </c>
      <c r="C3948" s="226">
        <v>532221</v>
      </c>
      <c r="D3948" s="225" t="s">
        <v>6278</v>
      </c>
      <c r="E3948" s="225" t="s">
        <v>583</v>
      </c>
    </row>
    <row r="3949" spans="2:5" ht="15.75" thickBot="1">
      <c r="B3949" s="225" t="s">
        <v>6279</v>
      </c>
      <c r="C3949" s="226">
        <v>539378</v>
      </c>
      <c r="D3949" s="225" t="s">
        <v>597</v>
      </c>
      <c r="E3949" s="225" t="s">
        <v>1067</v>
      </c>
    </row>
    <row r="3950" spans="2:5" ht="15.75" thickBot="1">
      <c r="B3950" s="225" t="s">
        <v>6280</v>
      </c>
      <c r="C3950" s="225" t="s">
        <v>597</v>
      </c>
      <c r="D3950" s="225" t="s">
        <v>6281</v>
      </c>
      <c r="E3950" s="225" t="s">
        <v>608</v>
      </c>
    </row>
    <row r="3951" spans="2:5" ht="15.75" thickBot="1">
      <c r="B3951" s="225" t="s">
        <v>6282</v>
      </c>
      <c r="C3951" s="226">
        <v>541633</v>
      </c>
      <c r="D3951" s="225" t="s">
        <v>597</v>
      </c>
      <c r="E3951" s="225" t="s">
        <v>591</v>
      </c>
    </row>
    <row r="3952" spans="2:5" ht="15.75" thickBot="1">
      <c r="B3952" s="225" t="s">
        <v>6283</v>
      </c>
      <c r="C3952" s="226">
        <v>532679</v>
      </c>
      <c r="D3952" s="225" t="s">
        <v>6284</v>
      </c>
      <c r="E3952" s="225" t="s">
        <v>586</v>
      </c>
    </row>
    <row r="3953" spans="2:5" ht="15.75" thickBot="1">
      <c r="B3953" s="225" t="s">
        <v>6285</v>
      </c>
      <c r="C3953" s="226">
        <v>521036</v>
      </c>
      <c r="D3953" s="225" t="s">
        <v>597</v>
      </c>
      <c r="E3953" s="225" t="s">
        <v>612</v>
      </c>
    </row>
    <row r="3954" spans="2:5" ht="15.75" thickBot="1">
      <c r="B3954" s="225" t="s">
        <v>6286</v>
      </c>
      <c r="C3954" s="226">
        <v>521036</v>
      </c>
      <c r="D3954" s="225" t="s">
        <v>597</v>
      </c>
      <c r="E3954" s="225" t="s">
        <v>612</v>
      </c>
    </row>
    <row r="3955" spans="2:5" ht="15.75" thickBot="1">
      <c r="B3955" s="225" t="s">
        <v>6287</v>
      </c>
      <c r="C3955" s="226">
        <v>531398</v>
      </c>
      <c r="D3955" s="225" t="s">
        <v>597</v>
      </c>
      <c r="E3955" s="225" t="s">
        <v>635</v>
      </c>
    </row>
    <row r="3956" spans="2:5" ht="15.75" thickBot="1">
      <c r="B3956" s="225" t="s">
        <v>6288</v>
      </c>
      <c r="C3956" s="226">
        <v>526477</v>
      </c>
      <c r="D3956" s="225" t="s">
        <v>597</v>
      </c>
      <c r="E3956" s="225" t="s">
        <v>775</v>
      </c>
    </row>
    <row r="3957" spans="2:5" ht="15.75" thickBot="1">
      <c r="B3957" s="225" t="s">
        <v>6289</v>
      </c>
      <c r="C3957" s="226">
        <v>516108</v>
      </c>
      <c r="D3957" s="225" t="s">
        <v>597</v>
      </c>
      <c r="E3957" s="225" t="s">
        <v>591</v>
      </c>
    </row>
    <row r="3958" spans="2:5" ht="15.75" thickBot="1">
      <c r="B3958" s="225" t="s">
        <v>6290</v>
      </c>
      <c r="C3958" s="226">
        <v>538891</v>
      </c>
      <c r="D3958" s="225" t="s">
        <v>597</v>
      </c>
      <c r="E3958" s="225" t="s">
        <v>614</v>
      </c>
    </row>
    <row r="3959" spans="2:5" ht="15.75" thickBot="1">
      <c r="B3959" s="225" t="s">
        <v>6291</v>
      </c>
      <c r="C3959" s="225" t="s">
        <v>597</v>
      </c>
      <c r="D3959" s="225" t="s">
        <v>6292</v>
      </c>
      <c r="E3959" s="225" t="s">
        <v>608</v>
      </c>
    </row>
    <row r="3960" spans="2:5" ht="15.75" thickBot="1">
      <c r="B3960" s="225" t="s">
        <v>6293</v>
      </c>
      <c r="C3960" s="226">
        <v>509910</v>
      </c>
      <c r="D3960" s="225" t="s">
        <v>597</v>
      </c>
      <c r="E3960" s="225" t="s">
        <v>645</v>
      </c>
    </row>
    <row r="3961" spans="2:5" ht="15.75" thickBot="1">
      <c r="B3961" s="225" t="s">
        <v>6294</v>
      </c>
      <c r="C3961" s="226">
        <v>540174</v>
      </c>
      <c r="D3961" s="225" t="s">
        <v>597</v>
      </c>
      <c r="E3961" s="225" t="s">
        <v>583</v>
      </c>
    </row>
    <row r="3962" spans="2:5" ht="15.75" thickBot="1">
      <c r="B3962" s="225" t="s">
        <v>6295</v>
      </c>
      <c r="C3962" s="226">
        <v>514454</v>
      </c>
      <c r="D3962" s="225" t="s">
        <v>597</v>
      </c>
      <c r="E3962" s="225" t="s">
        <v>612</v>
      </c>
    </row>
    <row r="3963" spans="2:5" ht="15.75" thickBot="1">
      <c r="B3963" s="225" t="s">
        <v>6296</v>
      </c>
      <c r="C3963" s="226">
        <v>513498</v>
      </c>
      <c r="D3963" s="225" t="s">
        <v>597</v>
      </c>
      <c r="E3963" s="225" t="s">
        <v>577</v>
      </c>
    </row>
    <row r="3964" spans="2:5" ht="15.75" thickBot="1">
      <c r="B3964" s="225" t="s">
        <v>6297</v>
      </c>
      <c r="C3964" s="226">
        <v>532669</v>
      </c>
      <c r="D3964" s="225" t="s">
        <v>597</v>
      </c>
      <c r="E3964" s="225" t="s">
        <v>645</v>
      </c>
    </row>
    <row r="3965" spans="2:5" ht="15.75" thickBot="1">
      <c r="B3965" s="225" t="s">
        <v>6298</v>
      </c>
      <c r="C3965" s="226">
        <v>590030</v>
      </c>
      <c r="D3965" s="225" t="s">
        <v>6299</v>
      </c>
      <c r="E3965" s="225" t="s">
        <v>1105</v>
      </c>
    </row>
    <row r="3966" spans="2:5" ht="15.75" thickBot="1">
      <c r="B3966" s="225" t="s">
        <v>6300</v>
      </c>
      <c r="C3966" s="226">
        <v>523826</v>
      </c>
      <c r="D3966" s="225" t="s">
        <v>597</v>
      </c>
      <c r="E3966" s="225" t="s">
        <v>711</v>
      </c>
    </row>
    <row r="3967" spans="2:5" ht="15.75" thickBot="1">
      <c r="B3967" s="225" t="s">
        <v>6301</v>
      </c>
      <c r="C3967" s="226">
        <v>532025</v>
      </c>
      <c r="D3967" s="225" t="s">
        <v>597</v>
      </c>
      <c r="E3967" s="225" t="s">
        <v>600</v>
      </c>
    </row>
    <row r="3968" spans="2:5" ht="15.75" thickBot="1">
      <c r="B3968" s="225" t="s">
        <v>6302</v>
      </c>
      <c r="C3968" s="226">
        <v>530289</v>
      </c>
      <c r="D3968" s="225" t="s">
        <v>597</v>
      </c>
      <c r="E3968" s="225" t="s">
        <v>1018</v>
      </c>
    </row>
    <row r="3969" spans="2:5" ht="15.75" thickBot="1">
      <c r="B3969" s="225" t="s">
        <v>6303</v>
      </c>
      <c r="C3969" s="226">
        <v>542376</v>
      </c>
      <c r="D3969" s="225" t="s">
        <v>6304</v>
      </c>
      <c r="E3969" s="225" t="s">
        <v>580</v>
      </c>
    </row>
    <row r="3970" spans="2:5" ht="15.75" thickBot="1">
      <c r="B3970" s="225" t="s">
        <v>6305</v>
      </c>
      <c r="C3970" s="226">
        <v>541890</v>
      </c>
      <c r="D3970" s="225" t="s">
        <v>597</v>
      </c>
      <c r="E3970" s="225" t="s">
        <v>583</v>
      </c>
    </row>
    <row r="3971" spans="2:5" ht="15.75" thickBot="1">
      <c r="B3971" s="225" t="s">
        <v>6306</v>
      </c>
      <c r="C3971" s="226">
        <v>538920</v>
      </c>
      <c r="D3971" s="225" t="s">
        <v>597</v>
      </c>
      <c r="E3971" s="225" t="s">
        <v>619</v>
      </c>
    </row>
    <row r="3972" spans="2:5" ht="15.75" thickBot="1">
      <c r="B3972" s="225" t="s">
        <v>6307</v>
      </c>
      <c r="C3972" s="225" t="s">
        <v>597</v>
      </c>
      <c r="D3972" s="225" t="s">
        <v>6308</v>
      </c>
      <c r="E3972" s="225" t="s">
        <v>688</v>
      </c>
    </row>
    <row r="3973" spans="2:5" ht="15.75" thickBot="1">
      <c r="B3973" s="225" t="s">
        <v>6309</v>
      </c>
      <c r="C3973" s="225" t="s">
        <v>597</v>
      </c>
      <c r="D3973" s="225" t="s">
        <v>6308</v>
      </c>
      <c r="E3973" s="225" t="s">
        <v>688</v>
      </c>
    </row>
    <row r="3974" spans="2:5" ht="15.75" thickBot="1">
      <c r="B3974" s="225" t="s">
        <v>6310</v>
      </c>
      <c r="C3974" s="226">
        <v>524727</v>
      </c>
      <c r="D3974" s="225" t="s">
        <v>597</v>
      </c>
      <c r="E3974" s="225" t="s">
        <v>635</v>
      </c>
    </row>
    <row r="3975" spans="2:5" ht="15.75" thickBot="1">
      <c r="B3975" s="225" t="s">
        <v>6311</v>
      </c>
      <c r="C3975" s="226">
        <v>531370</v>
      </c>
      <c r="D3975" s="225" t="s">
        <v>597</v>
      </c>
      <c r="E3975" s="225" t="s">
        <v>583</v>
      </c>
    </row>
    <row r="3976" spans="2:5" ht="15.75" thickBot="1">
      <c r="B3976" s="225" t="s">
        <v>6312</v>
      </c>
      <c r="C3976" s="226">
        <v>540211</v>
      </c>
      <c r="D3976" s="225" t="s">
        <v>597</v>
      </c>
      <c r="E3976" s="225" t="s">
        <v>614</v>
      </c>
    </row>
    <row r="3977" spans="2:5" ht="15.75" thickBot="1">
      <c r="B3977" s="225" t="s">
        <v>6313</v>
      </c>
      <c r="C3977" s="226">
        <v>534425</v>
      </c>
      <c r="D3977" s="225" t="s">
        <v>6314</v>
      </c>
      <c r="E3977" s="225" t="s">
        <v>1086</v>
      </c>
    </row>
    <row r="3978" spans="2:5" ht="15.75" thickBot="1">
      <c r="B3978" s="225" t="s">
        <v>6315</v>
      </c>
      <c r="C3978" s="226">
        <v>513687</v>
      </c>
      <c r="D3978" s="225" t="s">
        <v>597</v>
      </c>
      <c r="E3978" s="225" t="s">
        <v>952</v>
      </c>
    </row>
    <row r="3979" spans="2:5" ht="15.75" thickBot="1">
      <c r="B3979" s="225" t="s">
        <v>6316</v>
      </c>
      <c r="C3979" s="225" t="s">
        <v>597</v>
      </c>
      <c r="D3979" s="225" t="s">
        <v>6317</v>
      </c>
      <c r="E3979" s="225" t="s">
        <v>608</v>
      </c>
    </row>
    <row r="3980" spans="2:5" ht="15.75" thickBot="1">
      <c r="B3980" s="225" t="s">
        <v>6318</v>
      </c>
      <c r="C3980" s="226">
        <v>531982</v>
      </c>
      <c r="D3980" s="225" t="s">
        <v>597</v>
      </c>
      <c r="E3980" s="225" t="s">
        <v>677</v>
      </c>
    </row>
    <row r="3981" spans="2:5" ht="15.75" thickBot="1">
      <c r="B3981" s="225" t="s">
        <v>6319</v>
      </c>
      <c r="C3981" s="226">
        <v>512153</v>
      </c>
      <c r="D3981" s="225" t="s">
        <v>597</v>
      </c>
      <c r="E3981" s="225" t="s">
        <v>1018</v>
      </c>
    </row>
    <row r="3982" spans="2:5" ht="15.75" thickBot="1">
      <c r="B3982" s="225" t="s">
        <v>6320</v>
      </c>
      <c r="C3982" s="226">
        <v>512291</v>
      </c>
      <c r="D3982" s="225" t="s">
        <v>597</v>
      </c>
      <c r="E3982" s="225" t="s">
        <v>580</v>
      </c>
    </row>
    <row r="3983" spans="2:5" ht="15.75" thickBot="1">
      <c r="B3983" s="225" t="s">
        <v>6321</v>
      </c>
      <c r="C3983" s="226">
        <v>517166</v>
      </c>
      <c r="D3983" s="225" t="s">
        <v>597</v>
      </c>
      <c r="E3983" s="225" t="s">
        <v>1139</v>
      </c>
    </row>
    <row r="3984" spans="2:5" ht="15.75" thickBot="1">
      <c r="B3984" s="225" t="s">
        <v>6322</v>
      </c>
      <c r="C3984" s="226">
        <v>542337</v>
      </c>
      <c r="D3984" s="225" t="s">
        <v>6323</v>
      </c>
      <c r="E3984" s="225" t="s">
        <v>766</v>
      </c>
    </row>
    <row r="3985" spans="2:5" ht="15.75" thickBot="1">
      <c r="B3985" s="225" t="s">
        <v>6324</v>
      </c>
      <c r="C3985" s="225" t="s">
        <v>597</v>
      </c>
      <c r="D3985" s="225" t="s">
        <v>6325</v>
      </c>
      <c r="E3985" s="225" t="s">
        <v>766</v>
      </c>
    </row>
    <row r="3986" spans="2:5" ht="15.75" thickBot="1">
      <c r="B3986" s="225" t="s">
        <v>6326</v>
      </c>
      <c r="C3986" s="226">
        <v>526161</v>
      </c>
      <c r="D3986" s="225" t="s">
        <v>597</v>
      </c>
      <c r="E3986" s="225" t="s">
        <v>711</v>
      </c>
    </row>
    <row r="3987" spans="2:5" ht="15.75" thickBot="1">
      <c r="B3987" s="225" t="s">
        <v>6327</v>
      </c>
      <c r="C3987" s="226">
        <v>521082</v>
      </c>
      <c r="D3987" s="225" t="s">
        <v>6328</v>
      </c>
      <c r="E3987" s="225" t="s">
        <v>612</v>
      </c>
    </row>
    <row r="3988" spans="2:5" ht="15.75" thickBot="1">
      <c r="B3988" s="225" t="s">
        <v>6329</v>
      </c>
      <c r="C3988" s="226">
        <v>526827</v>
      </c>
      <c r="D3988" s="225" t="s">
        <v>597</v>
      </c>
      <c r="E3988" s="225" t="s">
        <v>711</v>
      </c>
    </row>
    <row r="3989" spans="2:5" ht="15.75" thickBot="1">
      <c r="B3989" s="225" t="s">
        <v>6330</v>
      </c>
      <c r="C3989" s="226">
        <v>517214</v>
      </c>
      <c r="D3989" s="225" t="s">
        <v>6331</v>
      </c>
      <c r="E3989" s="225" t="s">
        <v>743</v>
      </c>
    </row>
    <row r="3990" spans="2:5" ht="15.75" thickBot="1">
      <c r="B3990" s="225" t="s">
        <v>6332</v>
      </c>
      <c r="C3990" s="226">
        <v>500285</v>
      </c>
      <c r="D3990" s="225" t="s">
        <v>597</v>
      </c>
      <c r="E3990" s="225" t="s">
        <v>2734</v>
      </c>
    </row>
    <row r="3991" spans="2:5" ht="15.75" thickBot="1">
      <c r="B3991" s="225" t="s">
        <v>6333</v>
      </c>
      <c r="C3991" s="226">
        <v>540084</v>
      </c>
      <c r="D3991" s="225" t="s">
        <v>597</v>
      </c>
      <c r="E3991" s="225" t="s">
        <v>600</v>
      </c>
    </row>
    <row r="3992" spans="2:5" ht="15.75" thickBot="1">
      <c r="B3992" s="225" t="s">
        <v>6334</v>
      </c>
      <c r="C3992" s="226">
        <v>532651</v>
      </c>
      <c r="D3992" s="225" t="s">
        <v>6335</v>
      </c>
      <c r="E3992" s="225" t="s">
        <v>711</v>
      </c>
    </row>
    <row r="3993" spans="2:5" ht="15.75" thickBot="1">
      <c r="B3993" s="225" t="s">
        <v>6336</v>
      </c>
      <c r="C3993" s="226">
        <v>513414</v>
      </c>
      <c r="D3993" s="225" t="s">
        <v>6337</v>
      </c>
      <c r="E3993" s="225" t="s">
        <v>629</v>
      </c>
    </row>
    <row r="3994" spans="2:5" ht="15.75" thickBot="1">
      <c r="B3994" s="225" t="s">
        <v>6338</v>
      </c>
      <c r="C3994" s="226">
        <v>500402</v>
      </c>
      <c r="D3994" s="225" t="s">
        <v>6339</v>
      </c>
      <c r="E3994" s="225" t="s">
        <v>995</v>
      </c>
    </row>
    <row r="3995" spans="2:5" ht="15.75" thickBot="1">
      <c r="B3995" s="225" t="s">
        <v>6340</v>
      </c>
      <c r="C3995" s="226">
        <v>539221</v>
      </c>
      <c r="D3995" s="225" t="s">
        <v>597</v>
      </c>
      <c r="E3995" s="225" t="s">
        <v>612</v>
      </c>
    </row>
    <row r="3996" spans="2:5" ht="15.75" thickBot="1">
      <c r="B3996" s="225" t="s">
        <v>6341</v>
      </c>
      <c r="C3996" s="226">
        <v>539221</v>
      </c>
      <c r="D3996" s="225" t="s">
        <v>597</v>
      </c>
      <c r="E3996" s="225" t="s">
        <v>612</v>
      </c>
    </row>
    <row r="3997" spans="2:5" ht="15.75" thickBot="1">
      <c r="B3997" s="225" t="s">
        <v>6342</v>
      </c>
      <c r="C3997" s="226">
        <v>540079</v>
      </c>
      <c r="D3997" s="225" t="s">
        <v>597</v>
      </c>
      <c r="E3997" s="225" t="s">
        <v>1517</v>
      </c>
    </row>
    <row r="3998" spans="2:5" ht="15.75" thickBot="1">
      <c r="B3998" s="225" t="s">
        <v>6343</v>
      </c>
      <c r="C3998" s="226">
        <v>540570</v>
      </c>
      <c r="D3998" s="225" t="s">
        <v>6344</v>
      </c>
      <c r="E3998" s="225" t="s">
        <v>5414</v>
      </c>
    </row>
    <row r="3999" spans="2:5" ht="15.75" thickBot="1">
      <c r="B3999" s="225" t="s">
        <v>6345</v>
      </c>
      <c r="C3999" s="226">
        <v>538402</v>
      </c>
      <c r="D3999" s="225" t="s">
        <v>597</v>
      </c>
      <c r="E3999" s="225" t="s">
        <v>614</v>
      </c>
    </row>
    <row r="4000" spans="2:5" ht="15.75" thickBot="1">
      <c r="B4000" s="225" t="s">
        <v>6346</v>
      </c>
      <c r="C4000" s="226">
        <v>530177</v>
      </c>
      <c r="D4000" s="225" t="s">
        <v>597</v>
      </c>
      <c r="E4000" s="225" t="s">
        <v>619</v>
      </c>
    </row>
    <row r="4001" spans="2:5" ht="15.75" thickBot="1">
      <c r="B4001" s="225" t="s">
        <v>6347</v>
      </c>
      <c r="C4001" s="226">
        <v>533121</v>
      </c>
      <c r="D4001" s="225" t="s">
        <v>6348</v>
      </c>
      <c r="E4001" s="225" t="s">
        <v>583</v>
      </c>
    </row>
    <row r="4002" spans="2:5" ht="15.75" thickBot="1">
      <c r="B4002" s="225" t="s">
        <v>6349</v>
      </c>
      <c r="C4002" s="226">
        <v>526532</v>
      </c>
      <c r="D4002" s="225" t="s">
        <v>597</v>
      </c>
      <c r="E4002" s="225" t="s">
        <v>645</v>
      </c>
    </row>
    <row r="4003" spans="2:5" ht="15.75" thickBot="1">
      <c r="B4003" s="225" t="s">
        <v>6350</v>
      </c>
      <c r="C4003" s="226">
        <v>526532</v>
      </c>
      <c r="D4003" s="225" t="s">
        <v>597</v>
      </c>
      <c r="E4003" s="225" t="s">
        <v>645</v>
      </c>
    </row>
    <row r="4004" spans="2:5" ht="15.75" thickBot="1">
      <c r="B4004" s="225" t="s">
        <v>6351</v>
      </c>
      <c r="C4004" s="226">
        <v>530037</v>
      </c>
      <c r="D4004" s="225" t="s">
        <v>597</v>
      </c>
      <c r="E4004" s="225" t="s">
        <v>612</v>
      </c>
    </row>
    <row r="4005" spans="2:5" ht="15.75" thickBot="1">
      <c r="B4005" s="225" t="s">
        <v>6352</v>
      </c>
      <c r="C4005" s="226">
        <v>532842</v>
      </c>
      <c r="D4005" s="225" t="s">
        <v>6353</v>
      </c>
      <c r="E4005" s="225" t="s">
        <v>645</v>
      </c>
    </row>
    <row r="4006" spans="2:5" ht="15.75" thickBot="1">
      <c r="B4006" s="225" t="s">
        <v>6354</v>
      </c>
      <c r="C4006" s="226">
        <v>514248</v>
      </c>
      <c r="D4006" s="225" t="s">
        <v>597</v>
      </c>
      <c r="E4006" s="225" t="s">
        <v>645</v>
      </c>
    </row>
    <row r="4007" spans="2:5" ht="15.75" thickBot="1">
      <c r="B4007" s="225" t="s">
        <v>6355</v>
      </c>
      <c r="C4007" s="226">
        <v>535601</v>
      </c>
      <c r="D4007" s="225" t="s">
        <v>6356</v>
      </c>
      <c r="E4007" s="225" t="s">
        <v>1023</v>
      </c>
    </row>
    <row r="4008" spans="2:5" ht="15.75" thickBot="1">
      <c r="B4008" s="225" t="s">
        <v>6357</v>
      </c>
      <c r="C4008" s="226">
        <v>523756</v>
      </c>
      <c r="D4008" s="225" t="s">
        <v>6358</v>
      </c>
      <c r="E4008" s="225" t="s">
        <v>614</v>
      </c>
    </row>
    <row r="4009" spans="2:5" ht="15.75" thickBot="1">
      <c r="B4009" s="225" t="s">
        <v>6359</v>
      </c>
      <c r="C4009" s="226">
        <v>539217</v>
      </c>
      <c r="D4009" s="225" t="s">
        <v>597</v>
      </c>
      <c r="E4009" s="225" t="s">
        <v>617</v>
      </c>
    </row>
    <row r="4010" spans="2:5" ht="15.75" thickBot="1">
      <c r="B4010" s="225" t="s">
        <v>6360</v>
      </c>
      <c r="C4010" s="226">
        <v>503806</v>
      </c>
      <c r="D4010" s="225" t="s">
        <v>6361</v>
      </c>
      <c r="E4010" s="225" t="s">
        <v>612</v>
      </c>
    </row>
    <row r="4011" spans="2:5" ht="15.75" thickBot="1">
      <c r="B4011" s="225" t="s">
        <v>6362</v>
      </c>
      <c r="C4011" s="226">
        <v>534680</v>
      </c>
      <c r="D4011" s="225" t="s">
        <v>597</v>
      </c>
      <c r="E4011" s="225" t="s">
        <v>655</v>
      </c>
    </row>
    <row r="4012" spans="2:5" ht="15.75" thickBot="1">
      <c r="B4012" s="225" t="s">
        <v>6363</v>
      </c>
      <c r="C4012" s="226">
        <v>530943</v>
      </c>
      <c r="D4012" s="225" t="s">
        <v>6364</v>
      </c>
      <c r="E4012" s="225" t="s">
        <v>600</v>
      </c>
    </row>
    <row r="4013" spans="2:5" ht="15.75" thickBot="1">
      <c r="B4013" s="225" t="s">
        <v>6365</v>
      </c>
      <c r="C4013" s="226">
        <v>538863</v>
      </c>
      <c r="D4013" s="225" t="s">
        <v>597</v>
      </c>
      <c r="E4013" s="225" t="s">
        <v>614</v>
      </c>
    </row>
    <row r="4014" spans="2:5" ht="15.75" thickBot="1">
      <c r="B4014" s="225" t="s">
        <v>6366</v>
      </c>
      <c r="C4014" s="226">
        <v>531322</v>
      </c>
      <c r="D4014" s="225" t="s">
        <v>6367</v>
      </c>
      <c r="E4014" s="225" t="s">
        <v>807</v>
      </c>
    </row>
    <row r="4015" spans="2:5" ht="15.75" thickBot="1">
      <c r="B4015" s="225" t="s">
        <v>6368</v>
      </c>
      <c r="C4015" s="226">
        <v>514442</v>
      </c>
      <c r="D4015" s="225" t="s">
        <v>597</v>
      </c>
      <c r="E4015" s="225" t="s">
        <v>717</v>
      </c>
    </row>
    <row r="4016" spans="2:5" ht="15.75" thickBot="1">
      <c r="B4016" s="225" t="s">
        <v>6369</v>
      </c>
      <c r="C4016" s="226">
        <v>539363</v>
      </c>
      <c r="D4016" s="225" t="s">
        <v>597</v>
      </c>
      <c r="E4016" s="225" t="s">
        <v>683</v>
      </c>
    </row>
    <row r="4017" spans="2:5" ht="15.75" thickBot="1">
      <c r="B4017" s="225" t="s">
        <v>6370</v>
      </c>
      <c r="C4017" s="226">
        <v>539363</v>
      </c>
      <c r="D4017" s="225" t="s">
        <v>597</v>
      </c>
      <c r="E4017" s="225" t="s">
        <v>683</v>
      </c>
    </row>
    <row r="4018" spans="2:5" ht="15.75" thickBot="1">
      <c r="B4018" s="225" t="s">
        <v>6371</v>
      </c>
      <c r="C4018" s="225" t="s">
        <v>597</v>
      </c>
      <c r="D4018" s="225" t="s">
        <v>6372</v>
      </c>
      <c r="E4018" s="225" t="s">
        <v>608</v>
      </c>
    </row>
    <row r="4019" spans="2:5" ht="15.75" thickBot="1">
      <c r="B4019" s="225" t="s">
        <v>6373</v>
      </c>
      <c r="C4019" s="226">
        <v>521161</v>
      </c>
      <c r="D4019" s="225" t="s">
        <v>597</v>
      </c>
      <c r="E4019" s="225" t="s">
        <v>612</v>
      </c>
    </row>
    <row r="4020" spans="2:5" ht="15.75" thickBot="1">
      <c r="B4020" s="225" t="s">
        <v>6374</v>
      </c>
      <c r="C4020" s="226">
        <v>521234</v>
      </c>
      <c r="D4020" s="225" t="s">
        <v>597</v>
      </c>
      <c r="E4020" s="225" t="s">
        <v>612</v>
      </c>
    </row>
    <row r="4021" spans="2:5" ht="15.75" thickBot="1">
      <c r="B4021" s="225" t="s">
        <v>6375</v>
      </c>
      <c r="C4021" s="226">
        <v>521178</v>
      </c>
      <c r="D4021" s="225" t="s">
        <v>597</v>
      </c>
      <c r="E4021" s="225" t="s">
        <v>612</v>
      </c>
    </row>
    <row r="4022" spans="2:5" ht="15.75" thickBot="1">
      <c r="B4022" s="225" t="s">
        <v>6376</v>
      </c>
      <c r="C4022" s="226">
        <v>515081</v>
      </c>
      <c r="D4022" s="225" t="s">
        <v>597</v>
      </c>
      <c r="E4022" s="225" t="s">
        <v>1125</v>
      </c>
    </row>
    <row r="4023" spans="2:5" ht="15.75" thickBot="1">
      <c r="B4023" s="225" t="s">
        <v>6377</v>
      </c>
      <c r="C4023" s="226">
        <v>513605</v>
      </c>
      <c r="D4023" s="225" t="s">
        <v>6378</v>
      </c>
      <c r="E4023" s="225" t="s">
        <v>920</v>
      </c>
    </row>
    <row r="4024" spans="2:5" ht="15.75" thickBot="1">
      <c r="B4024" s="225" t="s">
        <v>6379</v>
      </c>
      <c r="C4024" s="226">
        <v>523222</v>
      </c>
      <c r="D4024" s="225" t="s">
        <v>597</v>
      </c>
      <c r="E4024" s="225" t="s">
        <v>736</v>
      </c>
    </row>
    <row r="4025" spans="2:5" ht="15.75" thickBot="1">
      <c r="B4025" s="225" t="s">
        <v>6380</v>
      </c>
      <c r="C4025" s="226">
        <v>536799</v>
      </c>
      <c r="D4025" s="225" t="s">
        <v>597</v>
      </c>
      <c r="E4025" s="225" t="s">
        <v>614</v>
      </c>
    </row>
    <row r="4026" spans="2:5" ht="15.75" thickBot="1">
      <c r="B4026" s="225" t="s">
        <v>6381</v>
      </c>
      <c r="C4026" s="226">
        <v>533569</v>
      </c>
      <c r="D4026" s="225" t="s">
        <v>6382</v>
      </c>
      <c r="E4026" s="225" t="s">
        <v>711</v>
      </c>
    </row>
    <row r="4027" spans="2:5" ht="15.75" thickBot="1">
      <c r="B4027" s="225" t="s">
        <v>6383</v>
      </c>
      <c r="C4027" s="226">
        <v>540914</v>
      </c>
      <c r="D4027" s="225" t="s">
        <v>597</v>
      </c>
      <c r="E4027" s="225" t="s">
        <v>619</v>
      </c>
    </row>
    <row r="4028" spans="2:5" ht="15.75" thickBot="1">
      <c r="B4028" s="225" t="s">
        <v>6384</v>
      </c>
      <c r="C4028" s="226">
        <v>524636</v>
      </c>
      <c r="D4028" s="225" t="s">
        <v>597</v>
      </c>
      <c r="E4028" s="225" t="s">
        <v>635</v>
      </c>
    </row>
    <row r="4029" spans="2:5" ht="15.75" thickBot="1">
      <c r="B4029" s="225" t="s">
        <v>6385</v>
      </c>
      <c r="C4029" s="226">
        <v>530821</v>
      </c>
      <c r="D4029" s="225" t="s">
        <v>597</v>
      </c>
      <c r="E4029" s="225" t="s">
        <v>683</v>
      </c>
    </row>
    <row r="4030" spans="2:5" ht="15.75" thickBot="1">
      <c r="B4030" s="225" t="s">
        <v>6386</v>
      </c>
      <c r="C4030" s="226">
        <v>539026</v>
      </c>
      <c r="D4030" s="225" t="s">
        <v>597</v>
      </c>
      <c r="E4030" s="225" t="s">
        <v>580</v>
      </c>
    </row>
    <row r="4031" spans="2:5" ht="15.75" thickBot="1">
      <c r="B4031" s="225" t="s">
        <v>6387</v>
      </c>
      <c r="C4031" s="226">
        <v>531723</v>
      </c>
      <c r="D4031" s="225" t="s">
        <v>6388</v>
      </c>
      <c r="E4031" s="225" t="s">
        <v>580</v>
      </c>
    </row>
    <row r="4032" spans="2:5" ht="15.75" thickBot="1">
      <c r="B4032" s="225" t="s">
        <v>6387</v>
      </c>
      <c r="C4032" s="226">
        <v>570005</v>
      </c>
      <c r="D4032" s="225" t="s">
        <v>6389</v>
      </c>
      <c r="E4032" s="225" t="s">
        <v>580</v>
      </c>
    </row>
    <row r="4033" spans="2:5" ht="15.75" thickBot="1">
      <c r="B4033" s="225" t="s">
        <v>6390</v>
      </c>
      <c r="C4033" s="226">
        <v>504180</v>
      </c>
      <c r="D4033" s="225" t="s">
        <v>597</v>
      </c>
      <c r="E4033" s="225" t="s">
        <v>614</v>
      </c>
    </row>
    <row r="4034" spans="2:5" ht="15.75" thickBot="1">
      <c r="B4034" s="225" t="s">
        <v>6391</v>
      </c>
      <c r="C4034" s="226">
        <v>511700</v>
      </c>
      <c r="D4034" s="225" t="s">
        <v>597</v>
      </c>
      <c r="E4034" s="225" t="s">
        <v>614</v>
      </c>
    </row>
    <row r="4035" spans="2:5" ht="15.75" thickBot="1">
      <c r="B4035" s="225" t="s">
        <v>6392</v>
      </c>
      <c r="C4035" s="226">
        <v>580001</v>
      </c>
      <c r="D4035" s="225" t="s">
        <v>597</v>
      </c>
      <c r="E4035" s="225" t="s">
        <v>915</v>
      </c>
    </row>
    <row r="4036" spans="2:5" ht="15.75" thickBot="1">
      <c r="B4036" s="225" t="s">
        <v>6393</v>
      </c>
      <c r="C4036" s="226">
        <v>530017</v>
      </c>
      <c r="D4036" s="225" t="s">
        <v>6394</v>
      </c>
      <c r="E4036" s="225" t="s">
        <v>645</v>
      </c>
    </row>
    <row r="4037" spans="2:5" ht="15.75" thickBot="1">
      <c r="B4037" s="225" t="s">
        <v>6395</v>
      </c>
      <c r="C4037" s="226">
        <v>523351</v>
      </c>
      <c r="D4037" s="225" t="s">
        <v>597</v>
      </c>
      <c r="E4037" s="225" t="s">
        <v>757</v>
      </c>
    </row>
    <row r="4038" spans="2:5" ht="15.75" thickBot="1">
      <c r="B4038" s="225" t="s">
        <v>6396</v>
      </c>
      <c r="C4038" s="226">
        <v>523351</v>
      </c>
      <c r="D4038" s="225" t="s">
        <v>597</v>
      </c>
      <c r="E4038" s="225" t="s">
        <v>757</v>
      </c>
    </row>
    <row r="4039" spans="2:5" ht="15.75" thickBot="1">
      <c r="B4039" s="225" t="s">
        <v>6397</v>
      </c>
      <c r="C4039" s="226">
        <v>526231</v>
      </c>
      <c r="D4039" s="225" t="s">
        <v>597</v>
      </c>
      <c r="E4039" s="225" t="s">
        <v>645</v>
      </c>
    </row>
    <row r="4040" spans="2:5" ht="15.75" thickBot="1">
      <c r="B4040" s="225" t="s">
        <v>6398</v>
      </c>
      <c r="C4040" s="226">
        <v>530931</v>
      </c>
      <c r="D4040" s="225" t="s">
        <v>597</v>
      </c>
      <c r="E4040" s="225" t="s">
        <v>792</v>
      </c>
    </row>
    <row r="4041" spans="2:5" ht="15.75" thickBot="1">
      <c r="B4041" s="225" t="s">
        <v>6399</v>
      </c>
      <c r="C4041" s="226">
        <v>530931</v>
      </c>
      <c r="D4041" s="225" t="s">
        <v>597</v>
      </c>
      <c r="E4041" s="225" t="s">
        <v>792</v>
      </c>
    </row>
    <row r="4042" spans="2:5" ht="15.75" thickBot="1">
      <c r="B4042" s="225" t="s">
        <v>6400</v>
      </c>
      <c r="C4042" s="226">
        <v>506105</v>
      </c>
      <c r="D4042" s="225" t="s">
        <v>597</v>
      </c>
      <c r="E4042" s="225" t="s">
        <v>617</v>
      </c>
    </row>
    <row r="4043" spans="2:5" ht="15.75" thickBot="1">
      <c r="B4043" s="225" t="s">
        <v>6401</v>
      </c>
      <c r="C4043" s="226">
        <v>540575</v>
      </c>
      <c r="D4043" s="225" t="s">
        <v>6402</v>
      </c>
      <c r="E4043" s="225" t="s">
        <v>610</v>
      </c>
    </row>
    <row r="4044" spans="2:5" ht="15.75" thickBot="1">
      <c r="B4044" s="225" t="s">
        <v>6403</v>
      </c>
      <c r="C4044" s="226">
        <v>539255</v>
      </c>
      <c r="D4044" s="225" t="s">
        <v>597</v>
      </c>
      <c r="E4044" s="225" t="s">
        <v>640</v>
      </c>
    </row>
    <row r="4045" spans="2:5" ht="15.75" thickBot="1">
      <c r="B4045" s="225" t="s">
        <v>6404</v>
      </c>
      <c r="C4045" s="226">
        <v>516022</v>
      </c>
      <c r="D4045" s="225" t="s">
        <v>6405</v>
      </c>
      <c r="E4045" s="225" t="s">
        <v>591</v>
      </c>
    </row>
    <row r="4046" spans="2:5" ht="15.75" thickBot="1">
      <c r="B4046" s="225" t="s">
        <v>6406</v>
      </c>
      <c r="C4046" s="226">
        <v>531616</v>
      </c>
      <c r="D4046" s="225" t="s">
        <v>597</v>
      </c>
      <c r="E4046" s="225" t="s">
        <v>583</v>
      </c>
    </row>
    <row r="4047" spans="2:5" ht="15.75" thickBot="1">
      <c r="B4047" s="225" t="s">
        <v>6407</v>
      </c>
      <c r="C4047" s="226">
        <v>538733</v>
      </c>
      <c r="D4047" s="225" t="s">
        <v>597</v>
      </c>
      <c r="E4047" s="225" t="s">
        <v>2844</v>
      </c>
    </row>
    <row r="4048" spans="2:5" ht="15.75" thickBot="1">
      <c r="B4048" s="225" t="s">
        <v>6408</v>
      </c>
      <c r="C4048" s="226">
        <v>517548</v>
      </c>
      <c r="D4048" s="225" t="s">
        <v>597</v>
      </c>
      <c r="E4048" s="225" t="s">
        <v>619</v>
      </c>
    </row>
    <row r="4049" spans="2:5" ht="15.75" thickBot="1">
      <c r="B4049" s="225" t="s">
        <v>6409</v>
      </c>
      <c r="C4049" s="226">
        <v>520155</v>
      </c>
      <c r="D4049" s="225" t="s">
        <v>597</v>
      </c>
      <c r="E4049" s="225" t="s">
        <v>733</v>
      </c>
    </row>
    <row r="4050" spans="2:5" ht="15.75" thickBot="1">
      <c r="B4050" s="225" t="s">
        <v>6410</v>
      </c>
      <c r="C4050" s="226">
        <v>500112</v>
      </c>
      <c r="D4050" s="225" t="s">
        <v>6411</v>
      </c>
      <c r="E4050" s="225" t="s">
        <v>915</v>
      </c>
    </row>
    <row r="4051" spans="2:5" ht="15.75" thickBot="1">
      <c r="B4051" s="225" t="s">
        <v>6412</v>
      </c>
      <c r="C4051" s="226">
        <v>500113</v>
      </c>
      <c r="D4051" s="225" t="s">
        <v>6413</v>
      </c>
      <c r="E4051" s="225" t="s">
        <v>629</v>
      </c>
    </row>
    <row r="4052" spans="2:5" ht="15.75" thickBot="1">
      <c r="B4052" s="225" t="s">
        <v>6414</v>
      </c>
      <c r="C4052" s="226">
        <v>500113</v>
      </c>
      <c r="D4052" s="225" t="s">
        <v>6413</v>
      </c>
      <c r="E4052" s="225" t="s">
        <v>629</v>
      </c>
    </row>
    <row r="4053" spans="2:5" ht="15.75" thickBot="1">
      <c r="B4053" s="225" t="s">
        <v>6415</v>
      </c>
      <c r="C4053" s="225" t="s">
        <v>597</v>
      </c>
      <c r="D4053" s="225" t="s">
        <v>6416</v>
      </c>
      <c r="E4053" s="225" t="s">
        <v>608</v>
      </c>
    </row>
    <row r="4054" spans="2:5" ht="15.75" thickBot="1">
      <c r="B4054" s="225" t="s">
        <v>6417</v>
      </c>
      <c r="C4054" s="226">
        <v>534748</v>
      </c>
      <c r="D4054" s="225" t="s">
        <v>6418</v>
      </c>
      <c r="E4054" s="225" t="s">
        <v>629</v>
      </c>
    </row>
    <row r="4055" spans="2:5" ht="15.75" thickBot="1">
      <c r="B4055" s="225" t="s">
        <v>6419</v>
      </c>
      <c r="C4055" s="226">
        <v>534748</v>
      </c>
      <c r="D4055" s="225" t="s">
        <v>6418</v>
      </c>
      <c r="E4055" s="225" t="s">
        <v>629</v>
      </c>
    </row>
    <row r="4056" spans="2:5" ht="15.75" thickBot="1">
      <c r="B4056" s="225" t="s">
        <v>6420</v>
      </c>
      <c r="C4056" s="226">
        <v>513173</v>
      </c>
      <c r="D4056" s="225" t="s">
        <v>597</v>
      </c>
      <c r="E4056" s="225" t="s">
        <v>683</v>
      </c>
    </row>
    <row r="4057" spans="2:5" ht="15.75" thickBot="1">
      <c r="B4057" s="225" t="s">
        <v>6421</v>
      </c>
      <c r="C4057" s="226">
        <v>504717</v>
      </c>
      <c r="D4057" s="225" t="s">
        <v>6422</v>
      </c>
      <c r="E4057" s="225" t="s">
        <v>4471</v>
      </c>
    </row>
    <row r="4058" spans="2:5" ht="15.75" thickBot="1">
      <c r="B4058" s="225" t="s">
        <v>6423</v>
      </c>
      <c r="C4058" s="226">
        <v>513262</v>
      </c>
      <c r="D4058" s="225" t="s">
        <v>6424</v>
      </c>
      <c r="E4058" s="225" t="s">
        <v>952</v>
      </c>
    </row>
    <row r="4059" spans="2:5" ht="15.75" thickBot="1">
      <c r="B4059" s="225" t="s">
        <v>6425</v>
      </c>
      <c r="C4059" s="226">
        <v>513517</v>
      </c>
      <c r="D4059" s="225" t="s">
        <v>597</v>
      </c>
      <c r="E4059" s="225" t="s">
        <v>1517</v>
      </c>
    </row>
    <row r="4060" spans="2:5" ht="15.75" thickBot="1">
      <c r="B4060" s="225" t="s">
        <v>6426</v>
      </c>
      <c r="C4060" s="226">
        <v>500399</v>
      </c>
      <c r="D4060" s="225" t="s">
        <v>597</v>
      </c>
      <c r="E4060" s="225" t="s">
        <v>629</v>
      </c>
    </row>
    <row r="4061" spans="2:5" ht="15.75" thickBot="1">
      <c r="B4061" s="225" t="s">
        <v>6427</v>
      </c>
      <c r="C4061" s="226">
        <v>533316</v>
      </c>
      <c r="D4061" s="225" t="s">
        <v>6428</v>
      </c>
      <c r="E4061" s="225" t="s">
        <v>763</v>
      </c>
    </row>
    <row r="4062" spans="2:5" ht="15.75" thickBot="1">
      <c r="B4062" s="225" t="s">
        <v>6429</v>
      </c>
      <c r="C4062" s="226">
        <v>526071</v>
      </c>
      <c r="D4062" s="225" t="s">
        <v>597</v>
      </c>
      <c r="E4062" s="225" t="s">
        <v>580</v>
      </c>
    </row>
    <row r="4063" spans="2:5" ht="15.75" thickBot="1">
      <c r="B4063" s="225" t="s">
        <v>6430</v>
      </c>
      <c r="C4063" s="226">
        <v>526071</v>
      </c>
      <c r="D4063" s="225" t="s">
        <v>597</v>
      </c>
      <c r="E4063" s="225" t="s">
        <v>580</v>
      </c>
    </row>
    <row r="4064" spans="2:5" ht="15.75" thickBot="1">
      <c r="B4064" s="225" t="s">
        <v>6431</v>
      </c>
      <c r="C4064" s="226">
        <v>536738</v>
      </c>
      <c r="D4064" s="225" t="s">
        <v>597</v>
      </c>
      <c r="E4064" s="225" t="s">
        <v>580</v>
      </c>
    </row>
    <row r="4065" spans="2:5" ht="15.75" thickBot="1">
      <c r="B4065" s="225" t="s">
        <v>6432</v>
      </c>
      <c r="C4065" s="226">
        <v>531509</v>
      </c>
      <c r="D4065" s="225" t="s">
        <v>597</v>
      </c>
      <c r="E4065" s="225" t="s">
        <v>580</v>
      </c>
    </row>
    <row r="4066" spans="2:5" ht="15.75" thickBot="1">
      <c r="B4066" s="225" t="s">
        <v>6433</v>
      </c>
      <c r="C4066" s="226">
        <v>526500</v>
      </c>
      <c r="D4066" s="225" t="s">
        <v>597</v>
      </c>
      <c r="E4066" s="225" t="s">
        <v>798</v>
      </c>
    </row>
    <row r="4067" spans="2:5" ht="15.75" thickBot="1">
      <c r="B4067" s="225" t="s">
        <v>6434</v>
      </c>
      <c r="C4067" s="226">
        <v>508963</v>
      </c>
      <c r="D4067" s="225" t="s">
        <v>6435</v>
      </c>
      <c r="E4067" s="225" t="s">
        <v>614</v>
      </c>
    </row>
    <row r="4068" spans="2:5" ht="15.75" thickBot="1">
      <c r="B4068" s="225" t="s">
        <v>6436</v>
      </c>
      <c r="C4068" s="226">
        <v>531628</v>
      </c>
      <c r="D4068" s="225" t="s">
        <v>597</v>
      </c>
      <c r="E4068" s="225" t="s">
        <v>612</v>
      </c>
    </row>
    <row r="4069" spans="2:5" ht="15.75" thickBot="1">
      <c r="B4069" s="225" t="s">
        <v>6437</v>
      </c>
      <c r="C4069" s="226">
        <v>530759</v>
      </c>
      <c r="D4069" s="225" t="s">
        <v>6438</v>
      </c>
      <c r="E4069" s="225" t="s">
        <v>952</v>
      </c>
    </row>
    <row r="4070" spans="2:5" ht="15.75" thickBot="1">
      <c r="B4070" s="225" t="s">
        <v>6439</v>
      </c>
      <c r="C4070" s="226">
        <v>532374</v>
      </c>
      <c r="D4070" s="225" t="s">
        <v>6440</v>
      </c>
      <c r="E4070" s="225" t="s">
        <v>1544</v>
      </c>
    </row>
    <row r="4071" spans="2:5" ht="15.75" thickBot="1">
      <c r="B4071" s="225" t="s">
        <v>6441</v>
      </c>
      <c r="C4071" s="226">
        <v>513151</v>
      </c>
      <c r="D4071" s="225" t="s">
        <v>6442</v>
      </c>
      <c r="E4071" s="225" t="s">
        <v>612</v>
      </c>
    </row>
    <row r="4072" spans="2:5" ht="15.75" thickBot="1">
      <c r="B4072" s="225" t="s">
        <v>6443</v>
      </c>
      <c r="C4072" s="226">
        <v>513151</v>
      </c>
      <c r="D4072" s="225" t="s">
        <v>6444</v>
      </c>
      <c r="E4072" s="225" t="s">
        <v>612</v>
      </c>
    </row>
    <row r="4073" spans="2:5" ht="15.75" thickBot="1">
      <c r="B4073" s="225" t="s">
        <v>6445</v>
      </c>
      <c r="C4073" s="226">
        <v>532730</v>
      </c>
      <c r="D4073" s="225" t="s">
        <v>6446</v>
      </c>
      <c r="E4073" s="225" t="s">
        <v>612</v>
      </c>
    </row>
    <row r="4074" spans="2:5" ht="15.75" thickBot="1">
      <c r="B4074" s="225" t="s">
        <v>6447</v>
      </c>
      <c r="C4074" s="226">
        <v>504959</v>
      </c>
      <c r="D4074" s="225" t="s">
        <v>597</v>
      </c>
      <c r="E4074" s="225" t="s">
        <v>605</v>
      </c>
    </row>
    <row r="4075" spans="2:5" ht="15.75" thickBot="1">
      <c r="B4075" s="225" t="s">
        <v>6448</v>
      </c>
      <c r="C4075" s="226">
        <v>530495</v>
      </c>
      <c r="D4075" s="225" t="s">
        <v>597</v>
      </c>
      <c r="E4075" s="225" t="s">
        <v>619</v>
      </c>
    </row>
    <row r="4076" spans="2:5" ht="15.75" thickBot="1">
      <c r="B4076" s="225" t="s">
        <v>6449</v>
      </c>
      <c r="C4076" s="226">
        <v>532531</v>
      </c>
      <c r="D4076" s="225" t="s">
        <v>6450</v>
      </c>
      <c r="E4076" s="225" t="s">
        <v>635</v>
      </c>
    </row>
    <row r="4077" spans="2:5" ht="15.75" thickBot="1">
      <c r="B4077" s="225" t="s">
        <v>6451</v>
      </c>
      <c r="C4077" s="226">
        <v>530611</v>
      </c>
      <c r="D4077" s="225" t="s">
        <v>597</v>
      </c>
      <c r="E4077" s="225" t="s">
        <v>717</v>
      </c>
    </row>
    <row r="4078" spans="2:5" ht="15.75" thickBot="1">
      <c r="B4078" s="225" t="s">
        <v>6452</v>
      </c>
      <c r="C4078" s="226">
        <v>526951</v>
      </c>
      <c r="D4078" s="225" t="s">
        <v>597</v>
      </c>
      <c r="E4078" s="225" t="s">
        <v>1092</v>
      </c>
    </row>
    <row r="4079" spans="2:5" ht="15.75" thickBot="1">
      <c r="B4079" s="225" t="s">
        <v>6453</v>
      </c>
      <c r="C4079" s="225" t="s">
        <v>597</v>
      </c>
      <c r="D4079" s="225" t="s">
        <v>6454</v>
      </c>
      <c r="E4079" s="225" t="s">
        <v>1092</v>
      </c>
    </row>
    <row r="4080" spans="2:5" ht="15.75" thickBot="1">
      <c r="B4080" s="225" t="s">
        <v>6455</v>
      </c>
      <c r="C4080" s="226">
        <v>532348</v>
      </c>
      <c r="D4080" s="225" t="s">
        <v>597</v>
      </c>
      <c r="E4080" s="225" t="s">
        <v>690</v>
      </c>
    </row>
    <row r="4081" spans="2:5" ht="15.75" thickBot="1">
      <c r="B4081" s="225" t="s">
        <v>6456</v>
      </c>
      <c r="C4081" s="226">
        <v>530231</v>
      </c>
      <c r="D4081" s="225" t="s">
        <v>597</v>
      </c>
      <c r="E4081" s="225" t="s">
        <v>612</v>
      </c>
    </row>
    <row r="4082" spans="2:5" ht="15.75" thickBot="1">
      <c r="B4082" s="225" t="s">
        <v>6457</v>
      </c>
      <c r="C4082" s="226">
        <v>517168</v>
      </c>
      <c r="D4082" s="225" t="s">
        <v>6458</v>
      </c>
      <c r="E4082" s="225" t="s">
        <v>952</v>
      </c>
    </row>
    <row r="4083" spans="2:5" ht="15.75" thickBot="1">
      <c r="B4083" s="225" t="s">
        <v>6459</v>
      </c>
      <c r="C4083" s="226">
        <v>511024</v>
      </c>
      <c r="D4083" s="225" t="s">
        <v>597</v>
      </c>
      <c r="E4083" s="225" t="s">
        <v>1018</v>
      </c>
    </row>
    <row r="4084" spans="2:5" ht="15.75" thickBot="1">
      <c r="B4084" s="225" t="s">
        <v>6460</v>
      </c>
      <c r="C4084" s="226">
        <v>538714</v>
      </c>
      <c r="D4084" s="225" t="s">
        <v>597</v>
      </c>
      <c r="E4084" s="225" t="s">
        <v>614</v>
      </c>
    </row>
    <row r="4085" spans="2:5" ht="15.75" thickBot="1">
      <c r="B4085" s="225" t="s">
        <v>6461</v>
      </c>
      <c r="C4085" s="226">
        <v>506003</v>
      </c>
      <c r="D4085" s="225" t="s">
        <v>597</v>
      </c>
      <c r="E4085" s="225" t="s">
        <v>902</v>
      </c>
    </row>
    <row r="4086" spans="2:5" ht="15.75" thickBot="1">
      <c r="B4086" s="225" t="s">
        <v>6462</v>
      </c>
      <c r="C4086" s="226">
        <v>506655</v>
      </c>
      <c r="D4086" s="225" t="s">
        <v>6463</v>
      </c>
      <c r="E4086" s="225" t="s">
        <v>757</v>
      </c>
    </row>
    <row r="4087" spans="2:5" ht="15.75" thickBot="1">
      <c r="B4087" s="225" t="s">
        <v>6464</v>
      </c>
      <c r="C4087" s="226">
        <v>521113</v>
      </c>
      <c r="D4087" s="225" t="s">
        <v>597</v>
      </c>
      <c r="E4087" s="225" t="s">
        <v>612</v>
      </c>
    </row>
    <row r="4088" spans="2:5" ht="15.75" thickBot="1">
      <c r="B4088" s="225" t="s">
        <v>6465</v>
      </c>
      <c r="C4088" s="226">
        <v>540318</v>
      </c>
      <c r="D4088" s="225" t="s">
        <v>597</v>
      </c>
      <c r="E4088" s="225" t="s">
        <v>612</v>
      </c>
    </row>
    <row r="4089" spans="2:5" ht="15.75" thickBot="1">
      <c r="B4089" s="225" t="s">
        <v>6466</v>
      </c>
      <c r="C4089" s="226">
        <v>511654</v>
      </c>
      <c r="D4089" s="225" t="s">
        <v>597</v>
      </c>
      <c r="E4089" s="225" t="s">
        <v>614</v>
      </c>
    </row>
    <row r="4090" spans="2:5" ht="15.75" thickBot="1">
      <c r="B4090" s="225" t="s">
        <v>6467</v>
      </c>
      <c r="C4090" s="226">
        <v>542683</v>
      </c>
      <c r="D4090" s="225" t="s">
        <v>6468</v>
      </c>
      <c r="E4090" s="225" t="s">
        <v>743</v>
      </c>
    </row>
    <row r="4091" spans="2:5" ht="15.75" thickBot="1">
      <c r="B4091" s="225" t="s">
        <v>6469</v>
      </c>
      <c r="C4091" s="226">
        <v>539117</v>
      </c>
      <c r="D4091" s="225" t="s">
        <v>597</v>
      </c>
      <c r="E4091" s="225" t="s">
        <v>614</v>
      </c>
    </row>
    <row r="4092" spans="2:5" ht="15.75" thickBot="1">
      <c r="B4092" s="225" t="s">
        <v>6470</v>
      </c>
      <c r="C4092" s="226">
        <v>517224</v>
      </c>
      <c r="D4092" s="225" t="s">
        <v>6471</v>
      </c>
      <c r="E4092" s="225" t="s">
        <v>1517</v>
      </c>
    </row>
    <row r="4093" spans="2:5" ht="15.75" thickBot="1">
      <c r="B4093" s="225" t="s">
        <v>6472</v>
      </c>
      <c r="C4093" s="226">
        <v>524542</v>
      </c>
      <c r="D4093" s="225" t="s">
        <v>597</v>
      </c>
      <c r="E4093" s="225" t="s">
        <v>795</v>
      </c>
    </row>
    <row r="4094" spans="2:5" ht="15.75" thickBot="1">
      <c r="B4094" s="225" t="s">
        <v>6473</v>
      </c>
      <c r="C4094" s="226">
        <v>508969</v>
      </c>
      <c r="D4094" s="225" t="s">
        <v>597</v>
      </c>
      <c r="E4094" s="225" t="s">
        <v>614</v>
      </c>
    </row>
    <row r="4095" spans="2:5" ht="15.75" thickBot="1">
      <c r="B4095" s="225" t="s">
        <v>6474</v>
      </c>
      <c r="C4095" s="226">
        <v>530419</v>
      </c>
      <c r="D4095" s="225" t="s">
        <v>597</v>
      </c>
      <c r="E4095" s="225" t="s">
        <v>580</v>
      </c>
    </row>
    <row r="4096" spans="2:5" ht="15.75" thickBot="1">
      <c r="B4096" s="225" t="s">
        <v>6475</v>
      </c>
      <c r="C4096" s="226">
        <v>514211</v>
      </c>
      <c r="D4096" s="225" t="s">
        <v>6476</v>
      </c>
      <c r="E4096" s="225" t="s">
        <v>612</v>
      </c>
    </row>
    <row r="4097" spans="2:5" ht="15.75" thickBot="1">
      <c r="B4097" s="225" t="s">
        <v>6477</v>
      </c>
      <c r="C4097" s="226">
        <v>530445</v>
      </c>
      <c r="D4097" s="225" t="s">
        <v>597</v>
      </c>
      <c r="E4097" s="225" t="s">
        <v>619</v>
      </c>
    </row>
    <row r="4098" spans="2:5" ht="15.75" thickBot="1">
      <c r="B4098" s="225" t="s">
        <v>6478</v>
      </c>
      <c r="C4098" s="225" t="s">
        <v>597</v>
      </c>
      <c r="D4098" s="225" t="s">
        <v>6479</v>
      </c>
      <c r="E4098" s="225" t="s">
        <v>608</v>
      </c>
    </row>
    <row r="4099" spans="2:5" ht="15.75" thickBot="1">
      <c r="B4099" s="225" t="s">
        <v>6480</v>
      </c>
      <c r="C4099" s="226">
        <v>533306</v>
      </c>
      <c r="D4099" s="225" t="s">
        <v>6481</v>
      </c>
      <c r="E4099" s="225" t="s">
        <v>617</v>
      </c>
    </row>
    <row r="4100" spans="2:5" ht="15.75" thickBot="1">
      <c r="B4100" s="225" t="s">
        <v>6482</v>
      </c>
      <c r="C4100" s="226">
        <v>532154</v>
      </c>
      <c r="D4100" s="225" t="s">
        <v>597</v>
      </c>
      <c r="E4100" s="225" t="s">
        <v>1018</v>
      </c>
    </row>
    <row r="4101" spans="2:5" ht="15.75" thickBot="1">
      <c r="B4101" s="225" t="s">
        <v>6483</v>
      </c>
      <c r="C4101" s="226">
        <v>532872</v>
      </c>
      <c r="D4101" s="225" t="s">
        <v>6484</v>
      </c>
      <c r="E4101" s="225" t="s">
        <v>635</v>
      </c>
    </row>
    <row r="4102" spans="2:5" ht="15.75" thickBot="1">
      <c r="B4102" s="225" t="s">
        <v>6485</v>
      </c>
      <c r="C4102" s="226">
        <v>524715</v>
      </c>
      <c r="D4102" s="225" t="s">
        <v>6486</v>
      </c>
      <c r="E4102" s="225" t="s">
        <v>635</v>
      </c>
    </row>
    <row r="4103" spans="2:5" ht="15.75" thickBot="1">
      <c r="B4103" s="225" t="s">
        <v>6487</v>
      </c>
      <c r="C4103" s="226">
        <v>542025</v>
      </c>
      <c r="D4103" s="225" t="s">
        <v>597</v>
      </c>
      <c r="E4103" s="225" t="s">
        <v>619</v>
      </c>
    </row>
    <row r="4104" spans="2:5" ht="15.75" thickBot="1">
      <c r="B4104" s="225" t="s">
        <v>6488</v>
      </c>
      <c r="C4104" s="226">
        <v>517403</v>
      </c>
      <c r="D4104" s="225" t="s">
        <v>597</v>
      </c>
      <c r="E4104" s="225" t="s">
        <v>736</v>
      </c>
    </row>
    <row r="4105" spans="2:5" ht="15.75" thickBot="1">
      <c r="B4105" s="225" t="s">
        <v>6489</v>
      </c>
      <c r="C4105" s="226">
        <v>517403</v>
      </c>
      <c r="D4105" s="225" t="s">
        <v>597</v>
      </c>
      <c r="E4105" s="225" t="s">
        <v>736</v>
      </c>
    </row>
    <row r="4106" spans="2:5" ht="15.75" thickBot="1">
      <c r="B4106" s="225" t="s">
        <v>6490</v>
      </c>
      <c r="C4106" s="226">
        <v>531752</v>
      </c>
      <c r="D4106" s="225" t="s">
        <v>597</v>
      </c>
      <c r="E4106" s="225" t="s">
        <v>619</v>
      </c>
    </row>
    <row r="4107" spans="2:5" ht="15.75" thickBot="1">
      <c r="B4107" s="225" t="s">
        <v>6491</v>
      </c>
      <c r="C4107" s="226">
        <v>532733</v>
      </c>
      <c r="D4107" s="225" t="s">
        <v>6492</v>
      </c>
      <c r="E4107" s="225" t="s">
        <v>1336</v>
      </c>
    </row>
    <row r="4108" spans="2:5" ht="15.75" thickBot="1">
      <c r="B4108" s="225" t="s">
        <v>6493</v>
      </c>
      <c r="C4108" s="226">
        <v>539526</v>
      </c>
      <c r="D4108" s="225" t="s">
        <v>597</v>
      </c>
      <c r="E4108" s="225" t="s">
        <v>631</v>
      </c>
    </row>
    <row r="4109" spans="2:5" ht="15.75" thickBot="1">
      <c r="B4109" s="225" t="s">
        <v>6494</v>
      </c>
      <c r="C4109" s="226">
        <v>530795</v>
      </c>
      <c r="D4109" s="225" t="s">
        <v>597</v>
      </c>
      <c r="E4109" s="225" t="s">
        <v>612</v>
      </c>
    </row>
    <row r="4110" spans="2:5" ht="15.75" thickBot="1">
      <c r="B4110" s="225" t="s">
        <v>6495</v>
      </c>
      <c r="C4110" s="226">
        <v>590072</v>
      </c>
      <c r="D4110" s="225" t="s">
        <v>6496</v>
      </c>
      <c r="E4110" s="225" t="s">
        <v>952</v>
      </c>
    </row>
    <row r="4111" spans="2:5" ht="15.75" thickBot="1">
      <c r="B4111" s="225" t="s">
        <v>6497</v>
      </c>
      <c r="C4111" s="226">
        <v>520056</v>
      </c>
      <c r="D4111" s="225" t="s">
        <v>6498</v>
      </c>
      <c r="E4111" s="225" t="s">
        <v>952</v>
      </c>
    </row>
    <row r="4112" spans="2:5" ht="15.75" thickBot="1">
      <c r="B4112" s="225" t="s">
        <v>6499</v>
      </c>
      <c r="C4112" s="225" t="s">
        <v>597</v>
      </c>
      <c r="D4112" s="225" t="s">
        <v>6500</v>
      </c>
      <c r="E4112" s="225" t="s">
        <v>688</v>
      </c>
    </row>
    <row r="4113" spans="2:5" ht="15.75" thickBot="1">
      <c r="B4113" s="225" t="s">
        <v>6501</v>
      </c>
      <c r="C4113" s="226">
        <v>590071</v>
      </c>
      <c r="D4113" s="225" t="s">
        <v>6502</v>
      </c>
      <c r="E4113" s="225" t="s">
        <v>614</v>
      </c>
    </row>
    <row r="4114" spans="2:5" ht="15.75" thickBot="1">
      <c r="B4114" s="225" t="s">
        <v>6503</v>
      </c>
      <c r="C4114" s="226">
        <v>533166</v>
      </c>
      <c r="D4114" s="225" t="s">
        <v>6504</v>
      </c>
      <c r="E4114" s="225" t="s">
        <v>2589</v>
      </c>
    </row>
    <row r="4115" spans="2:5" ht="15.75" thickBot="1">
      <c r="B4115" s="225" t="s">
        <v>6505</v>
      </c>
      <c r="C4115" s="226">
        <v>500403</v>
      </c>
      <c r="D4115" s="225" t="s">
        <v>6506</v>
      </c>
      <c r="E4115" s="225" t="s">
        <v>952</v>
      </c>
    </row>
    <row r="4116" spans="2:5" ht="15.75" thickBot="1">
      <c r="B4116" s="225" t="s">
        <v>6507</v>
      </c>
      <c r="C4116" s="226">
        <v>500404</v>
      </c>
      <c r="D4116" s="225" t="s">
        <v>6508</v>
      </c>
      <c r="E4116" s="225" t="s">
        <v>629</v>
      </c>
    </row>
    <row r="4117" spans="2:5" ht="15.75" thickBot="1">
      <c r="B4117" s="225" t="s">
        <v>6509</v>
      </c>
      <c r="C4117" s="226">
        <v>531433</v>
      </c>
      <c r="D4117" s="225" t="s">
        <v>597</v>
      </c>
      <c r="E4117" s="225" t="s">
        <v>614</v>
      </c>
    </row>
    <row r="4118" spans="2:5" ht="15.75" thickBot="1">
      <c r="B4118" s="225" t="s">
        <v>6510</v>
      </c>
      <c r="C4118" s="226">
        <v>541799</v>
      </c>
      <c r="D4118" s="225" t="s">
        <v>597</v>
      </c>
      <c r="E4118" s="225" t="s">
        <v>2199</v>
      </c>
    </row>
    <row r="4119" spans="2:5" ht="15.75" thickBot="1">
      <c r="B4119" s="225" t="s">
        <v>6511</v>
      </c>
      <c r="C4119" s="226">
        <v>530953</v>
      </c>
      <c r="D4119" s="225" t="s">
        <v>597</v>
      </c>
      <c r="E4119" s="225" t="s">
        <v>657</v>
      </c>
    </row>
    <row r="4120" spans="2:5" ht="15.75" thickBot="1">
      <c r="B4120" s="225" t="s">
        <v>6512</v>
      </c>
      <c r="C4120" s="226">
        <v>537253</v>
      </c>
      <c r="D4120" s="225" t="s">
        <v>597</v>
      </c>
      <c r="E4120" s="225" t="s">
        <v>635</v>
      </c>
    </row>
    <row r="4121" spans="2:5" ht="15.75" thickBot="1">
      <c r="B4121" s="225" t="s">
        <v>6513</v>
      </c>
      <c r="C4121" s="226">
        <v>532711</v>
      </c>
      <c r="D4121" s="225" t="s">
        <v>6514</v>
      </c>
      <c r="E4121" s="225" t="s">
        <v>995</v>
      </c>
    </row>
    <row r="4122" spans="2:5" ht="15.75" thickBot="1">
      <c r="B4122" s="225" t="s">
        <v>6515</v>
      </c>
      <c r="C4122" s="226">
        <v>521232</v>
      </c>
      <c r="D4122" s="225" t="s">
        <v>597</v>
      </c>
      <c r="E4122" s="225" t="s">
        <v>619</v>
      </c>
    </row>
    <row r="4123" spans="2:5" ht="15.75" thickBot="1">
      <c r="B4123" s="225" t="s">
        <v>6516</v>
      </c>
      <c r="C4123" s="226">
        <v>523425</v>
      </c>
      <c r="D4123" s="225" t="s">
        <v>6517</v>
      </c>
      <c r="E4123" s="225" t="s">
        <v>1153</v>
      </c>
    </row>
    <row r="4124" spans="2:5" ht="15.75" thickBot="1">
      <c r="B4124" s="225" t="s">
        <v>6518</v>
      </c>
      <c r="C4124" s="226">
        <v>501110</v>
      </c>
      <c r="D4124" s="225" t="s">
        <v>597</v>
      </c>
      <c r="E4124" s="225" t="s">
        <v>580</v>
      </c>
    </row>
    <row r="4125" spans="2:5" ht="15.75" thickBot="1">
      <c r="B4125" s="225" t="s">
        <v>6519</v>
      </c>
      <c r="C4125" s="226">
        <v>530845</v>
      </c>
      <c r="D4125" s="225" t="s">
        <v>597</v>
      </c>
      <c r="E4125" s="225" t="s">
        <v>645</v>
      </c>
    </row>
    <row r="4126" spans="2:5" ht="15.75" thickBot="1">
      <c r="B4126" s="225" t="s">
        <v>6520</v>
      </c>
      <c r="C4126" s="226">
        <v>539574</v>
      </c>
      <c r="D4126" s="225" t="s">
        <v>597</v>
      </c>
      <c r="E4126" s="225" t="s">
        <v>614</v>
      </c>
    </row>
    <row r="4127" spans="2:5" ht="15.75" thickBot="1">
      <c r="B4127" s="225" t="s">
        <v>6521</v>
      </c>
      <c r="C4127" s="226">
        <v>535141</v>
      </c>
      <c r="D4127" s="225" t="s">
        <v>597</v>
      </c>
      <c r="E4127" s="225" t="s">
        <v>683</v>
      </c>
    </row>
    <row r="4128" spans="2:5" ht="15.75" thickBot="1">
      <c r="B4128" s="225" t="s">
        <v>6522</v>
      </c>
      <c r="C4128" s="226">
        <v>512179</v>
      </c>
      <c r="D4128" s="225" t="s">
        <v>6523</v>
      </c>
      <c r="E4128" s="225" t="s">
        <v>683</v>
      </c>
    </row>
    <row r="4129" spans="2:5" ht="15.75" thickBot="1">
      <c r="B4129" s="225" t="s">
        <v>6524</v>
      </c>
      <c r="C4129" s="226">
        <v>530735</v>
      </c>
      <c r="D4129" s="225" t="s">
        <v>597</v>
      </c>
      <c r="E4129" s="225" t="s">
        <v>657</v>
      </c>
    </row>
    <row r="4130" spans="2:5" ht="15.75" thickBot="1">
      <c r="B4130" s="225" t="s">
        <v>6525</v>
      </c>
      <c r="C4130" s="226">
        <v>530735</v>
      </c>
      <c r="D4130" s="225" t="s">
        <v>597</v>
      </c>
      <c r="E4130" s="225" t="s">
        <v>657</v>
      </c>
    </row>
    <row r="4131" spans="2:5" ht="15.75" thickBot="1">
      <c r="B4131" s="225" t="s">
        <v>6526</v>
      </c>
      <c r="C4131" s="226">
        <v>530883</v>
      </c>
      <c r="D4131" s="225" t="s">
        <v>597</v>
      </c>
      <c r="E4131" s="225" t="s">
        <v>741</v>
      </c>
    </row>
    <row r="4132" spans="2:5" ht="15.75" thickBot="1">
      <c r="B4132" s="225" t="s">
        <v>6527</v>
      </c>
      <c r="C4132" s="226">
        <v>531699</v>
      </c>
      <c r="D4132" s="225" t="s">
        <v>597</v>
      </c>
      <c r="E4132" s="225" t="s">
        <v>1362</v>
      </c>
    </row>
    <row r="4133" spans="2:5" ht="15.75" thickBot="1">
      <c r="B4133" s="225" t="s">
        <v>6528</v>
      </c>
      <c r="C4133" s="226">
        <v>540269</v>
      </c>
      <c r="D4133" s="225" t="s">
        <v>597</v>
      </c>
      <c r="E4133" s="225" t="s">
        <v>711</v>
      </c>
    </row>
    <row r="4134" spans="2:5" ht="15.75" thickBot="1">
      <c r="B4134" s="225" t="s">
        <v>6529</v>
      </c>
      <c r="C4134" s="226">
        <v>512527</v>
      </c>
      <c r="D4134" s="225" t="s">
        <v>597</v>
      </c>
      <c r="E4134" s="225" t="s">
        <v>612</v>
      </c>
    </row>
    <row r="4135" spans="2:5" ht="15.75" thickBot="1">
      <c r="B4135" s="225" t="s">
        <v>6530</v>
      </c>
      <c r="C4135" s="226">
        <v>512527</v>
      </c>
      <c r="D4135" s="225" t="s">
        <v>597</v>
      </c>
      <c r="E4135" s="225" t="s">
        <v>612</v>
      </c>
    </row>
    <row r="4136" spans="2:5" ht="15.75" thickBot="1">
      <c r="B4136" s="225" t="s">
        <v>6531</v>
      </c>
      <c r="C4136" s="226">
        <v>521180</v>
      </c>
      <c r="D4136" s="225" t="s">
        <v>6532</v>
      </c>
      <c r="E4136" s="225" t="s">
        <v>612</v>
      </c>
    </row>
    <row r="4137" spans="2:5" ht="15.75" thickBot="1">
      <c r="B4137" s="225" t="s">
        <v>6533</v>
      </c>
      <c r="C4137" s="226">
        <v>523842</v>
      </c>
      <c r="D4137" s="225" t="s">
        <v>597</v>
      </c>
      <c r="E4137" s="225" t="s">
        <v>711</v>
      </c>
    </row>
    <row r="4138" spans="2:5" ht="15.75" thickBot="1">
      <c r="B4138" s="225" t="s">
        <v>6534</v>
      </c>
      <c r="C4138" s="226">
        <v>532070</v>
      </c>
      <c r="D4138" s="225" t="s">
        <v>597</v>
      </c>
      <c r="E4138" s="225" t="s">
        <v>591</v>
      </c>
    </row>
    <row r="4139" spans="2:5" ht="15.75" thickBot="1">
      <c r="B4139" s="225" t="s">
        <v>6535</v>
      </c>
      <c r="C4139" s="226">
        <v>523283</v>
      </c>
      <c r="D4139" s="225" t="s">
        <v>6536</v>
      </c>
      <c r="E4139" s="225" t="s">
        <v>1023</v>
      </c>
    </row>
    <row r="4140" spans="2:5" ht="15.75" thickBot="1">
      <c r="B4140" s="225" t="s">
        <v>6537</v>
      </c>
      <c r="C4140" s="226">
        <v>539835</v>
      </c>
      <c r="D4140" s="225" t="s">
        <v>597</v>
      </c>
      <c r="E4140" s="225" t="s">
        <v>614</v>
      </c>
    </row>
    <row r="4141" spans="2:5" ht="15.75" thickBot="1">
      <c r="B4141" s="225" t="s">
        <v>6538</v>
      </c>
      <c r="C4141" s="226">
        <v>519234</v>
      </c>
      <c r="D4141" s="225" t="s">
        <v>6539</v>
      </c>
      <c r="E4141" s="225" t="s">
        <v>846</v>
      </c>
    </row>
    <row r="4142" spans="2:5" ht="15.75" thickBot="1">
      <c r="B4142" s="225" t="s">
        <v>6540</v>
      </c>
      <c r="C4142" s="226">
        <v>780008</v>
      </c>
      <c r="D4142" s="225" t="s">
        <v>597</v>
      </c>
      <c r="E4142" s="225" t="s">
        <v>688</v>
      </c>
    </row>
    <row r="4143" spans="2:5" ht="15.75" thickBot="1">
      <c r="B4143" s="225" t="s">
        <v>6541</v>
      </c>
      <c r="C4143" s="226">
        <v>541701</v>
      </c>
      <c r="D4143" s="225" t="s">
        <v>597</v>
      </c>
      <c r="E4143" s="225" t="s">
        <v>920</v>
      </c>
    </row>
    <row r="4144" spans="2:5" ht="15.75" thickBot="1">
      <c r="B4144" s="225" t="s">
        <v>6542</v>
      </c>
      <c r="C4144" s="226">
        <v>526133</v>
      </c>
      <c r="D4144" s="225" t="s">
        <v>597</v>
      </c>
      <c r="E4144" s="225" t="s">
        <v>612</v>
      </c>
    </row>
    <row r="4145" spans="2:5" ht="15.75" thickBot="1">
      <c r="B4145" s="225" t="s">
        <v>6543</v>
      </c>
      <c r="C4145" s="226">
        <v>540168</v>
      </c>
      <c r="D4145" s="225" t="s">
        <v>597</v>
      </c>
      <c r="E4145" s="225" t="s">
        <v>614</v>
      </c>
    </row>
    <row r="4146" spans="2:5" ht="15.75" thickBot="1">
      <c r="B4146" s="225" t="s">
        <v>6544</v>
      </c>
      <c r="C4146" s="226">
        <v>511539</v>
      </c>
      <c r="D4146" s="225" t="s">
        <v>597</v>
      </c>
      <c r="E4146" s="225" t="s">
        <v>580</v>
      </c>
    </row>
    <row r="4147" spans="2:5" ht="15.75" thickBot="1">
      <c r="B4147" s="225" t="s">
        <v>6545</v>
      </c>
      <c r="C4147" s="226">
        <v>532509</v>
      </c>
      <c r="D4147" s="225" t="s">
        <v>6546</v>
      </c>
      <c r="E4147" s="225" t="s">
        <v>952</v>
      </c>
    </row>
    <row r="4148" spans="2:5" ht="15.75" thickBot="1">
      <c r="B4148" s="225" t="s">
        <v>6547</v>
      </c>
      <c r="C4148" s="225" t="s">
        <v>597</v>
      </c>
      <c r="D4148" s="225" t="s">
        <v>6548</v>
      </c>
      <c r="E4148" s="225" t="s">
        <v>608</v>
      </c>
    </row>
    <row r="4149" spans="2:5" ht="15.75" thickBot="1">
      <c r="B4149" s="225" t="s">
        <v>6549</v>
      </c>
      <c r="C4149" s="226">
        <v>530677</v>
      </c>
      <c r="D4149" s="225" t="s">
        <v>597</v>
      </c>
      <c r="E4149" s="225" t="s">
        <v>683</v>
      </c>
    </row>
    <row r="4150" spans="2:5" ht="15.75" thickBot="1">
      <c r="B4150" s="225" t="s">
        <v>6550</v>
      </c>
      <c r="C4150" s="226">
        <v>530677</v>
      </c>
      <c r="D4150" s="225" t="s">
        <v>597</v>
      </c>
      <c r="E4150" s="225" t="s">
        <v>683</v>
      </c>
    </row>
    <row r="4151" spans="2:5" ht="15.75" thickBot="1">
      <c r="B4151" s="225" t="s">
        <v>6551</v>
      </c>
      <c r="C4151" s="225" t="s">
        <v>597</v>
      </c>
      <c r="D4151" s="225" t="s">
        <v>6552</v>
      </c>
      <c r="E4151" s="225" t="s">
        <v>608</v>
      </c>
    </row>
    <row r="4152" spans="2:5" ht="15.75" thickBot="1">
      <c r="B4152" s="225" t="s">
        <v>6553</v>
      </c>
      <c r="C4152" s="226">
        <v>509930</v>
      </c>
      <c r="D4152" s="225" t="s">
        <v>6554</v>
      </c>
      <c r="E4152" s="225" t="s">
        <v>717</v>
      </c>
    </row>
    <row r="4153" spans="2:5" ht="15.75" thickBot="1">
      <c r="B4153" s="225" t="s">
        <v>6555</v>
      </c>
      <c r="C4153" s="226">
        <v>532904</v>
      </c>
      <c r="D4153" s="225" t="s">
        <v>6556</v>
      </c>
      <c r="E4153" s="225" t="s">
        <v>995</v>
      </c>
    </row>
    <row r="4154" spans="2:5" ht="15.75" thickBot="1">
      <c r="B4154" s="225" t="s">
        <v>6557</v>
      </c>
      <c r="C4154" s="226">
        <v>532904</v>
      </c>
      <c r="D4154" s="225" t="s">
        <v>6556</v>
      </c>
      <c r="E4154" s="225" t="s">
        <v>995</v>
      </c>
    </row>
    <row r="4155" spans="2:5" ht="15.75" thickBot="1">
      <c r="B4155" s="225" t="s">
        <v>6558</v>
      </c>
      <c r="C4155" s="226">
        <v>500405</v>
      </c>
      <c r="D4155" s="225" t="s">
        <v>6559</v>
      </c>
      <c r="E4155" s="225" t="s">
        <v>811</v>
      </c>
    </row>
    <row r="4156" spans="2:5" ht="15.75" thickBot="1">
      <c r="B4156" s="225" t="s">
        <v>6560</v>
      </c>
      <c r="C4156" s="226">
        <v>534733</v>
      </c>
      <c r="D4156" s="225" t="s">
        <v>597</v>
      </c>
      <c r="E4156" s="225" t="s">
        <v>629</v>
      </c>
    </row>
    <row r="4157" spans="2:5" ht="15.75" thickBot="1">
      <c r="B4157" s="225" t="s">
        <v>6561</v>
      </c>
      <c r="C4157" s="226">
        <v>531638</v>
      </c>
      <c r="D4157" s="225" t="s">
        <v>597</v>
      </c>
      <c r="E4157" s="225" t="s">
        <v>920</v>
      </c>
    </row>
    <row r="4158" spans="2:5" ht="15.75" thickBot="1">
      <c r="B4158" s="225" t="s">
        <v>6562</v>
      </c>
      <c r="C4158" s="226">
        <v>518075</v>
      </c>
      <c r="D4158" s="225" t="s">
        <v>597</v>
      </c>
      <c r="E4158" s="225" t="s">
        <v>629</v>
      </c>
    </row>
    <row r="4159" spans="2:5" ht="15.75" thickBot="1">
      <c r="B4159" s="225" t="s">
        <v>6563</v>
      </c>
      <c r="C4159" s="226">
        <v>533298</v>
      </c>
      <c r="D4159" s="225" t="s">
        <v>6564</v>
      </c>
      <c r="E4159" s="225" t="s">
        <v>1139</v>
      </c>
    </row>
    <row r="4160" spans="2:5" ht="15.75" thickBot="1">
      <c r="B4160" s="225" t="s">
        <v>6565</v>
      </c>
      <c r="C4160" s="226">
        <v>517530</v>
      </c>
      <c r="D4160" s="225" t="s">
        <v>6566</v>
      </c>
      <c r="E4160" s="225" t="s">
        <v>867</v>
      </c>
    </row>
    <row r="4161" spans="2:5" ht="15.75" thickBot="1">
      <c r="B4161" s="225" t="s">
        <v>6567</v>
      </c>
      <c r="C4161" s="226">
        <v>530185</v>
      </c>
      <c r="D4161" s="225" t="s">
        <v>597</v>
      </c>
      <c r="E4161" s="225" t="s">
        <v>612</v>
      </c>
    </row>
    <row r="4162" spans="2:5" ht="15.75" thickBot="1">
      <c r="B4162" s="225" t="s">
        <v>6568</v>
      </c>
      <c r="C4162" s="225" t="s">
        <v>597</v>
      </c>
      <c r="D4162" s="225" t="s">
        <v>6569</v>
      </c>
      <c r="E4162" s="225" t="s">
        <v>608</v>
      </c>
    </row>
    <row r="4163" spans="2:5" ht="15.75" thickBot="1">
      <c r="B4163" s="225" t="s">
        <v>6570</v>
      </c>
      <c r="C4163" s="226">
        <v>539253</v>
      </c>
      <c r="D4163" s="225" t="s">
        <v>597</v>
      </c>
      <c r="E4163" s="225" t="s">
        <v>614</v>
      </c>
    </row>
    <row r="4164" spans="2:5" ht="15.75" thickBot="1">
      <c r="B4164" s="225" t="s">
        <v>6571</v>
      </c>
      <c r="C4164" s="226">
        <v>539253</v>
      </c>
      <c r="D4164" s="225" t="s">
        <v>597</v>
      </c>
      <c r="E4164" s="225" t="s">
        <v>614</v>
      </c>
    </row>
    <row r="4165" spans="2:5" ht="15.75" thickBot="1">
      <c r="B4165" s="225" t="s">
        <v>6572</v>
      </c>
      <c r="C4165" s="226">
        <v>500336</v>
      </c>
      <c r="D4165" s="225" t="s">
        <v>6573</v>
      </c>
      <c r="E4165" s="225" t="s">
        <v>586</v>
      </c>
    </row>
    <row r="4166" spans="2:5" ht="15.75" thickBot="1">
      <c r="B4166" s="225" t="s">
        <v>6574</v>
      </c>
      <c r="C4166" s="226">
        <v>533101</v>
      </c>
      <c r="D4166" s="225" t="s">
        <v>597</v>
      </c>
      <c r="E4166" s="225" t="s">
        <v>612</v>
      </c>
    </row>
    <row r="4167" spans="2:5" ht="15.75" thickBot="1">
      <c r="B4167" s="225" t="s">
        <v>6575</v>
      </c>
      <c r="C4167" s="226">
        <v>532874</v>
      </c>
      <c r="D4167" s="225" t="s">
        <v>597</v>
      </c>
      <c r="E4167" s="225" t="s">
        <v>736</v>
      </c>
    </row>
    <row r="4168" spans="2:5" ht="15.75" thickBot="1">
      <c r="B4168" s="225" t="s">
        <v>6576</v>
      </c>
      <c r="C4168" s="226">
        <v>511185</v>
      </c>
      <c r="D4168" s="225" t="s">
        <v>597</v>
      </c>
      <c r="E4168" s="225" t="s">
        <v>918</v>
      </c>
    </row>
    <row r="4169" spans="2:5" ht="15.75" thickBot="1">
      <c r="B4169" s="225" t="s">
        <v>6577</v>
      </c>
      <c r="C4169" s="226">
        <v>521200</v>
      </c>
      <c r="D4169" s="225" t="s">
        <v>6578</v>
      </c>
      <c r="E4169" s="225" t="s">
        <v>612</v>
      </c>
    </row>
    <row r="4170" spans="2:5" ht="15.75" thickBot="1">
      <c r="B4170" s="225" t="s">
        <v>6579</v>
      </c>
      <c r="C4170" s="226">
        <v>514138</v>
      </c>
      <c r="D4170" s="225" t="s">
        <v>597</v>
      </c>
      <c r="E4170" s="225" t="s">
        <v>612</v>
      </c>
    </row>
    <row r="4171" spans="2:5" ht="15.75" thickBot="1">
      <c r="B4171" s="225" t="s">
        <v>6580</v>
      </c>
      <c r="C4171" s="226">
        <v>514140</v>
      </c>
      <c r="D4171" s="225" t="s">
        <v>597</v>
      </c>
      <c r="E4171" s="225" t="s">
        <v>612</v>
      </c>
    </row>
    <row r="4172" spans="2:5" ht="15.75" thickBot="1">
      <c r="B4172" s="225" t="s">
        <v>6581</v>
      </c>
      <c r="C4172" s="226">
        <v>519604</v>
      </c>
      <c r="D4172" s="225" t="s">
        <v>6582</v>
      </c>
      <c r="E4172" s="225" t="s">
        <v>657</v>
      </c>
    </row>
    <row r="4173" spans="2:5" ht="15.75" thickBot="1">
      <c r="B4173" s="225" t="s">
        <v>6583</v>
      </c>
      <c r="C4173" s="226">
        <v>532782</v>
      </c>
      <c r="D4173" s="225" t="s">
        <v>6584</v>
      </c>
      <c r="E4173" s="225" t="s">
        <v>612</v>
      </c>
    </row>
    <row r="4174" spans="2:5" ht="15.75" thickBot="1">
      <c r="B4174" s="225" t="s">
        <v>6585</v>
      </c>
      <c r="C4174" s="225" t="s">
        <v>597</v>
      </c>
      <c r="D4174" s="225" t="s">
        <v>6586</v>
      </c>
      <c r="E4174" s="225" t="s">
        <v>608</v>
      </c>
    </row>
    <row r="4175" spans="2:5" ht="15.75" thickBot="1">
      <c r="B4175" s="225" t="s">
        <v>6587</v>
      </c>
      <c r="C4175" s="226">
        <v>530239</v>
      </c>
      <c r="D4175" s="225" t="s">
        <v>6588</v>
      </c>
      <c r="E4175" s="225" t="s">
        <v>635</v>
      </c>
    </row>
    <row r="4176" spans="2:5" ht="15.75" thickBot="1">
      <c r="B4176" s="225" t="s">
        <v>6589</v>
      </c>
      <c r="C4176" s="226">
        <v>531640</v>
      </c>
      <c r="D4176" s="225" t="s">
        <v>597</v>
      </c>
      <c r="E4176" s="225" t="s">
        <v>683</v>
      </c>
    </row>
    <row r="4177" spans="2:5" ht="15.75" thickBot="1">
      <c r="B4177" s="225" t="s">
        <v>6590</v>
      </c>
      <c r="C4177" s="226">
        <v>537259</v>
      </c>
      <c r="D4177" s="225" t="s">
        <v>597</v>
      </c>
      <c r="E4177" s="225" t="s">
        <v>1544</v>
      </c>
    </row>
    <row r="4178" spans="2:5" ht="15.75" thickBot="1">
      <c r="B4178" s="225" t="s">
        <v>6591</v>
      </c>
      <c r="C4178" s="226">
        <v>532667</v>
      </c>
      <c r="D4178" s="225" t="s">
        <v>6592</v>
      </c>
      <c r="E4178" s="225" t="s">
        <v>640</v>
      </c>
    </row>
    <row r="4179" spans="2:5" ht="15.75" thickBot="1">
      <c r="B4179" s="225" t="s">
        <v>6593</v>
      </c>
      <c r="C4179" s="226">
        <v>531885</v>
      </c>
      <c r="D4179" s="225" t="s">
        <v>597</v>
      </c>
      <c r="E4179" s="225" t="s">
        <v>619</v>
      </c>
    </row>
    <row r="4180" spans="2:5" ht="15.75" thickBot="1">
      <c r="B4180" s="225" t="s">
        <v>6594</v>
      </c>
      <c r="C4180" s="226">
        <v>531885</v>
      </c>
      <c r="D4180" s="225" t="s">
        <v>597</v>
      </c>
      <c r="E4180" s="225" t="s">
        <v>619</v>
      </c>
    </row>
    <row r="4181" spans="2:5" ht="15.75" thickBot="1">
      <c r="B4181" s="225" t="s">
        <v>6595</v>
      </c>
      <c r="C4181" s="226">
        <v>523722</v>
      </c>
      <c r="D4181" s="225" t="s">
        <v>597</v>
      </c>
      <c r="E4181" s="225" t="s">
        <v>690</v>
      </c>
    </row>
    <row r="4182" spans="2:5" ht="15.75" thickBot="1">
      <c r="B4182" s="225" t="s">
        <v>6596</v>
      </c>
      <c r="C4182" s="226">
        <v>503624</v>
      </c>
      <c r="D4182" s="225" t="s">
        <v>597</v>
      </c>
      <c r="E4182" s="225" t="s">
        <v>580</v>
      </c>
    </row>
    <row r="4183" spans="2:5" ht="15.75" thickBot="1">
      <c r="B4183" s="225" t="s">
        <v>6597</v>
      </c>
      <c r="C4183" s="226">
        <v>539911</v>
      </c>
      <c r="D4183" s="225" t="s">
        <v>597</v>
      </c>
      <c r="E4183" s="225" t="s">
        <v>619</v>
      </c>
    </row>
    <row r="4184" spans="2:5" ht="15.75" thickBot="1">
      <c r="B4184" s="225" t="s">
        <v>6598</v>
      </c>
      <c r="C4184" s="226">
        <v>524488</v>
      </c>
      <c r="D4184" s="225" t="s">
        <v>6599</v>
      </c>
      <c r="E4184" s="225" t="s">
        <v>645</v>
      </c>
    </row>
    <row r="4185" spans="2:5" ht="15.75" thickBot="1">
      <c r="B4185" s="225" t="s">
        <v>6600</v>
      </c>
      <c r="C4185" s="226">
        <v>512449</v>
      </c>
      <c r="D4185" s="225" t="s">
        <v>597</v>
      </c>
      <c r="E4185" s="225" t="s">
        <v>577</v>
      </c>
    </row>
    <row r="4186" spans="2:5" ht="15.75" thickBot="1">
      <c r="B4186" s="225" t="s">
        <v>6601</v>
      </c>
      <c r="C4186" s="226">
        <v>505590</v>
      </c>
      <c r="D4186" s="225" t="s">
        <v>597</v>
      </c>
      <c r="E4186" s="225" t="s">
        <v>612</v>
      </c>
    </row>
    <row r="4187" spans="2:5" ht="15.75" thickBot="1">
      <c r="B4187" s="225" t="s">
        <v>6602</v>
      </c>
      <c r="C4187" s="226">
        <v>539041</v>
      </c>
      <c r="D4187" s="225" t="s">
        <v>597</v>
      </c>
      <c r="E4187" s="225" t="s">
        <v>619</v>
      </c>
    </row>
    <row r="4188" spans="2:5" ht="15.75" thickBot="1">
      <c r="B4188" s="225" t="s">
        <v>6603</v>
      </c>
      <c r="C4188" s="226">
        <v>503659</v>
      </c>
      <c r="D4188" s="225" t="s">
        <v>597</v>
      </c>
      <c r="E4188" s="225" t="s">
        <v>1018</v>
      </c>
    </row>
    <row r="4189" spans="2:5" ht="15.75" thickBot="1">
      <c r="B4189" s="225" t="s">
        <v>6604</v>
      </c>
      <c r="C4189" s="226">
        <v>506863</v>
      </c>
      <c r="D4189" s="225" t="s">
        <v>597</v>
      </c>
      <c r="E4189" s="225" t="s">
        <v>792</v>
      </c>
    </row>
    <row r="4190" spans="2:5" ht="15.75" thickBot="1">
      <c r="B4190" s="225" t="s">
        <v>6605</v>
      </c>
      <c r="C4190" s="226">
        <v>503816</v>
      </c>
      <c r="D4190" s="225" t="s">
        <v>597</v>
      </c>
      <c r="E4190" s="225" t="s">
        <v>612</v>
      </c>
    </row>
    <row r="4191" spans="2:5" ht="15.75" thickBot="1">
      <c r="B4191" s="225" t="s">
        <v>6606</v>
      </c>
      <c r="C4191" s="226">
        <v>531909</v>
      </c>
      <c r="D4191" s="225" t="s">
        <v>597</v>
      </c>
      <c r="E4191" s="225" t="s">
        <v>683</v>
      </c>
    </row>
    <row r="4192" spans="2:5" ht="15.75" thickBot="1">
      <c r="B4192" s="225" t="s">
        <v>6607</v>
      </c>
      <c r="C4192" s="226">
        <v>539406</v>
      </c>
      <c r="D4192" s="225" t="s">
        <v>597</v>
      </c>
      <c r="E4192" s="225" t="s">
        <v>619</v>
      </c>
    </row>
    <row r="4193" spans="2:5" ht="15.75" thickBot="1">
      <c r="B4193" s="225" t="s">
        <v>6608</v>
      </c>
      <c r="C4193" s="226">
        <v>503310</v>
      </c>
      <c r="D4193" s="225" t="s">
        <v>6609</v>
      </c>
      <c r="E4193" s="225" t="s">
        <v>612</v>
      </c>
    </row>
    <row r="4194" spans="2:5" ht="15.75" thickBot="1">
      <c r="B4194" s="225" t="s">
        <v>6610</v>
      </c>
      <c r="C4194" s="226">
        <v>539353</v>
      </c>
      <c r="D4194" s="225" t="s">
        <v>597</v>
      </c>
      <c r="E4194" s="225" t="s">
        <v>952</v>
      </c>
    </row>
    <row r="4195" spans="2:5" ht="15.75" thickBot="1">
      <c r="B4195" s="225" t="s">
        <v>6611</v>
      </c>
      <c r="C4195" s="226">
        <v>500407</v>
      </c>
      <c r="D4195" s="225" t="s">
        <v>6612</v>
      </c>
      <c r="E4195" s="225" t="s">
        <v>952</v>
      </c>
    </row>
    <row r="4196" spans="2:5" ht="15.75" thickBot="1">
      <c r="B4196" s="225" t="s">
        <v>6613</v>
      </c>
      <c r="C4196" s="226">
        <v>531003</v>
      </c>
      <c r="D4196" s="225" t="s">
        <v>597</v>
      </c>
      <c r="E4196" s="225" t="s">
        <v>614</v>
      </c>
    </row>
    <row r="4197" spans="2:5" ht="15.75" thickBot="1">
      <c r="B4197" s="225" t="s">
        <v>6614</v>
      </c>
      <c r="C4197" s="226">
        <v>526365</v>
      </c>
      <c r="D4197" s="225" t="s">
        <v>597</v>
      </c>
      <c r="E4197" s="225" t="s">
        <v>711</v>
      </c>
    </row>
    <row r="4198" spans="2:5" ht="15.75" thickBot="1">
      <c r="B4198" s="225" t="s">
        <v>6615</v>
      </c>
      <c r="C4198" s="226">
        <v>512257</v>
      </c>
      <c r="D4198" s="225" t="s">
        <v>597</v>
      </c>
      <c r="E4198" s="225" t="s">
        <v>586</v>
      </c>
    </row>
    <row r="4199" spans="2:5" ht="15.75" thickBot="1">
      <c r="B4199" s="225" t="s">
        <v>6616</v>
      </c>
      <c r="C4199" s="226">
        <v>510245</v>
      </c>
      <c r="D4199" s="225" t="s">
        <v>597</v>
      </c>
      <c r="E4199" s="225" t="s">
        <v>619</v>
      </c>
    </row>
    <row r="4200" spans="2:5" ht="15.75" thickBot="1">
      <c r="B4200" s="225" t="s">
        <v>6617</v>
      </c>
      <c r="C4200" s="226">
        <v>501386</v>
      </c>
      <c r="D4200" s="225" t="s">
        <v>597</v>
      </c>
      <c r="E4200" s="225" t="s">
        <v>580</v>
      </c>
    </row>
    <row r="4201" spans="2:5" ht="15.75" thickBot="1">
      <c r="B4201" s="225" t="s">
        <v>6618</v>
      </c>
      <c r="C4201" s="226">
        <v>530585</v>
      </c>
      <c r="D4201" s="225" t="s">
        <v>597</v>
      </c>
      <c r="E4201" s="225" t="s">
        <v>580</v>
      </c>
    </row>
    <row r="4202" spans="2:5" ht="15.75" thickBot="1">
      <c r="B4202" s="225" t="s">
        <v>6619</v>
      </c>
      <c r="C4202" s="226">
        <v>532051</v>
      </c>
      <c r="D4202" s="225" t="s">
        <v>6620</v>
      </c>
      <c r="E4202" s="225" t="s">
        <v>640</v>
      </c>
    </row>
    <row r="4203" spans="2:5" ht="15.75" thickBot="1">
      <c r="B4203" s="225" t="s">
        <v>6621</v>
      </c>
      <c r="C4203" s="226">
        <v>522215</v>
      </c>
      <c r="D4203" s="225" t="s">
        <v>597</v>
      </c>
      <c r="E4203" s="225" t="s">
        <v>605</v>
      </c>
    </row>
    <row r="4204" spans="2:5" ht="15.75" thickBot="1">
      <c r="B4204" s="225" t="s">
        <v>6622</v>
      </c>
      <c r="C4204" s="226">
        <v>517201</v>
      </c>
      <c r="D4204" s="225" t="s">
        <v>597</v>
      </c>
      <c r="E4204" s="225" t="s">
        <v>1139</v>
      </c>
    </row>
    <row r="4205" spans="2:5" ht="15.75" thickBot="1">
      <c r="B4205" s="225" t="s">
        <v>6623</v>
      </c>
      <c r="C4205" s="226">
        <v>531637</v>
      </c>
      <c r="D4205" s="225" t="s">
        <v>597</v>
      </c>
      <c r="E4205" s="225" t="s">
        <v>635</v>
      </c>
    </row>
    <row r="4206" spans="2:5" ht="15.75" thickBot="1">
      <c r="B4206" s="225" t="s">
        <v>6624</v>
      </c>
      <c r="C4206" s="226">
        <v>512359</v>
      </c>
      <c r="D4206" s="225" t="s">
        <v>597</v>
      </c>
      <c r="E4206" s="225" t="s">
        <v>619</v>
      </c>
    </row>
    <row r="4207" spans="2:5" ht="15.75" thickBot="1">
      <c r="B4207" s="225" t="s">
        <v>6625</v>
      </c>
      <c r="C4207" s="226">
        <v>531499</v>
      </c>
      <c r="D4207" s="225" t="s">
        <v>597</v>
      </c>
      <c r="E4207" s="225" t="s">
        <v>612</v>
      </c>
    </row>
    <row r="4208" spans="2:5" ht="15.75" thickBot="1">
      <c r="B4208" s="225" t="s">
        <v>6626</v>
      </c>
      <c r="C4208" s="226">
        <v>539682</v>
      </c>
      <c r="D4208" s="225" t="s">
        <v>597</v>
      </c>
      <c r="E4208" s="225" t="s">
        <v>702</v>
      </c>
    </row>
    <row r="4209" spans="2:5" ht="15.75" thickBot="1">
      <c r="B4209" s="225" t="s">
        <v>6627</v>
      </c>
      <c r="C4209" s="226">
        <v>511447</v>
      </c>
      <c r="D4209" s="225" t="s">
        <v>597</v>
      </c>
      <c r="E4209" s="225" t="s">
        <v>603</v>
      </c>
    </row>
    <row r="4210" spans="2:5" ht="15.75" thickBot="1">
      <c r="B4210" s="225" t="s">
        <v>6628</v>
      </c>
      <c r="C4210" s="226">
        <v>539278</v>
      </c>
      <c r="D4210" s="225" t="s">
        <v>597</v>
      </c>
      <c r="E4210" s="225" t="s">
        <v>580</v>
      </c>
    </row>
    <row r="4211" spans="2:5" ht="15.75" thickBot="1">
      <c r="B4211" s="225" t="s">
        <v>6629</v>
      </c>
      <c r="C4211" s="226">
        <v>517385</v>
      </c>
      <c r="D4211" s="225" t="s">
        <v>6630</v>
      </c>
      <c r="E4211" s="225" t="s">
        <v>966</v>
      </c>
    </row>
    <row r="4212" spans="2:5" ht="15.75" thickBot="1">
      <c r="B4212" s="225" t="s">
        <v>6631</v>
      </c>
      <c r="C4212" s="226">
        <v>524470</v>
      </c>
      <c r="D4212" s="225" t="s">
        <v>597</v>
      </c>
      <c r="E4212" s="225" t="s">
        <v>635</v>
      </c>
    </row>
    <row r="4213" spans="2:5" ht="15.75" thickBot="1">
      <c r="B4213" s="225" t="s">
        <v>6632</v>
      </c>
      <c r="C4213" s="226">
        <v>524470</v>
      </c>
      <c r="D4213" s="225" t="s">
        <v>597</v>
      </c>
      <c r="E4213" s="225" t="s">
        <v>635</v>
      </c>
    </row>
    <row r="4214" spans="2:5" ht="15.75" thickBot="1">
      <c r="B4214" s="225" t="s">
        <v>6633</v>
      </c>
      <c r="C4214" s="226">
        <v>533157</v>
      </c>
      <c r="D4214" s="225" t="s">
        <v>6634</v>
      </c>
      <c r="E4214" s="225" t="s">
        <v>635</v>
      </c>
    </row>
    <row r="4215" spans="2:5" ht="15.75" thickBot="1">
      <c r="B4215" s="225" t="s">
        <v>6635</v>
      </c>
      <c r="C4215" s="226">
        <v>532276</v>
      </c>
      <c r="D4215" s="225" t="s">
        <v>6636</v>
      </c>
      <c r="E4215" s="225" t="s">
        <v>915</v>
      </c>
    </row>
    <row r="4216" spans="2:5" ht="15.75" thickBot="1">
      <c r="B4216" s="225" t="s">
        <v>6637</v>
      </c>
      <c r="C4216" s="226">
        <v>541929</v>
      </c>
      <c r="D4216" s="225" t="s">
        <v>597</v>
      </c>
      <c r="E4216" s="225" t="s">
        <v>1517</v>
      </c>
    </row>
    <row r="4217" spans="2:5" ht="15.75" thickBot="1">
      <c r="B4217" s="225" t="s">
        <v>6638</v>
      </c>
      <c r="C4217" s="226">
        <v>539268</v>
      </c>
      <c r="D4217" s="225" t="s">
        <v>6639</v>
      </c>
      <c r="E4217" s="225" t="s">
        <v>635</v>
      </c>
    </row>
    <row r="4218" spans="2:5" ht="15.75" thickBot="1">
      <c r="B4218" s="225" t="s">
        <v>6640</v>
      </c>
      <c r="C4218" s="226">
        <v>513307</v>
      </c>
      <c r="D4218" s="225" t="s">
        <v>597</v>
      </c>
      <c r="E4218" s="225" t="s">
        <v>902</v>
      </c>
    </row>
    <row r="4219" spans="2:5" ht="15.75" thickBot="1">
      <c r="B4219" s="225" t="s">
        <v>6641</v>
      </c>
      <c r="C4219" s="226">
        <v>531173</v>
      </c>
      <c r="D4219" s="225" t="s">
        <v>597</v>
      </c>
      <c r="E4219" s="225" t="s">
        <v>635</v>
      </c>
    </row>
    <row r="4220" spans="2:5" ht="15.75" thickBot="1">
      <c r="B4220" s="225" t="s">
        <v>6642</v>
      </c>
      <c r="C4220" s="226">
        <v>531173</v>
      </c>
      <c r="D4220" s="225" t="s">
        <v>597</v>
      </c>
      <c r="E4220" s="225" t="s">
        <v>635</v>
      </c>
    </row>
    <row r="4221" spans="2:5" ht="15.75" thickBot="1">
      <c r="B4221" s="225" t="s">
        <v>6643</v>
      </c>
      <c r="C4221" s="226">
        <v>539842</v>
      </c>
      <c r="D4221" s="225" t="s">
        <v>597</v>
      </c>
      <c r="E4221" s="225" t="s">
        <v>792</v>
      </c>
    </row>
    <row r="4222" spans="2:5" ht="15.75" thickBot="1">
      <c r="B4222" s="225" t="s">
        <v>6644</v>
      </c>
      <c r="C4222" s="226">
        <v>526506</v>
      </c>
      <c r="D4222" s="225" t="s">
        <v>597</v>
      </c>
      <c r="E4222" s="225" t="s">
        <v>580</v>
      </c>
    </row>
    <row r="4223" spans="2:5" ht="15.75" thickBot="1">
      <c r="B4223" s="225" t="s">
        <v>6645</v>
      </c>
      <c r="C4223" s="226">
        <v>531432</v>
      </c>
      <c r="D4223" s="225" t="s">
        <v>597</v>
      </c>
      <c r="E4223" s="225" t="s">
        <v>614</v>
      </c>
    </row>
    <row r="4224" spans="2:5" ht="15.75" thickBot="1">
      <c r="B4224" s="225" t="s">
        <v>6646</v>
      </c>
      <c r="C4224" s="226">
        <v>522294</v>
      </c>
      <c r="D4224" s="225" t="s">
        <v>597</v>
      </c>
      <c r="E4224" s="225" t="s">
        <v>605</v>
      </c>
    </row>
    <row r="4225" spans="2:5" ht="15.75" thickBot="1">
      <c r="B4225" s="225" t="s">
        <v>6647</v>
      </c>
      <c r="C4225" s="226">
        <v>533553</v>
      </c>
      <c r="D4225" s="225" t="s">
        <v>597</v>
      </c>
      <c r="E4225" s="225" t="s">
        <v>640</v>
      </c>
    </row>
    <row r="4226" spans="2:5" ht="15.75" thickBot="1">
      <c r="B4226" s="225" t="s">
        <v>6648</v>
      </c>
      <c r="C4226" s="226">
        <v>532444</v>
      </c>
      <c r="D4226" s="225" t="s">
        <v>597</v>
      </c>
      <c r="E4226" s="225" t="s">
        <v>690</v>
      </c>
    </row>
    <row r="4227" spans="2:5" ht="15.75" thickBot="1">
      <c r="B4227" s="225" t="s">
        <v>6649</v>
      </c>
      <c r="C4227" s="226">
        <v>514142</v>
      </c>
      <c r="D4227" s="225" t="s">
        <v>6650</v>
      </c>
      <c r="E4227" s="225" t="s">
        <v>612</v>
      </c>
    </row>
    <row r="4228" spans="2:5" ht="15.75" thickBot="1">
      <c r="B4228" s="225" t="s">
        <v>6651</v>
      </c>
      <c r="C4228" s="226">
        <v>539956</v>
      </c>
      <c r="D4228" s="225" t="s">
        <v>597</v>
      </c>
      <c r="E4228" s="225" t="s">
        <v>2734</v>
      </c>
    </row>
    <row r="4229" spans="2:5" ht="15.75" thickBot="1">
      <c r="B4229" s="225" t="s">
        <v>6652</v>
      </c>
      <c r="C4229" s="226">
        <v>537392</v>
      </c>
      <c r="D4229" s="225" t="s">
        <v>597</v>
      </c>
      <c r="E4229" s="225" t="s">
        <v>766</v>
      </c>
    </row>
    <row r="4230" spans="2:5" ht="15.75" thickBot="1">
      <c r="B4230" s="225" t="s">
        <v>6653</v>
      </c>
      <c r="C4230" s="226">
        <v>519483</v>
      </c>
      <c r="D4230" s="225" t="s">
        <v>597</v>
      </c>
      <c r="E4230" s="225" t="s">
        <v>619</v>
      </c>
    </row>
    <row r="4231" spans="2:5" ht="15.75" thickBot="1">
      <c r="B4231" s="225" t="s">
        <v>6654</v>
      </c>
      <c r="C4231" s="226">
        <v>507785</v>
      </c>
      <c r="D4231" s="225" t="s">
        <v>6655</v>
      </c>
      <c r="E4231" s="225" t="s">
        <v>717</v>
      </c>
    </row>
    <row r="4232" spans="2:5" ht="15.75" thickBot="1">
      <c r="B4232" s="225" t="s">
        <v>6656</v>
      </c>
      <c r="C4232" s="226">
        <v>532390</v>
      </c>
      <c r="D4232" s="225" t="s">
        <v>6657</v>
      </c>
      <c r="E4232" s="225" t="s">
        <v>798</v>
      </c>
    </row>
    <row r="4233" spans="2:5" ht="15.75" thickBot="1">
      <c r="B4233" s="225" t="s">
        <v>6658</v>
      </c>
      <c r="C4233" s="226">
        <v>532890</v>
      </c>
      <c r="D4233" s="225" t="s">
        <v>6659</v>
      </c>
      <c r="E4233" s="225" t="s">
        <v>583</v>
      </c>
    </row>
    <row r="4234" spans="2:5" ht="15.75" thickBot="1">
      <c r="B4234" s="225" t="s">
        <v>6660</v>
      </c>
      <c r="C4234" s="226">
        <v>505160</v>
      </c>
      <c r="D4234" s="225" t="s">
        <v>6661</v>
      </c>
      <c r="E4234" s="225" t="s">
        <v>952</v>
      </c>
    </row>
    <row r="4235" spans="2:5" ht="15.75" thickBot="1">
      <c r="B4235" s="225" t="s">
        <v>6662</v>
      </c>
      <c r="C4235" s="226">
        <v>538987</v>
      </c>
      <c r="D4235" s="225" t="s">
        <v>597</v>
      </c>
      <c r="E4235" s="225" t="s">
        <v>952</v>
      </c>
    </row>
    <row r="4236" spans="2:5" ht="15.75" thickBot="1">
      <c r="B4236" s="225" t="s">
        <v>6663</v>
      </c>
      <c r="C4236" s="226">
        <v>533200</v>
      </c>
      <c r="D4236" s="225" t="s">
        <v>6664</v>
      </c>
      <c r="E4236" s="225" t="s">
        <v>775</v>
      </c>
    </row>
    <row r="4237" spans="2:5" ht="15.75" thickBot="1">
      <c r="B4237" s="225" t="s">
        <v>6665</v>
      </c>
      <c r="C4237" s="226">
        <v>541545</v>
      </c>
      <c r="D4237" s="225" t="s">
        <v>6666</v>
      </c>
      <c r="E4237" s="225" t="s">
        <v>775</v>
      </c>
    </row>
    <row r="4238" spans="2:5" ht="15.75" thickBot="1">
      <c r="B4238" s="225" t="s">
        <v>6667</v>
      </c>
      <c r="C4238" s="226">
        <v>533170</v>
      </c>
      <c r="D4238" s="225" t="s">
        <v>597</v>
      </c>
      <c r="E4238" s="225" t="s">
        <v>617</v>
      </c>
    </row>
    <row r="4239" spans="2:5" ht="15.75" thickBot="1">
      <c r="B4239" s="225" t="s">
        <v>6668</v>
      </c>
      <c r="C4239" s="226">
        <v>531426</v>
      </c>
      <c r="D4239" s="225" t="s">
        <v>6669</v>
      </c>
      <c r="E4239" s="225" t="s">
        <v>591</v>
      </c>
    </row>
    <row r="4240" spans="2:5" ht="15.75" thickBot="1">
      <c r="B4240" s="225" t="s">
        <v>6670</v>
      </c>
      <c r="C4240" s="226">
        <v>521038</v>
      </c>
      <c r="D4240" s="225" t="s">
        <v>597</v>
      </c>
      <c r="E4240" s="225" t="s">
        <v>612</v>
      </c>
    </row>
    <row r="4241" spans="2:5" ht="15.75" thickBot="1">
      <c r="B4241" s="225" t="s">
        <v>6671</v>
      </c>
      <c r="C4241" s="226">
        <v>500777</v>
      </c>
      <c r="D4241" s="225" t="s">
        <v>6672</v>
      </c>
      <c r="E4241" s="225" t="s">
        <v>645</v>
      </c>
    </row>
    <row r="4242" spans="2:5" ht="15.75" thickBot="1">
      <c r="B4242" s="225" t="s">
        <v>6673</v>
      </c>
      <c r="C4242" s="226">
        <v>513540</v>
      </c>
      <c r="D4242" s="225" t="s">
        <v>597</v>
      </c>
      <c r="E4242" s="225" t="s">
        <v>920</v>
      </c>
    </row>
    <row r="4243" spans="2:5" ht="15.75" thickBot="1">
      <c r="B4243" s="225" t="s">
        <v>6674</v>
      </c>
      <c r="C4243" s="226">
        <v>523419</v>
      </c>
      <c r="D4243" s="225" t="s">
        <v>6675</v>
      </c>
      <c r="E4243" s="225" t="s">
        <v>867</v>
      </c>
    </row>
    <row r="4244" spans="2:5" ht="15.75" thickBot="1">
      <c r="B4244" s="225" t="s">
        <v>6676</v>
      </c>
      <c r="C4244" s="226">
        <v>522229</v>
      </c>
      <c r="D4244" s="225" t="s">
        <v>597</v>
      </c>
      <c r="E4244" s="225" t="s">
        <v>3081</v>
      </c>
    </row>
    <row r="4245" spans="2:5" ht="15.75" thickBot="1">
      <c r="B4245" s="225" t="s">
        <v>6677</v>
      </c>
      <c r="C4245" s="226">
        <v>506854</v>
      </c>
      <c r="D4245" s="225" t="s">
        <v>597</v>
      </c>
      <c r="E4245" s="225" t="s">
        <v>645</v>
      </c>
    </row>
    <row r="4246" spans="2:5" ht="15.75" thickBot="1">
      <c r="B4246" s="225" t="s">
        <v>6678</v>
      </c>
      <c r="C4246" s="226">
        <v>532790</v>
      </c>
      <c r="D4246" s="225" t="s">
        <v>6679</v>
      </c>
      <c r="E4246" s="225" t="s">
        <v>690</v>
      </c>
    </row>
    <row r="4247" spans="2:5" ht="15.75" thickBot="1">
      <c r="B4247" s="225" t="s">
        <v>6680</v>
      </c>
      <c r="C4247" s="226">
        <v>532738</v>
      </c>
      <c r="D4247" s="225" t="s">
        <v>6681</v>
      </c>
      <c r="E4247" s="225" t="s">
        <v>995</v>
      </c>
    </row>
    <row r="4248" spans="2:5" ht="15.75" thickBot="1">
      <c r="B4248" s="225" t="s">
        <v>6682</v>
      </c>
      <c r="C4248" s="226">
        <v>540332</v>
      </c>
      <c r="D4248" s="225" t="s">
        <v>597</v>
      </c>
      <c r="E4248" s="225" t="s">
        <v>619</v>
      </c>
    </row>
    <row r="4249" spans="2:5" ht="15.75" thickBot="1">
      <c r="B4249" s="225" t="s">
        <v>6683</v>
      </c>
      <c r="C4249" s="226">
        <v>540332</v>
      </c>
      <c r="D4249" s="225" t="s">
        <v>597</v>
      </c>
      <c r="E4249" s="225" t="s">
        <v>619</v>
      </c>
    </row>
    <row r="4250" spans="2:5" ht="15.75" thickBot="1">
      <c r="B4250" s="225" t="s">
        <v>6684</v>
      </c>
      <c r="C4250" s="226">
        <v>505685</v>
      </c>
      <c r="D4250" s="225" t="s">
        <v>597</v>
      </c>
      <c r="E4250" s="225" t="s">
        <v>920</v>
      </c>
    </row>
    <row r="4251" spans="2:5" ht="15.75" thickBot="1">
      <c r="B4251" s="225" t="s">
        <v>6685</v>
      </c>
      <c r="C4251" s="225" t="s">
        <v>597</v>
      </c>
      <c r="D4251" s="225" t="s">
        <v>6686</v>
      </c>
      <c r="E4251" s="225" t="s">
        <v>608</v>
      </c>
    </row>
    <row r="4252" spans="2:5" ht="15.75" thickBot="1">
      <c r="B4252" s="225" t="s">
        <v>6687</v>
      </c>
      <c r="C4252" s="226">
        <v>534756</v>
      </c>
      <c r="D4252" s="225" t="s">
        <v>6688</v>
      </c>
      <c r="E4252" s="225" t="s">
        <v>711</v>
      </c>
    </row>
    <row r="4253" spans="2:5" ht="15.75" thickBot="1">
      <c r="B4253" s="225" t="s">
        <v>6689</v>
      </c>
      <c r="C4253" s="226">
        <v>519285</v>
      </c>
      <c r="D4253" s="225" t="s">
        <v>597</v>
      </c>
      <c r="E4253" s="225" t="s">
        <v>795</v>
      </c>
    </row>
    <row r="4254" spans="2:5" ht="15.75" thickBot="1">
      <c r="B4254" s="225" t="s">
        <v>6690</v>
      </c>
      <c r="C4254" s="226">
        <v>533203</v>
      </c>
      <c r="D4254" s="225" t="s">
        <v>6691</v>
      </c>
      <c r="E4254" s="225" t="s">
        <v>640</v>
      </c>
    </row>
    <row r="4255" spans="2:5" ht="15.75" thickBot="1">
      <c r="B4255" s="225" t="s">
        <v>6692</v>
      </c>
      <c r="C4255" s="226">
        <v>538496</v>
      </c>
      <c r="D4255" s="225" t="s">
        <v>597</v>
      </c>
      <c r="E4255" s="225" t="s">
        <v>681</v>
      </c>
    </row>
    <row r="4256" spans="2:5" ht="15.75" thickBot="1">
      <c r="B4256" s="225" t="s">
        <v>6693</v>
      </c>
      <c r="C4256" s="226">
        <v>532869</v>
      </c>
      <c r="D4256" s="225" t="s">
        <v>6694</v>
      </c>
      <c r="E4256" s="225" t="s">
        <v>995</v>
      </c>
    </row>
    <row r="4257" spans="2:5" ht="15.75" thickBot="1">
      <c r="B4257" s="225" t="s">
        <v>6695</v>
      </c>
      <c r="C4257" s="226">
        <v>512271</v>
      </c>
      <c r="D4257" s="225" t="s">
        <v>597</v>
      </c>
      <c r="E4257" s="225" t="s">
        <v>1018</v>
      </c>
    </row>
    <row r="4258" spans="2:5" ht="15.75" thickBot="1">
      <c r="B4258" s="225" t="s">
        <v>6696</v>
      </c>
      <c r="C4258" s="226">
        <v>512271</v>
      </c>
      <c r="D4258" s="225" t="s">
        <v>597</v>
      </c>
      <c r="E4258" s="225" t="s">
        <v>1018</v>
      </c>
    </row>
    <row r="4259" spans="2:5" ht="15.75" thickBot="1">
      <c r="B4259" s="225" t="s">
        <v>6697</v>
      </c>
      <c r="C4259" s="226">
        <v>519091</v>
      </c>
      <c r="D4259" s="225" t="s">
        <v>6698</v>
      </c>
      <c r="E4259" s="225" t="s">
        <v>657</v>
      </c>
    </row>
    <row r="4260" spans="2:5" ht="15.75" thickBot="1">
      <c r="B4260" s="225" t="s">
        <v>6699</v>
      </c>
      <c r="C4260" s="226">
        <v>540955</v>
      </c>
      <c r="D4260" s="225" t="s">
        <v>597</v>
      </c>
      <c r="E4260" s="225" t="s">
        <v>657</v>
      </c>
    </row>
    <row r="4261" spans="2:5" ht="15.75" thickBot="1">
      <c r="B4261" s="225" t="s">
        <v>6700</v>
      </c>
      <c r="C4261" s="226">
        <v>500770</v>
      </c>
      <c r="D4261" s="225" t="s">
        <v>6701</v>
      </c>
      <c r="E4261" s="225" t="s">
        <v>645</v>
      </c>
    </row>
    <row r="4262" spans="2:5" ht="15.75" thickBot="1">
      <c r="B4262" s="225" t="s">
        <v>6702</v>
      </c>
      <c r="C4262" s="226">
        <v>532301</v>
      </c>
      <c r="D4262" s="225" t="s">
        <v>6703</v>
      </c>
      <c r="E4262" s="225" t="s">
        <v>1004</v>
      </c>
    </row>
    <row r="4263" spans="2:5" ht="15.75" thickBot="1">
      <c r="B4263" s="225" t="s">
        <v>6704</v>
      </c>
      <c r="C4263" s="226">
        <v>500483</v>
      </c>
      <c r="D4263" s="225" t="s">
        <v>6705</v>
      </c>
      <c r="E4263" s="225" t="s">
        <v>6706</v>
      </c>
    </row>
    <row r="4264" spans="2:5" ht="15.75" thickBot="1">
      <c r="B4264" s="225" t="s">
        <v>6707</v>
      </c>
      <c r="C4264" s="226">
        <v>532540</v>
      </c>
      <c r="D4264" s="225" t="s">
        <v>6708</v>
      </c>
      <c r="E4264" s="225" t="s">
        <v>583</v>
      </c>
    </row>
    <row r="4265" spans="2:5" ht="15.75" thickBot="1">
      <c r="B4265" s="225" t="s">
        <v>6709</v>
      </c>
      <c r="C4265" s="226">
        <v>500408</v>
      </c>
      <c r="D4265" s="225" t="s">
        <v>6710</v>
      </c>
      <c r="E4265" s="225" t="s">
        <v>690</v>
      </c>
    </row>
    <row r="4266" spans="2:5" ht="15.75" thickBot="1">
      <c r="B4266" s="225" t="s">
        <v>6711</v>
      </c>
      <c r="C4266" s="226">
        <v>500800</v>
      </c>
      <c r="D4266" s="225" t="s">
        <v>6712</v>
      </c>
      <c r="E4266" s="225" t="s">
        <v>1004</v>
      </c>
    </row>
    <row r="4267" spans="2:5" ht="15.75" thickBot="1">
      <c r="B4267" s="225" t="s">
        <v>6713</v>
      </c>
      <c r="C4267" s="226">
        <v>501301</v>
      </c>
      <c r="D4267" s="225" t="s">
        <v>6714</v>
      </c>
      <c r="E4267" s="225" t="s">
        <v>763</v>
      </c>
    </row>
    <row r="4268" spans="2:5" ht="15.75" thickBot="1">
      <c r="B4268" s="225" t="s">
        <v>6715</v>
      </c>
      <c r="C4268" s="226">
        <v>513434</v>
      </c>
      <c r="D4268" s="225" t="s">
        <v>6716</v>
      </c>
      <c r="E4268" s="225" t="s">
        <v>629</v>
      </c>
    </row>
    <row r="4269" spans="2:5" ht="15.75" thickBot="1">
      <c r="B4269" s="225" t="s">
        <v>6717</v>
      </c>
      <c r="C4269" s="226">
        <v>500570</v>
      </c>
      <c r="D4269" s="225" t="s">
        <v>6718</v>
      </c>
      <c r="E4269" s="225" t="s">
        <v>675</v>
      </c>
    </row>
    <row r="4270" spans="2:5" ht="15.75" thickBot="1">
      <c r="B4270" s="225" t="s">
        <v>6717</v>
      </c>
      <c r="C4270" s="226">
        <v>570001</v>
      </c>
      <c r="D4270" s="225" t="s">
        <v>6719</v>
      </c>
      <c r="E4270" s="225" t="s">
        <v>675</v>
      </c>
    </row>
    <row r="4271" spans="2:5" ht="15.75" thickBot="1">
      <c r="B4271" s="225" t="s">
        <v>63</v>
      </c>
      <c r="C4271" s="226">
        <v>500400</v>
      </c>
      <c r="D4271" s="225" t="s">
        <v>6720</v>
      </c>
      <c r="E4271" s="225" t="s">
        <v>736</v>
      </c>
    </row>
    <row r="4272" spans="2:5" ht="15.75" thickBot="1">
      <c r="B4272" s="225" t="s">
        <v>6721</v>
      </c>
      <c r="C4272" s="226">
        <v>513010</v>
      </c>
      <c r="D4272" s="225" t="s">
        <v>6722</v>
      </c>
      <c r="E4272" s="225" t="s">
        <v>629</v>
      </c>
    </row>
    <row r="4273" spans="2:5" ht="15.75" thickBot="1">
      <c r="B4273" s="225" t="s">
        <v>6723</v>
      </c>
      <c r="C4273" s="225" t="s">
        <v>597</v>
      </c>
      <c r="D4273" s="225" t="s">
        <v>6724</v>
      </c>
      <c r="E4273" s="225" t="s">
        <v>629</v>
      </c>
    </row>
    <row r="4274" spans="2:5" ht="15.75" thickBot="1">
      <c r="B4274" s="225" t="s">
        <v>6725</v>
      </c>
      <c r="C4274" s="226">
        <v>500470</v>
      </c>
      <c r="D4274" s="225" t="s">
        <v>6726</v>
      </c>
      <c r="E4274" s="225" t="s">
        <v>629</v>
      </c>
    </row>
    <row r="4275" spans="2:5" ht="15.75" thickBot="1">
      <c r="B4275" s="225" t="s">
        <v>6727</v>
      </c>
      <c r="C4275" s="226">
        <v>532371</v>
      </c>
      <c r="D4275" s="225" t="s">
        <v>6728</v>
      </c>
      <c r="E4275" s="225" t="s">
        <v>1541</v>
      </c>
    </row>
    <row r="4276" spans="2:5" ht="15.75" thickBot="1">
      <c r="B4276" s="225" t="s">
        <v>6729</v>
      </c>
      <c r="C4276" s="226">
        <v>521228</v>
      </c>
      <c r="D4276" s="225" t="s">
        <v>597</v>
      </c>
      <c r="E4276" s="225" t="s">
        <v>711</v>
      </c>
    </row>
    <row r="4277" spans="2:5" ht="15.75" thickBot="1">
      <c r="B4277" s="225" t="s">
        <v>6730</v>
      </c>
      <c r="C4277" s="226">
        <v>531190</v>
      </c>
      <c r="D4277" s="225" t="s">
        <v>597</v>
      </c>
      <c r="E4277" s="225" t="s">
        <v>612</v>
      </c>
    </row>
    <row r="4278" spans="2:5" ht="15.75" thickBot="1">
      <c r="B4278" s="225" t="s">
        <v>6731</v>
      </c>
      <c r="C4278" s="226">
        <v>541228</v>
      </c>
      <c r="D4278" s="225" t="s">
        <v>597</v>
      </c>
      <c r="E4278" s="225" t="s">
        <v>605</v>
      </c>
    </row>
    <row r="4279" spans="2:5" ht="15.75" thickBot="1">
      <c r="B4279" s="225" t="s">
        <v>6732</v>
      </c>
      <c r="C4279" s="226">
        <v>504961</v>
      </c>
      <c r="D4279" s="225" t="s">
        <v>597</v>
      </c>
      <c r="E4279" s="225" t="s">
        <v>629</v>
      </c>
    </row>
    <row r="4280" spans="2:5" ht="15.75" thickBot="1">
      <c r="B4280" s="225" t="s">
        <v>6733</v>
      </c>
      <c r="C4280" s="226">
        <v>532284</v>
      </c>
      <c r="D4280" s="225" t="s">
        <v>597</v>
      </c>
      <c r="E4280" s="225" t="s">
        <v>580</v>
      </c>
    </row>
    <row r="4281" spans="2:5" ht="15.75" thickBot="1">
      <c r="B4281" s="225" t="s">
        <v>6734</v>
      </c>
      <c r="C4281" s="226">
        <v>533393</v>
      </c>
      <c r="D4281" s="225" t="s">
        <v>6735</v>
      </c>
      <c r="E4281" s="225" t="s">
        <v>683</v>
      </c>
    </row>
    <row r="4282" spans="2:5" ht="15.75" thickBot="1">
      <c r="B4282" s="225" t="s">
        <v>6736</v>
      </c>
      <c r="C4282" s="226">
        <v>540212</v>
      </c>
      <c r="D4282" s="225" t="s">
        <v>6737</v>
      </c>
      <c r="E4282" s="225" t="s">
        <v>918</v>
      </c>
    </row>
    <row r="4283" spans="2:5" ht="15.75" thickBot="1">
      <c r="B4283" s="225" t="s">
        <v>6738</v>
      </c>
      <c r="C4283" s="226">
        <v>501242</v>
      </c>
      <c r="D4283" s="225" t="s">
        <v>6739</v>
      </c>
      <c r="E4283" s="225" t="s">
        <v>614</v>
      </c>
    </row>
    <row r="4284" spans="2:5" ht="15.75" thickBot="1">
      <c r="B4284" s="225" t="s">
        <v>6740</v>
      </c>
      <c r="C4284" s="226">
        <v>532262</v>
      </c>
      <c r="D4284" s="225" t="s">
        <v>597</v>
      </c>
      <c r="E4284" s="225" t="s">
        <v>918</v>
      </c>
    </row>
    <row r="4285" spans="2:5" ht="15.75" thickBot="1">
      <c r="B4285" s="225" t="s">
        <v>6741</v>
      </c>
      <c r="C4285" s="226">
        <v>524156</v>
      </c>
      <c r="D4285" s="225" t="s">
        <v>597</v>
      </c>
      <c r="E4285" s="225" t="s">
        <v>645</v>
      </c>
    </row>
    <row r="4286" spans="2:5" ht="15.75" thickBot="1">
      <c r="B4286" s="225" t="s">
        <v>6742</v>
      </c>
      <c r="C4286" s="226">
        <v>541700</v>
      </c>
      <c r="D4286" s="225" t="s">
        <v>6743</v>
      </c>
      <c r="E4286" s="225" t="s">
        <v>711</v>
      </c>
    </row>
    <row r="4287" spans="2:5" ht="15.75" thickBot="1">
      <c r="B4287" s="225" t="s">
        <v>6744</v>
      </c>
      <c r="C4287" s="226">
        <v>523301</v>
      </c>
      <c r="D4287" s="225" t="s">
        <v>6745</v>
      </c>
      <c r="E4287" s="225" t="s">
        <v>591</v>
      </c>
    </row>
    <row r="4288" spans="2:5" ht="15.75" thickBot="1">
      <c r="B4288" s="225" t="s">
        <v>6746</v>
      </c>
      <c r="C4288" s="225" t="s">
        <v>597</v>
      </c>
      <c r="D4288" s="225" t="s">
        <v>6747</v>
      </c>
      <c r="E4288" s="225" t="s">
        <v>688</v>
      </c>
    </row>
    <row r="4289" spans="2:5" ht="15.75" thickBot="1">
      <c r="B4289" s="225" t="s">
        <v>6748</v>
      </c>
      <c r="C4289" s="226">
        <v>512011</v>
      </c>
      <c r="D4289" s="225" t="s">
        <v>597</v>
      </c>
      <c r="E4289" s="225" t="s">
        <v>619</v>
      </c>
    </row>
    <row r="4290" spans="2:5" ht="15.75" thickBot="1">
      <c r="B4290" s="225" t="s">
        <v>6749</v>
      </c>
      <c r="C4290" s="226">
        <v>539658</v>
      </c>
      <c r="D4290" s="225" t="s">
        <v>6750</v>
      </c>
      <c r="E4290" s="225" t="s">
        <v>3377</v>
      </c>
    </row>
    <row r="4291" spans="2:5" ht="15.75" thickBot="1">
      <c r="B4291" s="225" t="s">
        <v>6751</v>
      </c>
      <c r="C4291" s="226">
        <v>532755</v>
      </c>
      <c r="D4291" s="225" t="s">
        <v>6752</v>
      </c>
      <c r="E4291" s="225" t="s">
        <v>583</v>
      </c>
    </row>
    <row r="4292" spans="2:5" ht="15.75" thickBot="1">
      <c r="B4292" s="225" t="s">
        <v>6753</v>
      </c>
      <c r="C4292" s="226">
        <v>526576</v>
      </c>
      <c r="D4292" s="225" t="s">
        <v>6754</v>
      </c>
      <c r="E4292" s="225" t="s">
        <v>795</v>
      </c>
    </row>
    <row r="4293" spans="2:5" ht="15.75" thickBot="1">
      <c r="B4293" s="225" t="s">
        <v>6755</v>
      </c>
      <c r="C4293" s="226">
        <v>542141</v>
      </c>
      <c r="D4293" s="225" t="s">
        <v>6756</v>
      </c>
      <c r="E4293" s="225" t="s">
        <v>995</v>
      </c>
    </row>
    <row r="4294" spans="2:5" ht="15.75" thickBot="1">
      <c r="B4294" s="225" t="s">
        <v>6757</v>
      </c>
      <c r="C4294" s="226">
        <v>532804</v>
      </c>
      <c r="D4294" s="225" t="s">
        <v>6758</v>
      </c>
      <c r="E4294" s="225" t="s">
        <v>920</v>
      </c>
    </row>
    <row r="4295" spans="2:5" ht="15.75" thickBot="1">
      <c r="B4295" s="225" t="s">
        <v>6759</v>
      </c>
      <c r="C4295" s="226">
        <v>532804</v>
      </c>
      <c r="D4295" s="225" t="s">
        <v>6758</v>
      </c>
      <c r="E4295" s="225" t="s">
        <v>920</v>
      </c>
    </row>
    <row r="4296" spans="2:5" ht="15.75" thickBot="1">
      <c r="B4296" s="225" t="s">
        <v>6760</v>
      </c>
      <c r="C4296" s="226">
        <v>533216</v>
      </c>
      <c r="D4296" s="225" t="s">
        <v>6761</v>
      </c>
      <c r="E4296" s="225" t="s">
        <v>995</v>
      </c>
    </row>
    <row r="4297" spans="2:5" ht="15.75" thickBot="1">
      <c r="B4297" s="225" t="s">
        <v>6762</v>
      </c>
      <c r="C4297" s="226">
        <v>509917</v>
      </c>
      <c r="D4297" s="225" t="s">
        <v>597</v>
      </c>
      <c r="E4297" s="225" t="s">
        <v>1139</v>
      </c>
    </row>
    <row r="4298" spans="2:5" ht="15.75" thickBot="1">
      <c r="B4298" s="225" t="s">
        <v>6763</v>
      </c>
      <c r="C4298" s="226">
        <v>501421</v>
      </c>
      <c r="D4298" s="225" t="s">
        <v>597</v>
      </c>
      <c r="E4298" s="225" t="s">
        <v>690</v>
      </c>
    </row>
    <row r="4299" spans="2:5" ht="15.75" thickBot="1">
      <c r="B4299" s="225" t="s">
        <v>6764</v>
      </c>
      <c r="C4299" s="226">
        <v>524204</v>
      </c>
      <c r="D4299" s="225" t="s">
        <v>597</v>
      </c>
      <c r="E4299" s="225" t="s">
        <v>1105</v>
      </c>
    </row>
    <row r="4300" spans="2:5" ht="15.75" thickBot="1">
      <c r="B4300" s="225" t="s">
        <v>6765</v>
      </c>
      <c r="C4300" s="226">
        <v>540595</v>
      </c>
      <c r="D4300" s="225" t="s">
        <v>6766</v>
      </c>
      <c r="E4300" s="225" t="s">
        <v>1544</v>
      </c>
    </row>
    <row r="4301" spans="2:5" ht="15.75" thickBot="1">
      <c r="B4301" s="225" t="s">
        <v>6767</v>
      </c>
      <c r="C4301" s="226">
        <v>539428</v>
      </c>
      <c r="D4301" s="225" t="s">
        <v>597</v>
      </c>
      <c r="E4301" s="225" t="s">
        <v>1067</v>
      </c>
    </row>
    <row r="4302" spans="2:5" ht="15.75" thickBot="1">
      <c r="B4302" s="225" t="s">
        <v>6768</v>
      </c>
      <c r="C4302" s="226">
        <v>530595</v>
      </c>
      <c r="D4302" s="225" t="s">
        <v>597</v>
      </c>
      <c r="E4302" s="225" t="s">
        <v>690</v>
      </c>
    </row>
    <row r="4303" spans="2:5" ht="15.75" thickBot="1">
      <c r="B4303" s="225" t="s">
        <v>6769</v>
      </c>
      <c r="C4303" s="226">
        <v>533982</v>
      </c>
      <c r="D4303" s="225" t="s">
        <v>6770</v>
      </c>
      <c r="E4303" s="225" t="s">
        <v>583</v>
      </c>
    </row>
    <row r="4304" spans="2:5" ht="15.75" thickBot="1">
      <c r="B4304" s="225" t="s">
        <v>6771</v>
      </c>
      <c r="C4304" s="226">
        <v>530533</v>
      </c>
      <c r="D4304" s="225" t="s">
        <v>597</v>
      </c>
      <c r="E4304" s="225" t="s">
        <v>1004</v>
      </c>
    </row>
    <row r="4305" spans="2:5" ht="15.75" thickBot="1">
      <c r="B4305" s="225" t="s">
        <v>6772</v>
      </c>
      <c r="C4305" s="226">
        <v>506162</v>
      </c>
      <c r="D4305" s="225" t="s">
        <v>597</v>
      </c>
      <c r="E4305" s="225" t="s">
        <v>580</v>
      </c>
    </row>
    <row r="4306" spans="2:5" ht="15.75" thickBot="1">
      <c r="B4306" s="225" t="s">
        <v>6773</v>
      </c>
      <c r="C4306" s="226">
        <v>512157</v>
      </c>
      <c r="D4306" s="225" t="s">
        <v>597</v>
      </c>
      <c r="E4306" s="225" t="s">
        <v>1018</v>
      </c>
    </row>
    <row r="4307" spans="2:5" ht="15.75" thickBot="1">
      <c r="B4307" s="225" t="s">
        <v>6774</v>
      </c>
      <c r="C4307" s="226">
        <v>505400</v>
      </c>
      <c r="D4307" s="225" t="s">
        <v>6775</v>
      </c>
      <c r="E4307" s="225" t="s">
        <v>683</v>
      </c>
    </row>
    <row r="4308" spans="2:5" ht="15.75" thickBot="1">
      <c r="B4308" s="225" t="s">
        <v>6776</v>
      </c>
      <c r="C4308" s="226">
        <v>533326</v>
      </c>
      <c r="D4308" s="225" t="s">
        <v>6777</v>
      </c>
      <c r="E4308" s="225" t="s">
        <v>995</v>
      </c>
    </row>
    <row r="4309" spans="2:5" ht="15.75" thickBot="1">
      <c r="B4309" s="225" t="s">
        <v>6778</v>
      </c>
      <c r="C4309" s="226">
        <v>533164</v>
      </c>
      <c r="D4309" s="225" t="s">
        <v>6779</v>
      </c>
      <c r="E4309" s="225" t="s">
        <v>717</v>
      </c>
    </row>
    <row r="4310" spans="2:5" ht="15.75" thickBot="1">
      <c r="B4310" s="225" t="s">
        <v>6780</v>
      </c>
      <c r="C4310" s="226">
        <v>532845</v>
      </c>
      <c r="D4310" s="225" t="s">
        <v>6781</v>
      </c>
      <c r="E4310" s="225" t="s">
        <v>798</v>
      </c>
    </row>
    <row r="4311" spans="2:5" ht="15.75" thickBot="1">
      <c r="B4311" s="225" t="s">
        <v>6782</v>
      </c>
      <c r="C4311" s="226">
        <v>507753</v>
      </c>
      <c r="D4311" s="225" t="s">
        <v>597</v>
      </c>
      <c r="E4311" s="225" t="s">
        <v>645</v>
      </c>
    </row>
    <row r="4312" spans="2:5" ht="15.75" thickBot="1">
      <c r="B4312" s="225" t="s">
        <v>6783</v>
      </c>
      <c r="C4312" s="226">
        <v>509945</v>
      </c>
      <c r="D4312" s="225" t="s">
        <v>597</v>
      </c>
      <c r="E4312" s="225" t="s">
        <v>580</v>
      </c>
    </row>
    <row r="4313" spans="2:5" ht="15.75" thickBot="1">
      <c r="B4313" s="225" t="s">
        <v>6784</v>
      </c>
      <c r="C4313" s="226">
        <v>526654</v>
      </c>
      <c r="D4313" s="225" t="s">
        <v>597</v>
      </c>
      <c r="E4313" s="225" t="s">
        <v>683</v>
      </c>
    </row>
    <row r="4314" spans="2:5" ht="15.75" thickBot="1">
      <c r="B4314" s="225" t="s">
        <v>6785</v>
      </c>
      <c r="C4314" s="226">
        <v>509015</v>
      </c>
      <c r="D4314" s="225" t="s">
        <v>597</v>
      </c>
      <c r="E4314" s="225" t="s">
        <v>1139</v>
      </c>
    </row>
    <row r="4315" spans="2:5" ht="15.75" thickBot="1">
      <c r="B4315" s="225" t="s">
        <v>6786</v>
      </c>
      <c r="C4315" s="226">
        <v>509015</v>
      </c>
      <c r="D4315" s="225" t="s">
        <v>597</v>
      </c>
      <c r="E4315" s="225" t="s">
        <v>1139</v>
      </c>
    </row>
    <row r="4316" spans="2:5" ht="15.75" thickBot="1">
      <c r="B4316" s="225" t="s">
        <v>6787</v>
      </c>
      <c r="C4316" s="226">
        <v>514484</v>
      </c>
      <c r="D4316" s="225" t="s">
        <v>597</v>
      </c>
      <c r="E4316" s="225" t="s">
        <v>612</v>
      </c>
    </row>
    <row r="4317" spans="2:5" ht="15.75" thickBot="1">
      <c r="B4317" s="225" t="s">
        <v>6788</v>
      </c>
      <c r="C4317" s="226">
        <v>533158</v>
      </c>
      <c r="D4317" s="225" t="s">
        <v>6789</v>
      </c>
      <c r="E4317" s="225" t="s">
        <v>711</v>
      </c>
    </row>
    <row r="4318" spans="2:5" ht="15.75" thickBot="1">
      <c r="B4318" s="225" t="s">
        <v>6790</v>
      </c>
      <c r="C4318" s="226">
        <v>590062</v>
      </c>
      <c r="D4318" s="225" t="s">
        <v>6791</v>
      </c>
      <c r="E4318" s="225" t="s">
        <v>645</v>
      </c>
    </row>
    <row r="4319" spans="2:5" ht="15.75" thickBot="1">
      <c r="B4319" s="225" t="s">
        <v>6792</v>
      </c>
      <c r="C4319" s="226">
        <v>542460</v>
      </c>
      <c r="D4319" s="225" t="s">
        <v>6793</v>
      </c>
      <c r="E4319" s="225" t="s">
        <v>605</v>
      </c>
    </row>
    <row r="4320" spans="2:5" ht="15.75" thickBot="1">
      <c r="B4320" s="225" t="s">
        <v>6794</v>
      </c>
      <c r="C4320" s="226">
        <v>531373</v>
      </c>
      <c r="D4320" s="225" t="s">
        <v>6795</v>
      </c>
      <c r="E4320" s="225" t="s">
        <v>798</v>
      </c>
    </row>
    <row r="4321" spans="2:5" ht="15.75" thickBot="1">
      <c r="B4321" s="225" t="s">
        <v>6796</v>
      </c>
      <c r="C4321" s="226">
        <v>500469</v>
      </c>
      <c r="D4321" s="225" t="s">
        <v>6797</v>
      </c>
      <c r="E4321" s="225" t="s">
        <v>915</v>
      </c>
    </row>
    <row r="4322" spans="2:5" ht="15.75" thickBot="1">
      <c r="B4322" s="225" t="s">
        <v>6798</v>
      </c>
      <c r="C4322" s="226">
        <v>500620</v>
      </c>
      <c r="D4322" s="225" t="s">
        <v>6799</v>
      </c>
      <c r="E4322" s="225" t="s">
        <v>1844</v>
      </c>
    </row>
    <row r="4323" spans="2:5" ht="15.75" thickBot="1">
      <c r="B4323" s="225" t="s">
        <v>6800</v>
      </c>
      <c r="C4323" s="225" t="s">
        <v>597</v>
      </c>
      <c r="D4323" s="225" t="s">
        <v>6801</v>
      </c>
      <c r="E4323" s="225" t="s">
        <v>688</v>
      </c>
    </row>
    <row r="4324" spans="2:5" ht="15.75" thickBot="1">
      <c r="B4324" s="225" t="s">
        <v>6802</v>
      </c>
      <c r="C4324" s="226">
        <v>522073</v>
      </c>
      <c r="D4324" s="225" t="s">
        <v>6803</v>
      </c>
      <c r="E4324" s="225" t="s">
        <v>952</v>
      </c>
    </row>
    <row r="4325" spans="2:5" ht="15.75" thickBot="1">
      <c r="B4325" s="225" t="s">
        <v>6804</v>
      </c>
      <c r="C4325" s="226">
        <v>530005</v>
      </c>
      <c r="D4325" s="225" t="s">
        <v>6805</v>
      </c>
      <c r="E4325" s="225" t="s">
        <v>610</v>
      </c>
    </row>
    <row r="4326" spans="2:5" ht="15.75" thickBot="1">
      <c r="B4326" s="225" t="s">
        <v>6806</v>
      </c>
      <c r="C4326" s="226">
        <v>500850</v>
      </c>
      <c r="D4326" s="225" t="s">
        <v>6807</v>
      </c>
      <c r="E4326" s="225" t="s">
        <v>798</v>
      </c>
    </row>
    <row r="4327" spans="2:5" ht="15.75" thickBot="1">
      <c r="B4327" s="225" t="s">
        <v>6808</v>
      </c>
      <c r="C4327" s="226">
        <v>540954</v>
      </c>
      <c r="D4327" s="225" t="s">
        <v>597</v>
      </c>
      <c r="E4327" s="225" t="s">
        <v>1092</v>
      </c>
    </row>
    <row r="4328" spans="2:5" ht="15.75" thickBot="1">
      <c r="B4328" s="225" t="s">
        <v>6809</v>
      </c>
      <c r="C4328" s="226">
        <v>530023</v>
      </c>
      <c r="D4328" s="225" t="s">
        <v>6810</v>
      </c>
      <c r="E4328" s="225" t="s">
        <v>614</v>
      </c>
    </row>
    <row r="4329" spans="2:5" ht="15.75" thickBot="1">
      <c r="B4329" s="225" t="s">
        <v>6811</v>
      </c>
      <c r="C4329" s="226">
        <v>530023</v>
      </c>
      <c r="D4329" s="225" t="s">
        <v>6810</v>
      </c>
      <c r="E4329" s="225" t="s">
        <v>614</v>
      </c>
    </row>
    <row r="4330" spans="2:5" ht="15.75" thickBot="1">
      <c r="B4330" s="225" t="s">
        <v>6812</v>
      </c>
      <c r="C4330" s="226">
        <v>532209</v>
      </c>
      <c r="D4330" s="225" t="s">
        <v>6813</v>
      </c>
      <c r="E4330" s="225" t="s">
        <v>915</v>
      </c>
    </row>
    <row r="4331" spans="2:5" ht="15.75" thickBot="1">
      <c r="B4331" s="225" t="s">
        <v>6814</v>
      </c>
      <c r="C4331" s="226">
        <v>532652</v>
      </c>
      <c r="D4331" s="225" t="s">
        <v>6815</v>
      </c>
      <c r="E4331" s="225" t="s">
        <v>915</v>
      </c>
    </row>
    <row r="4332" spans="2:5" ht="15.75" thickBot="1">
      <c r="B4332" s="225" t="s">
        <v>6816</v>
      </c>
      <c r="C4332" s="226">
        <v>540210</v>
      </c>
      <c r="D4332" s="225" t="s">
        <v>6817</v>
      </c>
      <c r="E4332" s="225" t="s">
        <v>598</v>
      </c>
    </row>
    <row r="4333" spans="2:5" ht="15.75" thickBot="1">
      <c r="B4333" s="225" t="s">
        <v>6818</v>
      </c>
      <c r="C4333" s="226">
        <v>501343</v>
      </c>
      <c r="D4333" s="225" t="s">
        <v>6819</v>
      </c>
      <c r="E4333" s="225" t="s">
        <v>614</v>
      </c>
    </row>
    <row r="4334" spans="2:5" ht="15.75" thickBot="1">
      <c r="B4334" s="225" t="s">
        <v>6820</v>
      </c>
      <c r="C4334" s="226">
        <v>540769</v>
      </c>
      <c r="D4334" s="225" t="s">
        <v>6821</v>
      </c>
      <c r="E4334" s="225" t="s">
        <v>2679</v>
      </c>
    </row>
    <row r="4335" spans="2:5" ht="15.75" thickBot="1">
      <c r="B4335" s="225" t="s">
        <v>6822</v>
      </c>
      <c r="C4335" s="226">
        <v>590086</v>
      </c>
      <c r="D4335" s="225" t="s">
        <v>6823</v>
      </c>
      <c r="E4335" s="225" t="s">
        <v>577</v>
      </c>
    </row>
    <row r="4336" spans="2:5" ht="15.75" thickBot="1">
      <c r="B4336" s="225" t="s">
        <v>6824</v>
      </c>
      <c r="C4336" s="225" t="s">
        <v>597</v>
      </c>
      <c r="D4336" s="225" t="s">
        <v>6825</v>
      </c>
      <c r="E4336" s="225" t="s">
        <v>688</v>
      </c>
    </row>
    <row r="4337" spans="2:5" ht="15.75" thickBot="1">
      <c r="B4337" s="225" t="s">
        <v>6826</v>
      </c>
      <c r="C4337" s="226">
        <v>503100</v>
      </c>
      <c r="D4337" s="225" t="s">
        <v>6827</v>
      </c>
      <c r="E4337" s="225" t="s">
        <v>683</v>
      </c>
    </row>
    <row r="4338" spans="2:5" ht="15.75" thickBot="1">
      <c r="B4338" s="225" t="s">
        <v>6828</v>
      </c>
      <c r="C4338" s="226">
        <v>542123</v>
      </c>
      <c r="D4338" s="225" t="s">
        <v>597</v>
      </c>
      <c r="E4338" s="225" t="s">
        <v>1105</v>
      </c>
    </row>
    <row r="4339" spans="2:5" ht="15.75" thickBot="1">
      <c r="B4339" s="225" t="s">
        <v>6829</v>
      </c>
      <c r="C4339" s="226">
        <v>500260</v>
      </c>
      <c r="D4339" s="225" t="s">
        <v>6830</v>
      </c>
      <c r="E4339" s="225" t="s">
        <v>610</v>
      </c>
    </row>
    <row r="4340" spans="2:5" ht="15.75" thickBot="1">
      <c r="B4340" s="225" t="s">
        <v>6831</v>
      </c>
      <c r="C4340" s="226">
        <v>503169</v>
      </c>
      <c r="D4340" s="225" t="s">
        <v>6832</v>
      </c>
      <c r="E4340" s="225" t="s">
        <v>612</v>
      </c>
    </row>
    <row r="4341" spans="2:5" ht="15.75" thickBot="1">
      <c r="B4341" s="225" t="s">
        <v>6833</v>
      </c>
      <c r="C4341" s="226">
        <v>526725</v>
      </c>
      <c r="D4341" s="225" t="s">
        <v>6834</v>
      </c>
      <c r="E4341" s="225" t="s">
        <v>1121</v>
      </c>
    </row>
    <row r="4342" spans="2:5" ht="15.75" thickBot="1">
      <c r="B4342" s="225" t="s">
        <v>6835</v>
      </c>
      <c r="C4342" s="226">
        <v>532218</v>
      </c>
      <c r="D4342" s="225" t="s">
        <v>6836</v>
      </c>
      <c r="E4342" s="225" t="s">
        <v>915</v>
      </c>
    </row>
    <row r="4343" spans="2:5" ht="15.75" thickBot="1">
      <c r="B4343" s="225" t="s">
        <v>6837</v>
      </c>
      <c r="C4343" s="226">
        <v>512531</v>
      </c>
      <c r="D4343" s="225" t="s">
        <v>6838</v>
      </c>
      <c r="E4343" s="225" t="s">
        <v>619</v>
      </c>
    </row>
    <row r="4344" spans="2:5" ht="15.75" thickBot="1">
      <c r="B4344" s="225" t="s">
        <v>6839</v>
      </c>
      <c r="C4344" s="226">
        <v>512531</v>
      </c>
      <c r="D4344" s="225" t="s">
        <v>6840</v>
      </c>
      <c r="E4344" s="225" t="s">
        <v>619</v>
      </c>
    </row>
    <row r="4345" spans="2:5" ht="15.75" thickBot="1">
      <c r="B4345" s="225" t="s">
        <v>6841</v>
      </c>
      <c r="C4345" s="226">
        <v>504966</v>
      </c>
      <c r="D4345" s="225" t="s">
        <v>6842</v>
      </c>
      <c r="E4345" s="225" t="s">
        <v>792</v>
      </c>
    </row>
    <row r="4346" spans="2:5" ht="15.75" thickBot="1">
      <c r="B4346" s="225" t="s">
        <v>6843</v>
      </c>
      <c r="C4346" s="226">
        <v>504966</v>
      </c>
      <c r="D4346" s="225" t="s">
        <v>6842</v>
      </c>
      <c r="E4346" s="225" t="s">
        <v>792</v>
      </c>
    </row>
    <row r="4347" spans="2:5" ht="15.75" thickBot="1">
      <c r="B4347" s="225" t="s">
        <v>6844</v>
      </c>
      <c r="C4347" s="226">
        <v>530363</v>
      </c>
      <c r="D4347" s="225" t="s">
        <v>6845</v>
      </c>
      <c r="E4347" s="225" t="s">
        <v>1296</v>
      </c>
    </row>
    <row r="4348" spans="2:5" ht="15.75" thickBot="1">
      <c r="B4348" s="225" t="s">
        <v>6846</v>
      </c>
      <c r="C4348" s="225" t="s">
        <v>597</v>
      </c>
      <c r="D4348" s="225" t="s">
        <v>6847</v>
      </c>
      <c r="E4348" s="225" t="s">
        <v>688</v>
      </c>
    </row>
    <row r="4349" spans="2:5" ht="15.75" thickBot="1">
      <c r="B4349" s="225" t="s">
        <v>6848</v>
      </c>
      <c r="C4349" s="225" t="s">
        <v>597</v>
      </c>
      <c r="D4349" s="225" t="s">
        <v>6849</v>
      </c>
      <c r="E4349" s="225" t="s">
        <v>688</v>
      </c>
    </row>
    <row r="4350" spans="2:5" ht="15.75" thickBot="1">
      <c r="B4350" s="225" t="s">
        <v>6850</v>
      </c>
      <c r="C4350" s="226">
        <v>540980</v>
      </c>
      <c r="D4350" s="225" t="s">
        <v>597</v>
      </c>
      <c r="E4350" s="225" t="s">
        <v>619</v>
      </c>
    </row>
    <row r="4351" spans="2:5" ht="15.75" thickBot="1">
      <c r="B4351" s="225" t="s">
        <v>6851</v>
      </c>
      <c r="C4351" s="225" t="s">
        <v>597</v>
      </c>
      <c r="D4351" s="225" t="s">
        <v>6852</v>
      </c>
      <c r="E4351" s="225" t="s">
        <v>608</v>
      </c>
    </row>
    <row r="4352" spans="2:5" ht="15.75" thickBot="1">
      <c r="B4352" s="225" t="s">
        <v>6853</v>
      </c>
      <c r="C4352" s="226">
        <v>530199</v>
      </c>
      <c r="D4352" s="225" t="s">
        <v>6854</v>
      </c>
      <c r="E4352" s="225" t="s">
        <v>635</v>
      </c>
    </row>
    <row r="4353" spans="2:5" ht="15.75" thickBot="1">
      <c r="B4353" s="225" t="s">
        <v>6855</v>
      </c>
      <c r="C4353" s="226">
        <v>500411</v>
      </c>
      <c r="D4353" s="225" t="s">
        <v>6856</v>
      </c>
      <c r="E4353" s="225" t="s">
        <v>640</v>
      </c>
    </row>
    <row r="4354" spans="2:5" ht="15.75" thickBot="1">
      <c r="B4354" s="225" t="s">
        <v>6857</v>
      </c>
      <c r="C4354" s="226">
        <v>539310</v>
      </c>
      <c r="D4354" s="225" t="s">
        <v>597</v>
      </c>
      <c r="E4354" s="225" t="s">
        <v>2199</v>
      </c>
    </row>
    <row r="4355" spans="2:5" ht="15.75" thickBot="1">
      <c r="B4355" s="225" t="s">
        <v>6858</v>
      </c>
      <c r="C4355" s="226">
        <v>538464</v>
      </c>
      <c r="D4355" s="225" t="s">
        <v>597</v>
      </c>
      <c r="E4355" s="225" t="s">
        <v>614</v>
      </c>
    </row>
    <row r="4356" spans="2:5" ht="15.75" thickBot="1">
      <c r="B4356" s="225" t="s">
        <v>6859</v>
      </c>
      <c r="C4356" s="226">
        <v>531652</v>
      </c>
      <c r="D4356" s="225" t="s">
        <v>597</v>
      </c>
      <c r="E4356" s="225" t="s">
        <v>614</v>
      </c>
    </row>
    <row r="4357" spans="2:5" ht="15.75" thickBot="1">
      <c r="B4357" s="225" t="s">
        <v>6860</v>
      </c>
      <c r="C4357" s="226">
        <v>507450</v>
      </c>
      <c r="D4357" s="225" t="s">
        <v>6861</v>
      </c>
      <c r="E4357" s="225" t="s">
        <v>1296</v>
      </c>
    </row>
    <row r="4358" spans="2:5" ht="15.75" thickBot="1">
      <c r="B4358" s="225" t="s">
        <v>6862</v>
      </c>
      <c r="C4358" s="226">
        <v>500412</v>
      </c>
      <c r="D4358" s="225" t="s">
        <v>6863</v>
      </c>
      <c r="E4358" s="225" t="s">
        <v>645</v>
      </c>
    </row>
    <row r="4359" spans="2:5" ht="15.75" thickBot="1">
      <c r="B4359" s="225" t="s">
        <v>6864</v>
      </c>
      <c r="C4359" s="226">
        <v>500413</v>
      </c>
      <c r="D4359" s="225" t="s">
        <v>6865</v>
      </c>
      <c r="E4359" s="225" t="s">
        <v>1600</v>
      </c>
    </row>
    <row r="4360" spans="2:5" ht="15.75" thickBot="1">
      <c r="B4360" s="225" t="s">
        <v>6866</v>
      </c>
      <c r="C4360" s="226">
        <v>500413</v>
      </c>
      <c r="D4360" s="225" t="s">
        <v>6865</v>
      </c>
      <c r="E4360" s="225" t="s">
        <v>1600</v>
      </c>
    </row>
    <row r="4361" spans="2:5" ht="15.75" thickBot="1">
      <c r="B4361" s="225" t="s">
        <v>6867</v>
      </c>
      <c r="C4361" s="226">
        <v>533941</v>
      </c>
      <c r="D4361" s="225" t="s">
        <v>6868</v>
      </c>
      <c r="E4361" s="225" t="s">
        <v>711</v>
      </c>
    </row>
    <row r="4362" spans="2:5" ht="15.75" thickBot="1">
      <c r="B4362" s="225" t="s">
        <v>6869</v>
      </c>
      <c r="C4362" s="226">
        <v>533941</v>
      </c>
      <c r="D4362" s="225" t="s">
        <v>6868</v>
      </c>
      <c r="E4362" s="225" t="s">
        <v>711</v>
      </c>
    </row>
    <row r="4363" spans="2:5" ht="15.75" thickBot="1">
      <c r="B4363" s="225" t="s">
        <v>6870</v>
      </c>
      <c r="C4363" s="226">
        <v>539871</v>
      </c>
      <c r="D4363" s="225" t="s">
        <v>6871</v>
      </c>
      <c r="E4363" s="225" t="s">
        <v>786</v>
      </c>
    </row>
    <row r="4364" spans="2:5" ht="15.75" thickBot="1">
      <c r="B4364" s="225" t="s">
        <v>6872</v>
      </c>
      <c r="C4364" s="226">
        <v>504973</v>
      </c>
      <c r="D4364" s="225" t="s">
        <v>6873</v>
      </c>
      <c r="E4364" s="225" t="s">
        <v>952</v>
      </c>
    </row>
    <row r="4365" spans="2:5" ht="15.75" thickBot="1">
      <c r="B4365" s="225" t="s">
        <v>6874</v>
      </c>
      <c r="C4365" s="226">
        <v>540108</v>
      </c>
      <c r="D4365" s="225" t="s">
        <v>597</v>
      </c>
      <c r="E4365" s="225" t="s">
        <v>580</v>
      </c>
    </row>
    <row r="4366" spans="2:5" ht="15.75" thickBot="1">
      <c r="B4366" s="225" t="s">
        <v>6875</v>
      </c>
      <c r="C4366" s="226">
        <v>590005</v>
      </c>
      <c r="D4366" s="225" t="s">
        <v>6876</v>
      </c>
      <c r="E4366" s="225" t="s">
        <v>807</v>
      </c>
    </row>
    <row r="4367" spans="2:5" ht="15.75" thickBot="1">
      <c r="B4367" s="225" t="s">
        <v>6877</v>
      </c>
      <c r="C4367" s="226">
        <v>590005</v>
      </c>
      <c r="D4367" s="225" t="s">
        <v>6876</v>
      </c>
      <c r="E4367" s="225" t="s">
        <v>807</v>
      </c>
    </row>
    <row r="4368" spans="2:5" ht="15.75" thickBot="1">
      <c r="B4368" s="225" t="s">
        <v>6878</v>
      </c>
      <c r="C4368" s="226">
        <v>536264</v>
      </c>
      <c r="D4368" s="225" t="s">
        <v>597</v>
      </c>
      <c r="E4368" s="225" t="s">
        <v>918</v>
      </c>
    </row>
    <row r="4369" spans="2:5" ht="15.75" thickBot="1">
      <c r="B4369" s="225" t="s">
        <v>6879</v>
      </c>
      <c r="C4369" s="226">
        <v>536264</v>
      </c>
      <c r="D4369" s="225" t="s">
        <v>597</v>
      </c>
      <c r="E4369" s="225" t="s">
        <v>918</v>
      </c>
    </row>
    <row r="4370" spans="2:5" ht="15.75" thickBot="1">
      <c r="B4370" s="225" t="s">
        <v>6880</v>
      </c>
      <c r="C4370" s="226">
        <v>533629</v>
      </c>
      <c r="D4370" s="225" t="s">
        <v>6881</v>
      </c>
      <c r="E4370" s="225" t="s">
        <v>717</v>
      </c>
    </row>
    <row r="4371" spans="2:5" ht="15.75" thickBot="1">
      <c r="B4371" s="225" t="s">
        <v>6882</v>
      </c>
      <c r="C4371" s="226">
        <v>505196</v>
      </c>
      <c r="D4371" s="225" t="s">
        <v>6883</v>
      </c>
      <c r="E4371" s="225" t="s">
        <v>720</v>
      </c>
    </row>
    <row r="4372" spans="2:5" ht="15.75" thickBot="1">
      <c r="B4372" s="225" t="s">
        <v>6884</v>
      </c>
      <c r="C4372" s="226">
        <v>503663</v>
      </c>
      <c r="D4372" s="225" t="s">
        <v>6885</v>
      </c>
      <c r="E4372" s="225" t="s">
        <v>617</v>
      </c>
    </row>
    <row r="4373" spans="2:5" ht="15.75" thickBot="1">
      <c r="B4373" s="225" t="s">
        <v>6886</v>
      </c>
      <c r="C4373" s="226">
        <v>507205</v>
      </c>
      <c r="D4373" s="225" t="s">
        <v>6887</v>
      </c>
      <c r="E4373" s="225" t="s">
        <v>1229</v>
      </c>
    </row>
    <row r="4374" spans="2:5" ht="15.75" thickBot="1">
      <c r="B4374" s="225" t="s">
        <v>6888</v>
      </c>
      <c r="C4374" s="226">
        <v>532856</v>
      </c>
      <c r="D4374" s="225" t="s">
        <v>6889</v>
      </c>
      <c r="E4374" s="225" t="s">
        <v>717</v>
      </c>
    </row>
    <row r="4375" spans="2:5" ht="15.75" thickBot="1">
      <c r="B4375" s="225" t="s">
        <v>6890</v>
      </c>
      <c r="C4375" s="226">
        <v>511559</v>
      </c>
      <c r="D4375" s="225" t="s">
        <v>6891</v>
      </c>
      <c r="E4375" s="225" t="s">
        <v>614</v>
      </c>
    </row>
    <row r="4376" spans="2:5" ht="15.75" thickBot="1">
      <c r="B4376" s="225" t="s">
        <v>6892</v>
      </c>
      <c r="C4376" s="226">
        <v>500414</v>
      </c>
      <c r="D4376" s="225" t="s">
        <v>597</v>
      </c>
      <c r="E4376" s="225" t="s">
        <v>711</v>
      </c>
    </row>
    <row r="4377" spans="2:5" ht="15.75" thickBot="1">
      <c r="B4377" s="225" t="s">
        <v>6893</v>
      </c>
      <c r="C4377" s="226">
        <v>500414</v>
      </c>
      <c r="D4377" s="225" t="s">
        <v>597</v>
      </c>
      <c r="E4377" s="225" t="s">
        <v>711</v>
      </c>
    </row>
    <row r="4378" spans="2:5" ht="15.75" thickBot="1">
      <c r="B4378" s="225" t="s">
        <v>6894</v>
      </c>
      <c r="C4378" s="226">
        <v>522113</v>
      </c>
      <c r="D4378" s="225" t="s">
        <v>6895</v>
      </c>
      <c r="E4378" s="225" t="s">
        <v>605</v>
      </c>
    </row>
    <row r="4379" spans="2:5" ht="15.75" thickBot="1">
      <c r="B4379" s="225" t="s">
        <v>6896</v>
      </c>
      <c r="C4379" s="226">
        <v>522113</v>
      </c>
      <c r="D4379" s="225" t="s">
        <v>6895</v>
      </c>
      <c r="E4379" s="225" t="s">
        <v>605</v>
      </c>
    </row>
    <row r="4380" spans="2:5" ht="15.75" thickBot="1">
      <c r="B4380" s="225" t="s">
        <v>6897</v>
      </c>
      <c r="C4380" s="226">
        <v>530475</v>
      </c>
      <c r="D4380" s="225" t="s">
        <v>597</v>
      </c>
      <c r="E4380" s="225" t="s">
        <v>757</v>
      </c>
    </row>
    <row r="4381" spans="2:5" ht="15.75" thickBot="1">
      <c r="B4381" s="225" t="s">
        <v>6898</v>
      </c>
      <c r="C4381" s="226">
        <v>541741</v>
      </c>
      <c r="D4381" s="225" t="s">
        <v>597</v>
      </c>
      <c r="E4381" s="225" t="s">
        <v>619</v>
      </c>
    </row>
    <row r="4382" spans="2:5" ht="15.75" thickBot="1">
      <c r="B4382" s="225" t="s">
        <v>6899</v>
      </c>
      <c r="C4382" s="226">
        <v>532375</v>
      </c>
      <c r="D4382" s="225" t="s">
        <v>6900</v>
      </c>
      <c r="E4382" s="225" t="s">
        <v>600</v>
      </c>
    </row>
    <row r="4383" spans="2:5" ht="15.75" thickBot="1">
      <c r="B4383" s="225" t="s">
        <v>6901</v>
      </c>
      <c r="C4383" s="226">
        <v>539488</v>
      </c>
      <c r="D4383" s="225" t="s">
        <v>597</v>
      </c>
      <c r="E4383" s="225" t="s">
        <v>617</v>
      </c>
    </row>
    <row r="4384" spans="2:5" ht="15.75" thickBot="1">
      <c r="B4384" s="225" t="s">
        <v>6902</v>
      </c>
      <c r="C4384" s="226">
        <v>540904</v>
      </c>
      <c r="D4384" s="225" t="s">
        <v>597</v>
      </c>
      <c r="E4384" s="225" t="s">
        <v>874</v>
      </c>
    </row>
    <row r="4385" spans="2:5" ht="15.75" thickBot="1">
      <c r="B4385" s="225" t="s">
        <v>6903</v>
      </c>
      <c r="C4385" s="225" t="s">
        <v>597</v>
      </c>
      <c r="D4385" s="225" t="s">
        <v>6904</v>
      </c>
      <c r="E4385" s="225" t="s">
        <v>608</v>
      </c>
    </row>
    <row r="4386" spans="2:5" ht="15.75" thickBot="1">
      <c r="B4386" s="225" t="s">
        <v>6905</v>
      </c>
      <c r="C4386" s="226">
        <v>531547</v>
      </c>
      <c r="D4386" s="225" t="s">
        <v>597</v>
      </c>
      <c r="E4386" s="225" t="s">
        <v>795</v>
      </c>
    </row>
    <row r="4387" spans="2:5" ht="15.75" thickBot="1">
      <c r="B4387" s="225" t="s">
        <v>6906</v>
      </c>
      <c r="C4387" s="226">
        <v>531547</v>
      </c>
      <c r="D4387" s="225" t="s">
        <v>597</v>
      </c>
      <c r="E4387" s="225" t="s">
        <v>795</v>
      </c>
    </row>
    <row r="4388" spans="2:5" ht="15.75" thickBot="1">
      <c r="B4388" s="225" t="s">
        <v>6907</v>
      </c>
      <c r="C4388" s="226">
        <v>531814</v>
      </c>
      <c r="D4388" s="225" t="s">
        <v>597</v>
      </c>
      <c r="E4388" s="225" t="s">
        <v>683</v>
      </c>
    </row>
    <row r="4389" spans="2:5" ht="15.75" thickBot="1">
      <c r="B4389" s="225" t="s">
        <v>6908</v>
      </c>
      <c r="C4389" s="226">
        <v>524582</v>
      </c>
      <c r="D4389" s="225" t="s">
        <v>597</v>
      </c>
      <c r="E4389" s="225" t="s">
        <v>677</v>
      </c>
    </row>
    <row r="4390" spans="2:5" ht="15.75" thickBot="1">
      <c r="B4390" s="225" t="s">
        <v>6909</v>
      </c>
      <c r="C4390" s="226">
        <v>539040</v>
      </c>
      <c r="D4390" s="225" t="s">
        <v>597</v>
      </c>
      <c r="E4390" s="225" t="s">
        <v>1077</v>
      </c>
    </row>
    <row r="4391" spans="2:5" ht="15.75" thickBot="1">
      <c r="B4391" s="225" t="s">
        <v>6910</v>
      </c>
      <c r="C4391" s="226">
        <v>539985</v>
      </c>
      <c r="D4391" s="225" t="s">
        <v>597</v>
      </c>
      <c r="E4391" s="225" t="s">
        <v>612</v>
      </c>
    </row>
    <row r="4392" spans="2:5" ht="15.75" thickBot="1">
      <c r="B4392" s="225" t="s">
        <v>6911</v>
      </c>
      <c r="C4392" s="226">
        <v>532966</v>
      </c>
      <c r="D4392" s="225" t="s">
        <v>6912</v>
      </c>
      <c r="E4392" s="225" t="s">
        <v>675</v>
      </c>
    </row>
    <row r="4393" spans="2:5" ht="15.75" thickBot="1">
      <c r="B4393" s="225" t="s">
        <v>6913</v>
      </c>
      <c r="C4393" s="226">
        <v>524717</v>
      </c>
      <c r="D4393" s="225" t="s">
        <v>597</v>
      </c>
      <c r="E4393" s="225" t="s">
        <v>757</v>
      </c>
    </row>
    <row r="4394" spans="2:5" ht="15.75" thickBot="1">
      <c r="B4394" s="225" t="s">
        <v>6914</v>
      </c>
      <c r="C4394" s="226">
        <v>500114</v>
      </c>
      <c r="D4394" s="225" t="s">
        <v>6915</v>
      </c>
      <c r="E4394" s="225" t="s">
        <v>711</v>
      </c>
    </row>
    <row r="4395" spans="2:5" ht="15.75" thickBot="1">
      <c r="B4395" s="225" t="s">
        <v>6916</v>
      </c>
      <c r="C4395" s="226">
        <v>530045</v>
      </c>
      <c r="D4395" s="225" t="s">
        <v>597</v>
      </c>
      <c r="E4395" s="225" t="s">
        <v>614</v>
      </c>
    </row>
    <row r="4396" spans="2:5" ht="15.75" thickBot="1">
      <c r="B4396" s="225" t="s">
        <v>6917</v>
      </c>
      <c r="C4396" s="226">
        <v>511096</v>
      </c>
      <c r="D4396" s="225" t="s">
        <v>597</v>
      </c>
      <c r="E4396" s="225" t="s">
        <v>683</v>
      </c>
    </row>
    <row r="4397" spans="2:5" ht="15.75" thickBot="1">
      <c r="B4397" s="225" t="s">
        <v>6918</v>
      </c>
      <c r="C4397" s="226">
        <v>531830</v>
      </c>
      <c r="D4397" s="225" t="s">
        <v>6919</v>
      </c>
      <c r="E4397" s="225" t="s">
        <v>1143</v>
      </c>
    </row>
    <row r="4398" spans="2:5" ht="15.75" thickBot="1">
      <c r="B4398" s="225" t="s">
        <v>6920</v>
      </c>
      <c r="C4398" s="226">
        <v>531644</v>
      </c>
      <c r="D4398" s="225" t="s">
        <v>597</v>
      </c>
      <c r="E4398" s="225" t="s">
        <v>614</v>
      </c>
    </row>
    <row r="4399" spans="2:5" ht="15.75" thickBot="1">
      <c r="B4399" s="225" t="s">
        <v>6921</v>
      </c>
      <c r="C4399" s="226">
        <v>500418</v>
      </c>
      <c r="D4399" s="225" t="s">
        <v>6922</v>
      </c>
      <c r="E4399" s="225" t="s">
        <v>717</v>
      </c>
    </row>
    <row r="4400" spans="2:5" ht="15.75" thickBot="1">
      <c r="B4400" s="225" t="s">
        <v>6923</v>
      </c>
      <c r="C4400" s="226">
        <v>500420</v>
      </c>
      <c r="D4400" s="225" t="s">
        <v>6924</v>
      </c>
      <c r="E4400" s="225" t="s">
        <v>635</v>
      </c>
    </row>
    <row r="4401" spans="2:5" ht="15.75" thickBot="1">
      <c r="B4401" s="225" t="s">
        <v>6925</v>
      </c>
      <c r="C4401" s="226">
        <v>532779</v>
      </c>
      <c r="D4401" s="225" t="s">
        <v>6926</v>
      </c>
      <c r="E4401" s="225" t="s">
        <v>736</v>
      </c>
    </row>
    <row r="4402" spans="2:5" ht="15.75" thickBot="1">
      <c r="B4402" s="225" t="s">
        <v>6927</v>
      </c>
      <c r="C4402" s="226">
        <v>523878</v>
      </c>
      <c r="D4402" s="225" t="s">
        <v>597</v>
      </c>
      <c r="E4402" s="225" t="s">
        <v>922</v>
      </c>
    </row>
    <row r="4403" spans="2:5" ht="15.75" thickBot="1">
      <c r="B4403" s="225" t="s">
        <v>6928</v>
      </c>
      <c r="C4403" s="225" t="s">
        <v>597</v>
      </c>
      <c r="D4403" s="225" t="s">
        <v>6929</v>
      </c>
      <c r="E4403" s="225" t="s">
        <v>608</v>
      </c>
    </row>
    <row r="4404" spans="2:5" ht="15.75" thickBot="1">
      <c r="B4404" s="225" t="s">
        <v>6930</v>
      </c>
      <c r="C4404" s="225" t="s">
        <v>597</v>
      </c>
      <c r="D4404" s="225" t="s">
        <v>6931</v>
      </c>
      <c r="E4404" s="225" t="s">
        <v>608</v>
      </c>
    </row>
    <row r="4405" spans="2:5" ht="15.75" thickBot="1">
      <c r="B4405" s="225" t="s">
        <v>6932</v>
      </c>
      <c r="C4405" s="226">
        <v>526650</v>
      </c>
      <c r="D4405" s="225" t="s">
        <v>6933</v>
      </c>
      <c r="E4405" s="225" t="s">
        <v>2929</v>
      </c>
    </row>
    <row r="4406" spans="2:5" ht="15.75" thickBot="1">
      <c r="B4406" s="225" t="s">
        <v>6934</v>
      </c>
      <c r="C4406" s="226">
        <v>526650</v>
      </c>
      <c r="D4406" s="225" t="s">
        <v>6933</v>
      </c>
      <c r="E4406" s="225" t="s">
        <v>2929</v>
      </c>
    </row>
    <row r="4407" spans="2:5" ht="15.75" thickBot="1">
      <c r="B4407" s="225" t="s">
        <v>6935</v>
      </c>
      <c r="C4407" s="226">
        <v>531771</v>
      </c>
      <c r="D4407" s="225" t="s">
        <v>597</v>
      </c>
      <c r="E4407" s="225" t="s">
        <v>895</v>
      </c>
    </row>
    <row r="4408" spans="2:5" ht="15.75" thickBot="1">
      <c r="B4408" s="225" t="s">
        <v>6936</v>
      </c>
      <c r="C4408" s="226">
        <v>538607</v>
      </c>
      <c r="D4408" s="225" t="s">
        <v>597</v>
      </c>
      <c r="E4408" s="225" t="s">
        <v>580</v>
      </c>
    </row>
    <row r="4409" spans="2:5" ht="15.75" thickBot="1">
      <c r="B4409" s="225" t="s">
        <v>6937</v>
      </c>
      <c r="C4409" s="226">
        <v>500421</v>
      </c>
      <c r="D4409" s="225" t="s">
        <v>597</v>
      </c>
      <c r="E4409" s="225" t="s">
        <v>792</v>
      </c>
    </row>
    <row r="4410" spans="2:5" ht="15.75" thickBot="1">
      <c r="B4410" s="225" t="s">
        <v>6938</v>
      </c>
      <c r="C4410" s="226">
        <v>500421</v>
      </c>
      <c r="D4410" s="225" t="s">
        <v>597</v>
      </c>
      <c r="E4410" s="225" t="s">
        <v>792</v>
      </c>
    </row>
    <row r="4411" spans="2:5" ht="15.75" thickBot="1">
      <c r="B4411" s="225" t="s">
        <v>6939</v>
      </c>
      <c r="C4411" s="226">
        <v>526582</v>
      </c>
      <c r="D4411" s="225" t="s">
        <v>6940</v>
      </c>
      <c r="E4411" s="225" t="s">
        <v>717</v>
      </c>
    </row>
    <row r="4412" spans="2:5" ht="15.75" thickBot="1">
      <c r="B4412" s="225" t="s">
        <v>6941</v>
      </c>
      <c r="C4412" s="226">
        <v>509953</v>
      </c>
      <c r="D4412" s="225" t="s">
        <v>597</v>
      </c>
      <c r="E4412" s="225" t="s">
        <v>1600</v>
      </c>
    </row>
    <row r="4413" spans="2:5" ht="15.75" thickBot="1">
      <c r="B4413" s="225" t="s">
        <v>6942</v>
      </c>
      <c r="C4413" s="226">
        <v>530783</v>
      </c>
      <c r="D4413" s="225" t="s">
        <v>597</v>
      </c>
      <c r="E4413" s="225" t="s">
        <v>635</v>
      </c>
    </row>
    <row r="4414" spans="2:5" ht="15.75" thickBot="1">
      <c r="B4414" s="225" t="s">
        <v>6943</v>
      </c>
      <c r="C4414" s="226">
        <v>526961</v>
      </c>
      <c r="D4414" s="225" t="s">
        <v>6944</v>
      </c>
      <c r="E4414" s="225" t="s">
        <v>614</v>
      </c>
    </row>
    <row r="4415" spans="2:5" ht="15.75" thickBot="1">
      <c r="B4415" s="225" t="s">
        <v>6945</v>
      </c>
      <c r="C4415" s="226">
        <v>500422</v>
      </c>
      <c r="D4415" s="225" t="s">
        <v>597</v>
      </c>
      <c r="E4415" s="225" t="s">
        <v>635</v>
      </c>
    </row>
    <row r="4416" spans="2:5" ht="15.75" thickBot="1">
      <c r="B4416" s="225" t="s">
        <v>6946</v>
      </c>
      <c r="C4416" s="226">
        <v>532410</v>
      </c>
      <c r="D4416" s="225" t="s">
        <v>597</v>
      </c>
      <c r="E4416" s="225" t="s">
        <v>580</v>
      </c>
    </row>
    <row r="4417" spans="2:5" ht="15.75" thickBot="1">
      <c r="B4417" s="225" t="s">
        <v>6947</v>
      </c>
      <c r="C4417" s="226">
        <v>532928</v>
      </c>
      <c r="D4417" s="225" t="s">
        <v>6948</v>
      </c>
      <c r="E4417" s="225" t="s">
        <v>640</v>
      </c>
    </row>
    <row r="4418" spans="2:5" ht="15.75" thickBot="1">
      <c r="B4418" s="225" t="s">
        <v>6949</v>
      </c>
      <c r="C4418" s="226">
        <v>532928</v>
      </c>
      <c r="D4418" s="225" t="s">
        <v>6948</v>
      </c>
      <c r="E4418" s="225" t="s">
        <v>640</v>
      </c>
    </row>
    <row r="4419" spans="2:5" ht="15.75" thickBot="1">
      <c r="B4419" s="225" t="s">
        <v>6950</v>
      </c>
      <c r="C4419" s="226">
        <v>513063</v>
      </c>
      <c r="D4419" s="225" t="s">
        <v>597</v>
      </c>
      <c r="E4419" s="225" t="s">
        <v>920</v>
      </c>
    </row>
    <row r="4420" spans="2:5" ht="15.75" thickBot="1">
      <c r="B4420" s="225" t="s">
        <v>6951</v>
      </c>
      <c r="C4420" s="226">
        <v>526139</v>
      </c>
      <c r="D4420" s="225" t="s">
        <v>597</v>
      </c>
      <c r="E4420" s="225" t="s">
        <v>786</v>
      </c>
    </row>
    <row r="4421" spans="2:5" ht="15.75" thickBot="1">
      <c r="B4421" s="225" t="s">
        <v>6952</v>
      </c>
      <c r="C4421" s="226">
        <v>519367</v>
      </c>
      <c r="D4421" s="225" t="s">
        <v>597</v>
      </c>
      <c r="E4421" s="225" t="s">
        <v>1032</v>
      </c>
    </row>
    <row r="4422" spans="2:5" ht="15.75" thickBot="1">
      <c r="B4422" s="225" t="s">
        <v>6953</v>
      </c>
      <c r="C4422" s="226">
        <v>509003</v>
      </c>
      <c r="D4422" s="225" t="s">
        <v>597</v>
      </c>
      <c r="E4422" s="225" t="s">
        <v>1018</v>
      </c>
    </row>
    <row r="4423" spans="2:5" ht="15.75" thickBot="1">
      <c r="B4423" s="225" t="s">
        <v>6954</v>
      </c>
      <c r="C4423" s="226">
        <v>506687</v>
      </c>
      <c r="D4423" s="225" t="s">
        <v>597</v>
      </c>
      <c r="E4423" s="225" t="s">
        <v>645</v>
      </c>
    </row>
    <row r="4424" spans="2:5" ht="15.75" thickBot="1">
      <c r="B4424" s="225" t="s">
        <v>6955</v>
      </c>
      <c r="C4424" s="226">
        <v>532349</v>
      </c>
      <c r="D4424" s="225" t="s">
        <v>6956</v>
      </c>
      <c r="E4424" s="225" t="s">
        <v>669</v>
      </c>
    </row>
    <row r="4425" spans="2:5" ht="15.75" thickBot="1">
      <c r="B4425" s="225" t="s">
        <v>6957</v>
      </c>
      <c r="C4425" s="226">
        <v>532349</v>
      </c>
      <c r="D4425" s="225" t="s">
        <v>6956</v>
      </c>
      <c r="E4425" s="225" t="s">
        <v>669</v>
      </c>
    </row>
    <row r="4426" spans="2:5" ht="15.75" thickBot="1">
      <c r="B4426" s="225" t="s">
        <v>6958</v>
      </c>
      <c r="C4426" s="226">
        <v>532812</v>
      </c>
      <c r="D4426" s="225" t="s">
        <v>6959</v>
      </c>
      <c r="E4426" s="225" t="s">
        <v>614</v>
      </c>
    </row>
    <row r="4427" spans="2:5" ht="15.75" thickBot="1">
      <c r="B4427" s="225" t="s">
        <v>6960</v>
      </c>
      <c r="C4427" s="225" t="s">
        <v>597</v>
      </c>
      <c r="D4427" s="225" t="s">
        <v>6961</v>
      </c>
      <c r="E4427" s="225" t="s">
        <v>608</v>
      </c>
    </row>
    <row r="4428" spans="2:5" ht="15.75" thickBot="1">
      <c r="B4428" s="225" t="s">
        <v>6962</v>
      </c>
      <c r="C4428" s="226">
        <v>533540</v>
      </c>
      <c r="D4428" s="225" t="s">
        <v>6963</v>
      </c>
      <c r="E4428" s="225" t="s">
        <v>702</v>
      </c>
    </row>
    <row r="4429" spans="2:5" ht="15.75" thickBot="1">
      <c r="B4429" s="225" t="s">
        <v>6964</v>
      </c>
      <c r="C4429" s="226">
        <v>542233</v>
      </c>
      <c r="D4429" s="225" t="s">
        <v>6965</v>
      </c>
      <c r="E4429" s="225" t="s">
        <v>1793</v>
      </c>
    </row>
    <row r="4430" spans="2:5" ht="15.75" thickBot="1">
      <c r="B4430" s="225" t="s">
        <v>6966</v>
      </c>
      <c r="C4430" s="226">
        <v>500251</v>
      </c>
      <c r="D4430" s="225" t="s">
        <v>6967</v>
      </c>
      <c r="E4430" s="225" t="s">
        <v>598</v>
      </c>
    </row>
    <row r="4431" spans="2:5" ht="15.75" thickBot="1">
      <c r="B4431" s="225" t="s">
        <v>6968</v>
      </c>
      <c r="C4431" s="226">
        <v>532159</v>
      </c>
      <c r="D4431" s="225" t="s">
        <v>597</v>
      </c>
      <c r="E4431" s="225" t="s">
        <v>580</v>
      </c>
    </row>
    <row r="4432" spans="2:5" ht="15.75" thickBot="1">
      <c r="B4432" s="225" t="s">
        <v>6969</v>
      </c>
      <c r="C4432" s="226">
        <v>505854</v>
      </c>
      <c r="D4432" s="225" t="s">
        <v>6970</v>
      </c>
      <c r="E4432" s="225" t="s">
        <v>605</v>
      </c>
    </row>
    <row r="4433" spans="2:5" ht="15.75" thickBot="1">
      <c r="B4433" s="225" t="s">
        <v>6971</v>
      </c>
      <c r="C4433" s="226">
        <v>534369</v>
      </c>
      <c r="D4433" s="225" t="s">
        <v>6972</v>
      </c>
      <c r="E4433" s="225" t="s">
        <v>711</v>
      </c>
    </row>
    <row r="4434" spans="2:5" ht="15.75" thickBot="1">
      <c r="B4434" s="225" t="s">
        <v>6973</v>
      </c>
      <c r="C4434" s="226">
        <v>531716</v>
      </c>
      <c r="D4434" s="225" t="s">
        <v>597</v>
      </c>
      <c r="E4434" s="225" t="s">
        <v>677</v>
      </c>
    </row>
    <row r="4435" spans="2:5" ht="15.75" thickBot="1">
      <c r="B4435" s="225" t="s">
        <v>6974</v>
      </c>
      <c r="C4435" s="226">
        <v>521064</v>
      </c>
      <c r="D4435" s="225" t="s">
        <v>6975</v>
      </c>
      <c r="E4435" s="225" t="s">
        <v>612</v>
      </c>
    </row>
    <row r="4436" spans="2:5" ht="15.75" thickBot="1">
      <c r="B4436" s="225" t="s">
        <v>6976</v>
      </c>
      <c r="C4436" s="226">
        <v>540726</v>
      </c>
      <c r="D4436" s="225" t="s">
        <v>597</v>
      </c>
      <c r="E4436" s="225" t="s">
        <v>619</v>
      </c>
    </row>
    <row r="4437" spans="2:5" ht="15.75" thickBot="1">
      <c r="B4437" s="225" t="s">
        <v>6977</v>
      </c>
      <c r="C4437" s="226">
        <v>531972</v>
      </c>
      <c r="D4437" s="225" t="s">
        <v>597</v>
      </c>
      <c r="E4437" s="225" t="s">
        <v>782</v>
      </c>
    </row>
    <row r="4438" spans="2:5" ht="15.75" thickBot="1">
      <c r="B4438" s="225" t="s">
        <v>6978</v>
      </c>
      <c r="C4438" s="226">
        <v>517562</v>
      </c>
      <c r="D4438" s="225" t="s">
        <v>6979</v>
      </c>
      <c r="E4438" s="225" t="s">
        <v>583</v>
      </c>
    </row>
    <row r="4439" spans="2:5" ht="15.75" thickBot="1">
      <c r="B4439" s="225" t="s">
        <v>6980</v>
      </c>
      <c r="C4439" s="226">
        <v>531658</v>
      </c>
      <c r="D4439" s="225" t="s">
        <v>597</v>
      </c>
      <c r="E4439" s="225" t="s">
        <v>614</v>
      </c>
    </row>
    <row r="4440" spans="2:5" ht="15.75" thickBot="1">
      <c r="B4440" s="225" t="s">
        <v>6981</v>
      </c>
      <c r="C4440" s="226">
        <v>536565</v>
      </c>
      <c r="D4440" s="225" t="s">
        <v>597</v>
      </c>
      <c r="E4440" s="225" t="s">
        <v>6982</v>
      </c>
    </row>
    <row r="4441" spans="2:5" ht="15.75" thickBot="1">
      <c r="B4441" s="225" t="s">
        <v>6983</v>
      </c>
      <c r="C4441" s="226">
        <v>531846</v>
      </c>
      <c r="D4441" s="225" t="s">
        <v>597</v>
      </c>
      <c r="E4441" s="225" t="s">
        <v>580</v>
      </c>
    </row>
    <row r="4442" spans="2:5" ht="15.75" thickBot="1">
      <c r="B4442" s="225" t="s">
        <v>6984</v>
      </c>
      <c r="C4442" s="226">
        <v>531846</v>
      </c>
      <c r="D4442" s="225" t="s">
        <v>597</v>
      </c>
      <c r="E4442" s="225" t="s">
        <v>580</v>
      </c>
    </row>
    <row r="4443" spans="2:5" ht="15.75" thickBot="1">
      <c r="B4443" s="225" t="s">
        <v>6985</v>
      </c>
      <c r="C4443" s="226">
        <v>534755</v>
      </c>
      <c r="D4443" s="225" t="s">
        <v>6986</v>
      </c>
      <c r="E4443" s="225" t="s">
        <v>580</v>
      </c>
    </row>
    <row r="4444" spans="2:5" ht="15.75" thickBot="1">
      <c r="B4444" s="225" t="s">
        <v>6987</v>
      </c>
      <c r="C4444" s="226">
        <v>512101</v>
      </c>
      <c r="D4444" s="225" t="s">
        <v>597</v>
      </c>
      <c r="E4444" s="225" t="s">
        <v>635</v>
      </c>
    </row>
    <row r="4445" spans="2:5" ht="15.75" thickBot="1">
      <c r="B4445" s="225" t="s">
        <v>6988</v>
      </c>
      <c r="C4445" s="226">
        <v>531279</v>
      </c>
      <c r="D4445" s="225" t="s">
        <v>597</v>
      </c>
      <c r="E4445" s="225" t="s">
        <v>614</v>
      </c>
    </row>
    <row r="4446" spans="2:5" ht="15.75" thickBot="1">
      <c r="B4446" s="225" t="s">
        <v>6989</v>
      </c>
      <c r="C4446" s="226">
        <v>523387</v>
      </c>
      <c r="D4446" s="225" t="s">
        <v>597</v>
      </c>
      <c r="E4446" s="225" t="s">
        <v>711</v>
      </c>
    </row>
    <row r="4447" spans="2:5" ht="15.75" thickBot="1">
      <c r="B4447" s="225" t="s">
        <v>6990</v>
      </c>
      <c r="C4447" s="226">
        <v>505978</v>
      </c>
      <c r="D4447" s="225" t="s">
        <v>597</v>
      </c>
      <c r="E4447" s="225" t="s">
        <v>952</v>
      </c>
    </row>
    <row r="4448" spans="2:5" ht="15.75" thickBot="1">
      <c r="B4448" s="225" t="s">
        <v>6991</v>
      </c>
      <c r="C4448" s="226">
        <v>532356</v>
      </c>
      <c r="D4448" s="225" t="s">
        <v>6992</v>
      </c>
      <c r="E4448" s="225" t="s">
        <v>1296</v>
      </c>
    </row>
    <row r="4449" spans="2:5" ht="15.75" thickBot="1">
      <c r="B4449" s="225" t="s">
        <v>6993</v>
      </c>
      <c r="C4449" s="226">
        <v>538569</v>
      </c>
      <c r="D4449" s="225" t="s">
        <v>6994</v>
      </c>
      <c r="E4449" s="225" t="s">
        <v>963</v>
      </c>
    </row>
    <row r="4450" spans="2:5" ht="15.75" thickBot="1">
      <c r="B4450" s="225" t="s">
        <v>6995</v>
      </c>
      <c r="C4450" s="226">
        <v>502281</v>
      </c>
      <c r="D4450" s="225" t="s">
        <v>597</v>
      </c>
      <c r="E4450" s="225" t="s">
        <v>1125</v>
      </c>
    </row>
    <row r="4451" spans="2:5" ht="15.75" thickBot="1">
      <c r="B4451" s="225" t="s">
        <v>6996</v>
      </c>
      <c r="C4451" s="226">
        <v>533655</v>
      </c>
      <c r="D4451" s="225" t="s">
        <v>6997</v>
      </c>
      <c r="E4451" s="225" t="s">
        <v>640</v>
      </c>
    </row>
    <row r="4452" spans="2:5" ht="15.75" thickBot="1">
      <c r="B4452" s="225" t="s">
        <v>6998</v>
      </c>
      <c r="C4452" s="226">
        <v>538579</v>
      </c>
      <c r="D4452" s="225" t="s">
        <v>597</v>
      </c>
      <c r="E4452" s="225" t="s">
        <v>619</v>
      </c>
    </row>
    <row r="4453" spans="2:5" ht="15.75" thickBot="1">
      <c r="B4453" s="225" t="s">
        <v>6999</v>
      </c>
      <c r="C4453" s="226">
        <v>519303</v>
      </c>
      <c r="D4453" s="225" t="s">
        <v>597</v>
      </c>
      <c r="E4453" s="225" t="s">
        <v>846</v>
      </c>
    </row>
    <row r="4454" spans="2:5" ht="15.75" thickBot="1">
      <c r="B4454" s="225" t="s">
        <v>7000</v>
      </c>
      <c r="C4454" s="226">
        <v>538597</v>
      </c>
      <c r="D4454" s="225" t="s">
        <v>597</v>
      </c>
      <c r="E4454" s="225" t="s">
        <v>614</v>
      </c>
    </row>
    <row r="4455" spans="2:5" ht="15.75" thickBot="1">
      <c r="B4455" s="225" t="s">
        <v>7001</v>
      </c>
      <c r="C4455" s="226">
        <v>507747</v>
      </c>
      <c r="D4455" s="225" t="s">
        <v>7002</v>
      </c>
      <c r="E4455" s="225" t="s">
        <v>635</v>
      </c>
    </row>
    <row r="4456" spans="2:5" ht="15.75" thickBot="1">
      <c r="B4456" s="225" t="s">
        <v>7003</v>
      </c>
      <c r="C4456" s="226">
        <v>517506</v>
      </c>
      <c r="D4456" s="225" t="s">
        <v>7004</v>
      </c>
      <c r="E4456" s="225" t="s">
        <v>1643</v>
      </c>
    </row>
    <row r="4457" spans="2:5" ht="15.75" thickBot="1">
      <c r="B4457" s="225" t="s">
        <v>7005</v>
      </c>
      <c r="C4457" s="226">
        <v>514236</v>
      </c>
      <c r="D4457" s="225" t="s">
        <v>7006</v>
      </c>
      <c r="E4457" s="225" t="s">
        <v>963</v>
      </c>
    </row>
    <row r="4458" spans="2:5" ht="15.75" thickBot="1">
      <c r="B4458" s="225" t="s">
        <v>7007</v>
      </c>
      <c r="C4458" s="226">
        <v>540762</v>
      </c>
      <c r="D4458" s="225" t="s">
        <v>7008</v>
      </c>
      <c r="E4458" s="225" t="s">
        <v>952</v>
      </c>
    </row>
    <row r="4459" spans="2:5" ht="15.75" thickBot="1">
      <c r="B4459" s="225" t="s">
        <v>7009</v>
      </c>
      <c r="C4459" s="226">
        <v>540762</v>
      </c>
      <c r="D4459" s="225" t="s">
        <v>7010</v>
      </c>
      <c r="E4459" s="225" t="s">
        <v>952</v>
      </c>
    </row>
    <row r="4460" spans="2:5" ht="15.75" thickBot="1">
      <c r="B4460" s="225" t="s">
        <v>7011</v>
      </c>
      <c r="C4460" s="226">
        <v>524514</v>
      </c>
      <c r="D4460" s="225" t="s">
        <v>597</v>
      </c>
      <c r="E4460" s="225" t="s">
        <v>645</v>
      </c>
    </row>
    <row r="4461" spans="2:5" ht="15.75" thickBot="1">
      <c r="B4461" s="225" t="s">
        <v>7012</v>
      </c>
      <c r="C4461" s="226">
        <v>531088</v>
      </c>
      <c r="D4461" s="225" t="s">
        <v>597</v>
      </c>
      <c r="E4461" s="225" t="s">
        <v>614</v>
      </c>
    </row>
    <row r="4462" spans="2:5" ht="15.75" thickBot="1">
      <c r="B4462" s="225" t="s">
        <v>7013</v>
      </c>
      <c r="C4462" s="226">
        <v>505285</v>
      </c>
      <c r="D4462" s="225" t="s">
        <v>597</v>
      </c>
      <c r="E4462" s="225" t="s">
        <v>782</v>
      </c>
    </row>
    <row r="4463" spans="2:5" ht="15.75" thickBot="1">
      <c r="B4463" s="225" t="s">
        <v>7014</v>
      </c>
      <c r="C4463" s="226">
        <v>532948</v>
      </c>
      <c r="D4463" s="225" t="s">
        <v>7015</v>
      </c>
      <c r="E4463" s="225" t="s">
        <v>717</v>
      </c>
    </row>
    <row r="4464" spans="2:5" ht="15.75" thickBot="1">
      <c r="B4464" s="225" t="s">
        <v>7016</v>
      </c>
      <c r="C4464" s="226">
        <v>504273</v>
      </c>
      <c r="D4464" s="225" t="s">
        <v>597</v>
      </c>
      <c r="E4464" s="225" t="s">
        <v>895</v>
      </c>
    </row>
    <row r="4465" spans="2:5" ht="15.75" thickBot="1">
      <c r="B4465" s="225" t="s">
        <v>7017</v>
      </c>
      <c r="C4465" s="226">
        <v>531411</v>
      </c>
      <c r="D4465" s="225" t="s">
        <v>597</v>
      </c>
      <c r="E4465" s="225" t="s">
        <v>612</v>
      </c>
    </row>
    <row r="4466" spans="2:5" ht="15.75" thickBot="1">
      <c r="B4466" s="225" t="s">
        <v>7018</v>
      </c>
      <c r="C4466" s="226">
        <v>506808</v>
      </c>
      <c r="D4466" s="225" t="s">
        <v>597</v>
      </c>
      <c r="E4466" s="225" t="s">
        <v>645</v>
      </c>
    </row>
    <row r="4467" spans="2:5" ht="15.75" thickBot="1">
      <c r="B4467" s="225" t="s">
        <v>7019</v>
      </c>
      <c r="C4467" s="226">
        <v>532515</v>
      </c>
      <c r="D4467" s="225" t="s">
        <v>7020</v>
      </c>
      <c r="E4467" s="225" t="s">
        <v>1336</v>
      </c>
    </row>
    <row r="4468" spans="2:5" ht="15.75" thickBot="1">
      <c r="B4468" s="225" t="s">
        <v>7021</v>
      </c>
      <c r="C4468" s="226">
        <v>540083</v>
      </c>
      <c r="D4468" s="225" t="s">
        <v>7022</v>
      </c>
      <c r="E4468" s="225" t="s">
        <v>1336</v>
      </c>
    </row>
    <row r="4469" spans="2:5" ht="15.75" thickBot="1">
      <c r="B4469" s="225" t="s">
        <v>7023</v>
      </c>
      <c r="C4469" s="226">
        <v>532800</v>
      </c>
      <c r="D4469" s="225" t="s">
        <v>7024</v>
      </c>
      <c r="E4469" s="225" t="s">
        <v>1336</v>
      </c>
    </row>
    <row r="4470" spans="2:5" ht="15.75" thickBot="1">
      <c r="B4470" s="225" t="s">
        <v>7025</v>
      </c>
      <c r="C4470" s="226">
        <v>532513</v>
      </c>
      <c r="D4470" s="225" t="s">
        <v>7026</v>
      </c>
      <c r="E4470" s="225" t="s">
        <v>694</v>
      </c>
    </row>
    <row r="4471" spans="2:5" ht="15.75" thickBot="1">
      <c r="B4471" s="225" t="s">
        <v>7027</v>
      </c>
      <c r="C4471" s="226">
        <v>532343</v>
      </c>
      <c r="D4471" s="225" t="s">
        <v>7028</v>
      </c>
      <c r="E4471" s="225" t="s">
        <v>1255</v>
      </c>
    </row>
    <row r="4472" spans="2:5" ht="15.75" thickBot="1">
      <c r="B4472" s="225" t="s">
        <v>7029</v>
      </c>
      <c r="C4472" s="226">
        <v>509243</v>
      </c>
      <c r="D4472" s="225" t="s">
        <v>7030</v>
      </c>
      <c r="E4472" s="225" t="s">
        <v>1077</v>
      </c>
    </row>
    <row r="4473" spans="2:5" ht="15.75" thickBot="1">
      <c r="B4473" s="225" t="s">
        <v>7031</v>
      </c>
      <c r="C4473" s="226">
        <v>512117</v>
      </c>
      <c r="D4473" s="225" t="s">
        <v>597</v>
      </c>
      <c r="E4473" s="225" t="s">
        <v>1018</v>
      </c>
    </row>
    <row r="4474" spans="2:5" ht="15.75" thickBot="1">
      <c r="B4474" s="225" t="s">
        <v>7032</v>
      </c>
      <c r="C4474" s="226">
        <v>531917</v>
      </c>
      <c r="D4474" s="225" t="s">
        <v>597</v>
      </c>
      <c r="E4474" s="225" t="s">
        <v>690</v>
      </c>
    </row>
    <row r="4475" spans="2:5" ht="15.75" thickBot="1">
      <c r="B4475" s="225" t="s">
        <v>7033</v>
      </c>
      <c r="C4475" s="226">
        <v>532384</v>
      </c>
      <c r="D4475" s="225" t="s">
        <v>597</v>
      </c>
      <c r="E4475" s="225" t="s">
        <v>635</v>
      </c>
    </row>
    <row r="4476" spans="2:5" ht="15.75" thickBot="1">
      <c r="B4476" s="225" t="s">
        <v>7034</v>
      </c>
      <c r="C4476" s="226">
        <v>539468</v>
      </c>
      <c r="D4476" s="225" t="s">
        <v>597</v>
      </c>
      <c r="E4476" s="225" t="s">
        <v>614</v>
      </c>
    </row>
    <row r="4477" spans="2:5" ht="15.75" thickBot="1">
      <c r="B4477" s="225" t="s">
        <v>7035</v>
      </c>
      <c r="C4477" s="226">
        <v>512307</v>
      </c>
      <c r="D4477" s="225" t="s">
        <v>597</v>
      </c>
      <c r="E4477" s="225" t="s">
        <v>612</v>
      </c>
    </row>
    <row r="4478" spans="2:5" ht="15.75" thickBot="1">
      <c r="B4478" s="225" t="s">
        <v>7036</v>
      </c>
      <c r="C4478" s="226">
        <v>526945</v>
      </c>
      <c r="D4478" s="225" t="s">
        <v>597</v>
      </c>
      <c r="E4478" s="225" t="s">
        <v>1004</v>
      </c>
    </row>
    <row r="4479" spans="2:5" ht="15.75" thickBot="1">
      <c r="B4479" s="225" t="s">
        <v>7037</v>
      </c>
      <c r="C4479" s="226">
        <v>541338</v>
      </c>
      <c r="D4479" s="225" t="s">
        <v>597</v>
      </c>
      <c r="E4479" s="225" t="s">
        <v>711</v>
      </c>
    </row>
    <row r="4480" spans="2:5" ht="15.75" thickBot="1">
      <c r="B4480" s="225" t="s">
        <v>7038</v>
      </c>
      <c r="C4480" s="226">
        <v>500464</v>
      </c>
      <c r="D4480" s="225" t="s">
        <v>7039</v>
      </c>
      <c r="E4480" s="225" t="s">
        <v>952</v>
      </c>
    </row>
    <row r="4481" spans="2:5" ht="15.75" thickBot="1">
      <c r="B4481" s="225" t="s">
        <v>7040</v>
      </c>
      <c r="C4481" s="226">
        <v>532505</v>
      </c>
      <c r="D4481" s="225" t="s">
        <v>7041</v>
      </c>
      <c r="E4481" s="225" t="s">
        <v>915</v>
      </c>
    </row>
    <row r="4482" spans="2:5" ht="15.75" thickBot="1">
      <c r="B4482" s="225" t="s">
        <v>7042</v>
      </c>
      <c r="C4482" s="226">
        <v>530131</v>
      </c>
      <c r="D4482" s="225" t="s">
        <v>597</v>
      </c>
      <c r="E4482" s="225" t="s">
        <v>610</v>
      </c>
    </row>
    <row r="4483" spans="2:5" ht="15.75" thickBot="1">
      <c r="B4483" s="225" t="s">
        <v>7043</v>
      </c>
      <c r="C4483" s="226">
        <v>539518</v>
      </c>
      <c r="D4483" s="225" t="s">
        <v>597</v>
      </c>
      <c r="E4483" s="225" t="s">
        <v>631</v>
      </c>
    </row>
    <row r="4484" spans="2:5" ht="15.75" thickBot="1">
      <c r="B4484" s="225" t="s">
        <v>7044</v>
      </c>
      <c r="C4484" s="226">
        <v>500148</v>
      </c>
      <c r="D4484" s="225" t="s">
        <v>7045</v>
      </c>
      <c r="E4484" s="225" t="s">
        <v>792</v>
      </c>
    </row>
    <row r="4485" spans="2:5" ht="15.75" thickBot="1">
      <c r="B4485" s="225" t="s">
        <v>7046</v>
      </c>
      <c r="C4485" s="226">
        <v>539141</v>
      </c>
      <c r="D4485" s="225" t="s">
        <v>7047</v>
      </c>
      <c r="E4485" s="225" t="s">
        <v>1336</v>
      </c>
    </row>
    <row r="4486" spans="2:5" ht="15.75" thickBot="1">
      <c r="B4486" s="225" t="s">
        <v>7048</v>
      </c>
      <c r="C4486" s="226">
        <v>539141</v>
      </c>
      <c r="D4486" s="225" t="s">
        <v>7047</v>
      </c>
      <c r="E4486" s="225" t="s">
        <v>1336</v>
      </c>
    </row>
    <row r="4487" spans="2:5" ht="15.75" thickBot="1">
      <c r="B4487" s="225" t="s">
        <v>7049</v>
      </c>
      <c r="C4487" s="226">
        <v>511742</v>
      </c>
      <c r="D4487" s="225" t="s">
        <v>597</v>
      </c>
      <c r="E4487" s="225" t="s">
        <v>614</v>
      </c>
    </row>
    <row r="4488" spans="2:5" ht="15.75" thickBot="1">
      <c r="B4488" s="225" t="s">
        <v>7050</v>
      </c>
      <c r="C4488" s="226">
        <v>533644</v>
      </c>
      <c r="D4488" s="225" t="s">
        <v>7051</v>
      </c>
      <c r="E4488" s="225" t="s">
        <v>640</v>
      </c>
    </row>
    <row r="4489" spans="2:5" ht="15.75" thickBot="1">
      <c r="B4489" s="225" t="s">
        <v>7052</v>
      </c>
      <c r="C4489" s="226">
        <v>539874</v>
      </c>
      <c r="D4489" s="225" t="s">
        <v>7053</v>
      </c>
      <c r="E4489" s="225" t="s">
        <v>614</v>
      </c>
    </row>
    <row r="4490" spans="2:5" ht="15.75" thickBot="1">
      <c r="B4490" s="225" t="s">
        <v>7054</v>
      </c>
      <c r="C4490" s="225" t="s">
        <v>597</v>
      </c>
      <c r="D4490" s="225" t="s">
        <v>7055</v>
      </c>
      <c r="E4490" s="225" t="s">
        <v>608</v>
      </c>
    </row>
    <row r="4491" spans="2:5" ht="15.75" thickBot="1">
      <c r="B4491" s="225" t="s">
        <v>7056</v>
      </c>
      <c r="C4491" s="226">
        <v>538706</v>
      </c>
      <c r="D4491" s="225" t="s">
        <v>597</v>
      </c>
      <c r="E4491" s="225" t="s">
        <v>895</v>
      </c>
    </row>
    <row r="4492" spans="2:5" ht="15.75" thickBot="1">
      <c r="B4492" s="225" t="s">
        <v>7057</v>
      </c>
      <c r="C4492" s="226">
        <v>538706</v>
      </c>
      <c r="D4492" s="225" t="s">
        <v>597</v>
      </c>
      <c r="E4492" s="225" t="s">
        <v>895</v>
      </c>
    </row>
    <row r="4493" spans="2:5" ht="15.75" thickBot="1">
      <c r="B4493" s="225" t="s">
        <v>7058</v>
      </c>
      <c r="C4493" s="226">
        <v>506685</v>
      </c>
      <c r="D4493" s="225" t="s">
        <v>597</v>
      </c>
      <c r="E4493" s="225" t="s">
        <v>757</v>
      </c>
    </row>
    <row r="4494" spans="2:5" ht="15.75" thickBot="1">
      <c r="B4494" s="225" t="s">
        <v>7059</v>
      </c>
      <c r="C4494" s="226">
        <v>532538</v>
      </c>
      <c r="D4494" s="225" t="s">
        <v>7060</v>
      </c>
      <c r="E4494" s="225" t="s">
        <v>610</v>
      </c>
    </row>
    <row r="4495" spans="2:5" ht="15.75" thickBot="1">
      <c r="B4495" s="225" t="s">
        <v>7061</v>
      </c>
      <c r="C4495" s="226">
        <v>500231</v>
      </c>
      <c r="D4495" s="225" t="s">
        <v>7062</v>
      </c>
      <c r="E4495" s="225" t="s">
        <v>657</v>
      </c>
    </row>
    <row r="4496" spans="2:5" ht="15.75" thickBot="1">
      <c r="B4496" s="225" t="s">
        <v>7063</v>
      </c>
      <c r="C4496" s="226">
        <v>539798</v>
      </c>
      <c r="D4496" s="225" t="s">
        <v>597</v>
      </c>
      <c r="E4496" s="225" t="s">
        <v>920</v>
      </c>
    </row>
    <row r="4497" spans="2:5" ht="15.75" thickBot="1">
      <c r="B4497" s="225" t="s">
        <v>7064</v>
      </c>
      <c r="C4497" s="226">
        <v>504605</v>
      </c>
      <c r="D4497" s="225" t="s">
        <v>597</v>
      </c>
      <c r="E4497" s="225" t="s">
        <v>920</v>
      </c>
    </row>
    <row r="4498" spans="2:5" ht="15.75" thickBot="1">
      <c r="B4498" s="225" t="s">
        <v>7065</v>
      </c>
      <c r="C4498" s="226">
        <v>506690</v>
      </c>
      <c r="D4498" s="225" t="s">
        <v>7066</v>
      </c>
      <c r="E4498" s="225" t="s">
        <v>635</v>
      </c>
    </row>
    <row r="4499" spans="2:5" ht="15.75" thickBot="1">
      <c r="B4499" s="225" t="s">
        <v>7067</v>
      </c>
      <c r="C4499" s="226">
        <v>541503</v>
      </c>
      <c r="D4499" s="225" t="s">
        <v>597</v>
      </c>
      <c r="E4499" s="225" t="s">
        <v>2589</v>
      </c>
    </row>
    <row r="4500" spans="2:5" ht="15.75" thickBot="1">
      <c r="B4500" s="225" t="s">
        <v>7068</v>
      </c>
      <c r="C4500" s="225" t="s">
        <v>597</v>
      </c>
      <c r="D4500" s="225" t="s">
        <v>7069</v>
      </c>
      <c r="E4500" s="225" t="s">
        <v>608</v>
      </c>
    </row>
    <row r="4501" spans="2:5" ht="15.75" thickBot="1">
      <c r="B4501" s="225" t="s">
        <v>7070</v>
      </c>
      <c r="C4501" s="226">
        <v>503671</v>
      </c>
      <c r="D4501" s="225" t="s">
        <v>597</v>
      </c>
      <c r="E4501" s="225" t="s">
        <v>580</v>
      </c>
    </row>
    <row r="4502" spans="2:5" ht="15.75" thickBot="1">
      <c r="B4502" s="225" t="s">
        <v>7071</v>
      </c>
      <c r="C4502" s="226">
        <v>512595</v>
      </c>
      <c r="D4502" s="225" t="s">
        <v>7072</v>
      </c>
      <c r="E4502" s="225" t="s">
        <v>1153</v>
      </c>
    </row>
    <row r="4503" spans="2:5" ht="15.75" thickBot="1">
      <c r="B4503" s="225" t="s">
        <v>7073</v>
      </c>
      <c r="C4503" s="226">
        <v>532477</v>
      </c>
      <c r="D4503" s="225" t="s">
        <v>7074</v>
      </c>
      <c r="E4503" s="225" t="s">
        <v>915</v>
      </c>
    </row>
    <row r="4504" spans="2:5" ht="15.75" thickBot="1">
      <c r="B4504" s="225" t="s">
        <v>7075</v>
      </c>
      <c r="C4504" s="226">
        <v>526799</v>
      </c>
      <c r="D4504" s="225" t="s">
        <v>597</v>
      </c>
      <c r="E4504" s="225" t="s">
        <v>792</v>
      </c>
    </row>
    <row r="4505" spans="2:5" ht="15.75" thickBot="1">
      <c r="B4505" s="225" t="s">
        <v>7076</v>
      </c>
      <c r="C4505" s="226">
        <v>500429</v>
      </c>
      <c r="D4505" s="225" t="s">
        <v>7077</v>
      </c>
      <c r="E4505" s="225" t="s">
        <v>619</v>
      </c>
    </row>
    <row r="4506" spans="2:5" ht="15.75" thickBot="1">
      <c r="B4506" s="225" t="s">
        <v>7078</v>
      </c>
      <c r="C4506" s="226">
        <v>526957</v>
      </c>
      <c r="D4506" s="225" t="s">
        <v>597</v>
      </c>
      <c r="E4506" s="225" t="s">
        <v>1092</v>
      </c>
    </row>
    <row r="4507" spans="2:5" ht="15.75" thickBot="1">
      <c r="B4507" s="225" t="s">
        <v>7079</v>
      </c>
      <c r="C4507" s="226">
        <v>532646</v>
      </c>
      <c r="D4507" s="225" t="s">
        <v>7080</v>
      </c>
      <c r="E4507" s="225" t="s">
        <v>1092</v>
      </c>
    </row>
    <row r="4508" spans="2:5" ht="15.75" thickBot="1">
      <c r="B4508" s="225" t="s">
        <v>7081</v>
      </c>
      <c r="C4508" s="226">
        <v>530997</v>
      </c>
      <c r="D4508" s="225" t="s">
        <v>597</v>
      </c>
      <c r="E4508" s="225" t="s">
        <v>795</v>
      </c>
    </row>
    <row r="4509" spans="2:5" ht="15.75" thickBot="1">
      <c r="B4509" s="225" t="s">
        <v>7082</v>
      </c>
      <c r="C4509" s="226">
        <v>521226</v>
      </c>
      <c r="D4509" s="225" t="s">
        <v>597</v>
      </c>
      <c r="E4509" s="225" t="s">
        <v>612</v>
      </c>
    </row>
    <row r="4510" spans="2:5" ht="15.75" thickBot="1">
      <c r="B4510" s="225" t="s">
        <v>7083</v>
      </c>
      <c r="C4510" s="226">
        <v>526113</v>
      </c>
      <c r="D4510" s="225" t="s">
        <v>597</v>
      </c>
      <c r="E4510" s="225" t="s">
        <v>657</v>
      </c>
    </row>
    <row r="4511" spans="2:5" ht="15.75" thickBot="1">
      <c r="B4511" s="225" t="s">
        <v>7084</v>
      </c>
      <c r="C4511" s="226">
        <v>537582</v>
      </c>
      <c r="D4511" s="225" t="s">
        <v>597</v>
      </c>
      <c r="E4511" s="225" t="s">
        <v>683</v>
      </c>
    </row>
    <row r="4512" spans="2:5" ht="15.75" thickBot="1">
      <c r="B4512" s="225" t="s">
        <v>7085</v>
      </c>
      <c r="C4512" s="226">
        <v>538610</v>
      </c>
      <c r="D4512" s="225" t="s">
        <v>597</v>
      </c>
      <c r="E4512" s="225" t="s">
        <v>920</v>
      </c>
    </row>
    <row r="4513" spans="2:5" ht="15.75" thickBot="1">
      <c r="B4513" s="225" t="s">
        <v>7086</v>
      </c>
      <c r="C4513" s="226">
        <v>532035</v>
      </c>
      <c r="D4513" s="225" t="s">
        <v>597</v>
      </c>
      <c r="E4513" s="225" t="s">
        <v>614</v>
      </c>
    </row>
    <row r="4514" spans="2:5" ht="15.75" thickBot="1">
      <c r="B4514" s="225" t="s">
        <v>7087</v>
      </c>
      <c r="C4514" s="226">
        <v>531831</v>
      </c>
      <c r="D4514" s="225" t="s">
        <v>597</v>
      </c>
      <c r="E4514" s="225" t="s">
        <v>655</v>
      </c>
    </row>
    <row r="4515" spans="2:5" ht="15.75" thickBot="1">
      <c r="B4515" s="225" t="s">
        <v>7088</v>
      </c>
      <c r="C4515" s="226">
        <v>531867</v>
      </c>
      <c r="D4515" s="225" t="s">
        <v>597</v>
      </c>
      <c r="E4515" s="225" t="s">
        <v>619</v>
      </c>
    </row>
    <row r="4516" spans="2:5" ht="15.75" thickBot="1">
      <c r="B4516" s="225" t="s">
        <v>7089</v>
      </c>
      <c r="C4516" s="226">
        <v>507878</v>
      </c>
      <c r="D4516" s="225" t="s">
        <v>7090</v>
      </c>
      <c r="E4516" s="225" t="s">
        <v>683</v>
      </c>
    </row>
    <row r="4517" spans="2:5" ht="15.75" thickBot="1">
      <c r="B4517" s="225" t="s">
        <v>7091</v>
      </c>
      <c r="C4517" s="226">
        <v>533171</v>
      </c>
      <c r="D4517" s="225" t="s">
        <v>7092</v>
      </c>
      <c r="E4517" s="225" t="s">
        <v>915</v>
      </c>
    </row>
    <row r="4518" spans="2:5" ht="15.75" thickBot="1">
      <c r="B4518" s="225" t="s">
        <v>7093</v>
      </c>
      <c r="C4518" s="226">
        <v>532478</v>
      </c>
      <c r="D4518" s="225" t="s">
        <v>7094</v>
      </c>
      <c r="E4518" s="225" t="s">
        <v>1229</v>
      </c>
    </row>
    <row r="4519" spans="2:5" ht="15.75" thickBot="1">
      <c r="B4519" s="225" t="s">
        <v>7095</v>
      </c>
      <c r="C4519" s="226">
        <v>531091</v>
      </c>
      <c r="D4519" s="225" t="s">
        <v>597</v>
      </c>
      <c r="E4519" s="225" t="s">
        <v>614</v>
      </c>
    </row>
    <row r="4520" spans="2:5" ht="15.75" thickBot="1">
      <c r="B4520" s="225" t="s">
        <v>7096</v>
      </c>
      <c r="C4520" s="226">
        <v>522014</v>
      </c>
      <c r="D4520" s="225" t="s">
        <v>597</v>
      </c>
      <c r="E4520" s="225" t="s">
        <v>782</v>
      </c>
    </row>
    <row r="4521" spans="2:5" ht="15.75" thickBot="1">
      <c r="B4521" s="225" t="s">
        <v>7097</v>
      </c>
      <c r="C4521" s="226">
        <v>502893</v>
      </c>
      <c r="D4521" s="225" t="s">
        <v>597</v>
      </c>
      <c r="E4521" s="225" t="s">
        <v>603</v>
      </c>
    </row>
    <row r="4522" spans="2:5" ht="15.75" thickBot="1">
      <c r="B4522" s="225" t="s">
        <v>7098</v>
      </c>
      <c r="C4522" s="226">
        <v>507808</v>
      </c>
      <c r="D4522" s="225" t="s">
        <v>597</v>
      </c>
      <c r="E4522" s="225" t="s">
        <v>614</v>
      </c>
    </row>
    <row r="4523" spans="2:5" ht="15.75" thickBot="1">
      <c r="B4523" s="225" t="s">
        <v>7099</v>
      </c>
      <c r="C4523" s="225" t="s">
        <v>597</v>
      </c>
      <c r="D4523" s="225" t="s">
        <v>7100</v>
      </c>
      <c r="E4523" s="225" t="s">
        <v>608</v>
      </c>
    </row>
    <row r="4524" spans="2:5" ht="15.75" thickBot="1">
      <c r="B4524" s="225" t="s">
        <v>7101</v>
      </c>
      <c r="C4524" s="226">
        <v>532432</v>
      </c>
      <c r="D4524" s="225" t="s">
        <v>7102</v>
      </c>
      <c r="E4524" s="225" t="s">
        <v>1229</v>
      </c>
    </row>
    <row r="4525" spans="2:5" ht="15.75" thickBot="1">
      <c r="B4525" s="225" t="s">
        <v>7103</v>
      </c>
      <c r="C4525" s="226">
        <v>521188</v>
      </c>
      <c r="D4525" s="225" t="s">
        <v>597</v>
      </c>
      <c r="E4525" s="225" t="s">
        <v>612</v>
      </c>
    </row>
    <row r="4526" spans="2:5" ht="15.75" thickBot="1">
      <c r="B4526" s="225" t="s">
        <v>7104</v>
      </c>
      <c r="C4526" s="226">
        <v>522091</v>
      </c>
      <c r="D4526" s="225" t="s">
        <v>597</v>
      </c>
      <c r="E4526" s="225" t="s">
        <v>640</v>
      </c>
    </row>
    <row r="4527" spans="2:5" ht="15.75" thickBot="1">
      <c r="B4527" s="225" t="s">
        <v>7105</v>
      </c>
      <c r="C4527" s="226">
        <v>532746</v>
      </c>
      <c r="D4527" s="225" t="s">
        <v>7106</v>
      </c>
      <c r="E4527" s="225" t="s">
        <v>995</v>
      </c>
    </row>
    <row r="4528" spans="2:5" ht="15.75" thickBot="1">
      <c r="B4528" s="225" t="s">
        <v>7107</v>
      </c>
      <c r="C4528" s="225" t="s">
        <v>597</v>
      </c>
      <c r="D4528" s="225" t="s">
        <v>7108</v>
      </c>
      <c r="E4528" s="225" t="s">
        <v>608</v>
      </c>
    </row>
    <row r="4529" spans="2:5" ht="15.75" thickBot="1">
      <c r="B4529" s="225" t="s">
        <v>7109</v>
      </c>
      <c r="C4529" s="225" t="s">
        <v>597</v>
      </c>
      <c r="D4529" s="225" t="s">
        <v>7108</v>
      </c>
      <c r="E4529" s="225" t="s">
        <v>608</v>
      </c>
    </row>
    <row r="4530" spans="2:5" ht="15.75" thickBot="1">
      <c r="B4530" s="225" t="s">
        <v>7110</v>
      </c>
      <c r="C4530" s="226">
        <v>532378</v>
      </c>
      <c r="D4530" s="225" t="s">
        <v>597</v>
      </c>
      <c r="E4530" s="225" t="s">
        <v>600</v>
      </c>
    </row>
    <row r="4531" spans="2:5" ht="15.75" thickBot="1">
      <c r="B4531" s="225" t="s">
        <v>7111</v>
      </c>
      <c r="C4531" s="226">
        <v>539314</v>
      </c>
      <c r="D4531" s="225" t="s">
        <v>597</v>
      </c>
      <c r="E4531" s="225" t="s">
        <v>952</v>
      </c>
    </row>
    <row r="4532" spans="2:5" ht="15.75" thickBot="1">
      <c r="B4532" s="225" t="s">
        <v>7112</v>
      </c>
      <c r="C4532" s="226">
        <v>504212</v>
      </c>
      <c r="D4532" s="225" t="s">
        <v>7113</v>
      </c>
      <c r="E4532" s="225" t="s">
        <v>895</v>
      </c>
    </row>
    <row r="4533" spans="2:5" ht="15.75" thickBot="1">
      <c r="B4533" s="225" t="s">
        <v>7114</v>
      </c>
      <c r="C4533" s="226">
        <v>531963</v>
      </c>
      <c r="D4533" s="225" t="s">
        <v>597</v>
      </c>
      <c r="E4533" s="225" t="s">
        <v>1018</v>
      </c>
    </row>
    <row r="4534" spans="2:5" ht="15.75" thickBot="1">
      <c r="B4534" s="225" t="s">
        <v>7115</v>
      </c>
      <c r="C4534" s="226">
        <v>523519</v>
      </c>
      <c r="D4534" s="225" t="s">
        <v>597</v>
      </c>
      <c r="E4534" s="225" t="s">
        <v>619</v>
      </c>
    </row>
    <row r="4535" spans="2:5" ht="15.75" thickBot="1">
      <c r="B4535" s="225" t="s">
        <v>7116</v>
      </c>
      <c r="C4535" s="226">
        <v>504673</v>
      </c>
      <c r="D4535" s="225" t="s">
        <v>597</v>
      </c>
      <c r="E4535" s="225" t="s">
        <v>902</v>
      </c>
    </row>
    <row r="4536" spans="2:5" ht="15.75" thickBot="1">
      <c r="B4536" s="225" t="s">
        <v>7117</v>
      </c>
      <c r="C4536" s="226">
        <v>524408</v>
      </c>
      <c r="D4536" s="225" t="s">
        <v>597</v>
      </c>
      <c r="E4536" s="225" t="s">
        <v>645</v>
      </c>
    </row>
    <row r="4537" spans="2:5" ht="15.75" thickBot="1">
      <c r="B4537" s="225" t="s">
        <v>7118</v>
      </c>
      <c r="C4537" s="226">
        <v>514144</v>
      </c>
      <c r="D4537" s="225" t="s">
        <v>597</v>
      </c>
      <c r="E4537" s="225" t="s">
        <v>612</v>
      </c>
    </row>
    <row r="4538" spans="2:5" ht="15.75" thickBot="1">
      <c r="B4538" s="225" t="s">
        <v>7119</v>
      </c>
      <c r="C4538" s="226">
        <v>512408</v>
      </c>
      <c r="D4538" s="225" t="s">
        <v>597</v>
      </c>
      <c r="E4538" s="225" t="s">
        <v>612</v>
      </c>
    </row>
    <row r="4539" spans="2:5" ht="15.75" thickBot="1">
      <c r="B4539" s="225" t="s">
        <v>7120</v>
      </c>
      <c r="C4539" s="226">
        <v>531762</v>
      </c>
      <c r="D4539" s="225" t="s">
        <v>597</v>
      </c>
      <c r="E4539" s="225" t="s">
        <v>635</v>
      </c>
    </row>
    <row r="4540" spans="2:5" ht="15.75" thickBot="1">
      <c r="B4540" s="225" t="s">
        <v>7121</v>
      </c>
      <c r="C4540" s="226">
        <v>511764</v>
      </c>
      <c r="D4540" s="225" t="s">
        <v>597</v>
      </c>
      <c r="E4540" s="225" t="s">
        <v>614</v>
      </c>
    </row>
    <row r="4541" spans="2:5" ht="15.75" thickBot="1">
      <c r="B4541" s="225" t="s">
        <v>7122</v>
      </c>
      <c r="C4541" s="226">
        <v>512070</v>
      </c>
      <c r="D4541" s="225" t="s">
        <v>7123</v>
      </c>
      <c r="E4541" s="225" t="s">
        <v>741</v>
      </c>
    </row>
    <row r="4542" spans="2:5" ht="15.75" thickBot="1">
      <c r="B4542" s="225" t="s">
        <v>7124</v>
      </c>
      <c r="C4542" s="226">
        <v>531390</v>
      </c>
      <c r="D4542" s="225" t="s">
        <v>597</v>
      </c>
      <c r="E4542" s="225" t="s">
        <v>614</v>
      </c>
    </row>
    <row r="4543" spans="2:5" ht="15.75" thickBot="1">
      <c r="B4543" s="225" t="s">
        <v>7125</v>
      </c>
      <c r="C4543" s="225" t="s">
        <v>597</v>
      </c>
      <c r="D4543" s="225" t="s">
        <v>7126</v>
      </c>
      <c r="E4543" s="225" t="s">
        <v>608</v>
      </c>
    </row>
    <row r="4544" spans="2:5" ht="15.75" thickBot="1">
      <c r="B4544" s="225" t="s">
        <v>7127</v>
      </c>
      <c r="C4544" s="226">
        <v>526987</v>
      </c>
      <c r="D4544" s="225" t="s">
        <v>7128</v>
      </c>
      <c r="E4544" s="225" t="s">
        <v>619</v>
      </c>
    </row>
    <row r="4545" spans="2:5" ht="15.75" thickBot="1">
      <c r="B4545" s="225" t="s">
        <v>7129</v>
      </c>
      <c r="C4545" s="226">
        <v>532402</v>
      </c>
      <c r="D4545" s="225" t="s">
        <v>597</v>
      </c>
      <c r="E4545" s="225" t="s">
        <v>690</v>
      </c>
    </row>
    <row r="4546" spans="2:5" ht="15.75" thickBot="1">
      <c r="B4546" s="225" t="s">
        <v>7130</v>
      </c>
      <c r="C4546" s="226">
        <v>532398</v>
      </c>
      <c r="D4546" s="225" t="s">
        <v>7131</v>
      </c>
      <c r="E4546" s="225" t="s">
        <v>690</v>
      </c>
    </row>
    <row r="4547" spans="2:5" ht="15.75" thickBot="1">
      <c r="B4547" s="225" t="s">
        <v>7132</v>
      </c>
      <c r="C4547" s="226">
        <v>517146</v>
      </c>
      <c r="D4547" s="225" t="s">
        <v>7133</v>
      </c>
      <c r="E4547" s="225" t="s">
        <v>920</v>
      </c>
    </row>
    <row r="4548" spans="2:5" ht="15.75" thickBot="1">
      <c r="B4548" s="225" t="s">
        <v>7134</v>
      </c>
      <c r="C4548" s="226">
        <v>511507</v>
      </c>
      <c r="D4548" s="225" t="s">
        <v>597</v>
      </c>
      <c r="E4548" s="225" t="s">
        <v>614</v>
      </c>
    </row>
    <row r="4549" spans="2:5" ht="15.75" thickBot="1">
      <c r="B4549" s="225" t="s">
        <v>7135</v>
      </c>
      <c r="C4549" s="225" t="s">
        <v>597</v>
      </c>
      <c r="D4549" s="225" t="s">
        <v>7136</v>
      </c>
      <c r="E4549" s="225" t="s">
        <v>608</v>
      </c>
    </row>
    <row r="4550" spans="2:5" ht="15.75" thickBot="1">
      <c r="B4550" s="225" t="s">
        <v>7137</v>
      </c>
      <c r="C4550" s="226">
        <v>511736</v>
      </c>
      <c r="D4550" s="225" t="s">
        <v>597</v>
      </c>
      <c r="E4550" s="225" t="s">
        <v>619</v>
      </c>
    </row>
    <row r="4551" spans="2:5" ht="15.75" thickBot="1">
      <c r="B4551" s="225" t="s">
        <v>7138</v>
      </c>
      <c r="C4551" s="226">
        <v>532765</v>
      </c>
      <c r="D4551" s="225" t="s">
        <v>7139</v>
      </c>
      <c r="E4551" s="225" t="s">
        <v>795</v>
      </c>
    </row>
    <row r="4552" spans="2:5" ht="15.75" thickBot="1">
      <c r="B4552" s="225" t="s">
        <v>7140</v>
      </c>
      <c r="C4552" s="226">
        <v>590101</v>
      </c>
      <c r="D4552" s="225" t="s">
        <v>7141</v>
      </c>
      <c r="E4552" s="225" t="s">
        <v>580</v>
      </c>
    </row>
    <row r="4553" spans="2:5" ht="15.75" thickBot="1">
      <c r="B4553" s="225" t="s">
        <v>7142</v>
      </c>
      <c r="C4553" s="226">
        <v>500426</v>
      </c>
      <c r="D4553" s="225" t="s">
        <v>597</v>
      </c>
      <c r="E4553" s="225" t="s">
        <v>683</v>
      </c>
    </row>
    <row r="4554" spans="2:5" ht="15.75" thickBot="1">
      <c r="B4554" s="225" t="s">
        <v>7143</v>
      </c>
      <c r="C4554" s="226">
        <v>513216</v>
      </c>
      <c r="D4554" s="225" t="s">
        <v>7144</v>
      </c>
      <c r="E4554" s="225" t="s">
        <v>629</v>
      </c>
    </row>
    <row r="4555" spans="2:5" ht="15.75" thickBot="1">
      <c r="B4555" s="225" t="s">
        <v>7145</v>
      </c>
      <c r="C4555" s="226">
        <v>532729</v>
      </c>
      <c r="D4555" s="225" t="s">
        <v>7146</v>
      </c>
      <c r="E4555" s="225" t="s">
        <v>1296</v>
      </c>
    </row>
    <row r="4556" spans="2:5" ht="15.75" thickBot="1">
      <c r="B4556" s="225" t="s">
        <v>7147</v>
      </c>
      <c r="C4556" s="226">
        <v>500254</v>
      </c>
      <c r="D4556" s="225" t="s">
        <v>7148</v>
      </c>
      <c r="E4556" s="225" t="s">
        <v>629</v>
      </c>
    </row>
    <row r="4557" spans="2:5" ht="15.75" thickBot="1">
      <c r="B4557" s="225" t="s">
        <v>7149</v>
      </c>
      <c r="C4557" s="226">
        <v>511110</v>
      </c>
      <c r="D4557" s="225" t="s">
        <v>597</v>
      </c>
      <c r="E4557" s="225" t="s">
        <v>580</v>
      </c>
    </row>
    <row r="4558" spans="2:5" ht="15.75" thickBot="1">
      <c r="B4558" s="225" t="s">
        <v>7150</v>
      </c>
      <c r="C4558" s="226">
        <v>539123</v>
      </c>
      <c r="D4558" s="225" t="s">
        <v>597</v>
      </c>
      <c r="E4558" s="225" t="s">
        <v>617</v>
      </c>
    </row>
    <row r="4559" spans="2:5" ht="15.75" thickBot="1">
      <c r="B4559" s="225" t="s">
        <v>7151</v>
      </c>
      <c r="C4559" s="226">
        <v>542654</v>
      </c>
      <c r="D4559" s="225" t="s">
        <v>7152</v>
      </c>
      <c r="E4559" s="225" t="s">
        <v>598</v>
      </c>
    </row>
    <row r="4560" spans="2:5" ht="15.75" thickBot="1">
      <c r="B4560" s="225" t="s">
        <v>7153</v>
      </c>
      <c r="C4560" s="226">
        <v>523888</v>
      </c>
      <c r="D4560" s="225" t="s">
        <v>597</v>
      </c>
      <c r="E4560" s="225" t="s">
        <v>1077</v>
      </c>
    </row>
    <row r="4561" spans="2:5" ht="15.75" thickBot="1">
      <c r="B4561" s="225" t="s">
        <v>7154</v>
      </c>
      <c r="C4561" s="226">
        <v>531266</v>
      </c>
      <c r="D4561" s="225" t="s">
        <v>7155</v>
      </c>
      <c r="E4561" s="225" t="s">
        <v>675</v>
      </c>
    </row>
    <row r="4562" spans="2:5" ht="15.75" thickBot="1">
      <c r="B4562" s="225" t="s">
        <v>7156</v>
      </c>
      <c r="C4562" s="226">
        <v>532867</v>
      </c>
      <c r="D4562" s="225" t="s">
        <v>7157</v>
      </c>
      <c r="E4562" s="225" t="s">
        <v>766</v>
      </c>
    </row>
    <row r="4563" spans="2:5" ht="15.75" thickBot="1">
      <c r="B4563" s="225" t="s">
        <v>7158</v>
      </c>
      <c r="C4563" s="226">
        <v>533269</v>
      </c>
      <c r="D4563" s="225" t="s">
        <v>7159</v>
      </c>
      <c r="E4563" s="225" t="s">
        <v>622</v>
      </c>
    </row>
    <row r="4564" spans="2:5" ht="15.75" thickBot="1">
      <c r="B4564" s="225" t="s">
        <v>7160</v>
      </c>
      <c r="C4564" s="226">
        <v>532320</v>
      </c>
      <c r="D4564" s="225" t="s">
        <v>597</v>
      </c>
      <c r="E4564" s="225" t="s">
        <v>614</v>
      </c>
    </row>
    <row r="4565" spans="2:5" ht="15.75" thickBot="1">
      <c r="B4565" s="225" t="s">
        <v>7161</v>
      </c>
      <c r="C4565" s="226">
        <v>519152</v>
      </c>
      <c r="D4565" s="225" t="s">
        <v>597</v>
      </c>
      <c r="E4565" s="225" t="s">
        <v>619</v>
      </c>
    </row>
    <row r="4566" spans="2:5" ht="15.75" thickBot="1">
      <c r="B4566" s="225" t="s">
        <v>7162</v>
      </c>
      <c r="C4566" s="226">
        <v>519156</v>
      </c>
      <c r="D4566" s="225" t="s">
        <v>7163</v>
      </c>
      <c r="E4566" s="225" t="s">
        <v>657</v>
      </c>
    </row>
    <row r="4567" spans="2:5" ht="15.75" thickBot="1">
      <c r="B4567" s="225" t="s">
        <v>7164</v>
      </c>
      <c r="C4567" s="225" t="s">
        <v>597</v>
      </c>
      <c r="D4567" s="225" t="s">
        <v>7165</v>
      </c>
      <c r="E4567" s="225" t="s">
        <v>608</v>
      </c>
    </row>
    <row r="4568" spans="2:5" ht="15.75" thickBot="1">
      <c r="B4568" s="225" t="s">
        <v>7166</v>
      </c>
      <c r="C4568" s="226">
        <v>531676</v>
      </c>
      <c r="D4568" s="225" t="s">
        <v>597</v>
      </c>
      <c r="E4568" s="225" t="s">
        <v>657</v>
      </c>
    </row>
    <row r="4569" spans="2:5" ht="15.75" thickBot="1">
      <c r="B4569" s="225" t="s">
        <v>7167</v>
      </c>
      <c r="C4569" s="226">
        <v>532156</v>
      </c>
      <c r="D4569" s="225" t="s">
        <v>7168</v>
      </c>
      <c r="E4569" s="225" t="s">
        <v>711</v>
      </c>
    </row>
    <row r="4570" spans="2:5" ht="15.75" thickBot="1">
      <c r="B4570" s="225" t="s">
        <v>7169</v>
      </c>
      <c r="C4570" s="225" t="s">
        <v>597</v>
      </c>
      <c r="D4570" s="225" t="s">
        <v>7170</v>
      </c>
      <c r="E4570" s="225" t="s">
        <v>608</v>
      </c>
    </row>
    <row r="4571" spans="2:5" ht="15.75" thickBot="1">
      <c r="B4571" s="225" t="s">
        <v>7171</v>
      </c>
      <c r="C4571" s="226">
        <v>511431</v>
      </c>
      <c r="D4571" s="225" t="s">
        <v>7172</v>
      </c>
      <c r="E4571" s="225" t="s">
        <v>598</v>
      </c>
    </row>
    <row r="4572" spans="2:5" ht="15.75" thickBot="1">
      <c r="B4572" s="225" t="s">
        <v>7173</v>
      </c>
      <c r="C4572" s="226">
        <v>539402</v>
      </c>
      <c r="D4572" s="225" t="s">
        <v>597</v>
      </c>
      <c r="E4572" s="225" t="s">
        <v>795</v>
      </c>
    </row>
    <row r="4573" spans="2:5" ht="15.75" thickBot="1">
      <c r="B4573" s="225" t="s">
        <v>7174</v>
      </c>
      <c r="C4573" s="226">
        <v>526775</v>
      </c>
      <c r="D4573" s="225" t="s">
        <v>597</v>
      </c>
      <c r="E4573" s="225" t="s">
        <v>743</v>
      </c>
    </row>
    <row r="4574" spans="2:5" ht="15.75" thickBot="1">
      <c r="B4574" s="225" t="s">
        <v>7175</v>
      </c>
      <c r="C4574" s="226">
        <v>540145</v>
      </c>
      <c r="D4574" s="225" t="s">
        <v>597</v>
      </c>
      <c r="E4574" s="225" t="s">
        <v>635</v>
      </c>
    </row>
    <row r="4575" spans="2:5" ht="15.75" thickBot="1">
      <c r="B4575" s="225" t="s">
        <v>7176</v>
      </c>
      <c r="C4575" s="226">
        <v>530403</v>
      </c>
      <c r="D4575" s="225" t="s">
        <v>597</v>
      </c>
      <c r="E4575" s="225" t="s">
        <v>792</v>
      </c>
    </row>
    <row r="4576" spans="2:5" ht="15.75" thickBot="1">
      <c r="B4576" s="225" t="s">
        <v>7177</v>
      </c>
      <c r="C4576" s="226">
        <v>513397</v>
      </c>
      <c r="D4576" s="225" t="s">
        <v>597</v>
      </c>
      <c r="E4576" s="225" t="s">
        <v>920</v>
      </c>
    </row>
    <row r="4577" spans="2:5" ht="15.75" thickBot="1">
      <c r="B4577" s="225" t="s">
        <v>7178</v>
      </c>
      <c r="C4577" s="226">
        <v>539543</v>
      </c>
      <c r="D4577" s="225" t="s">
        <v>597</v>
      </c>
      <c r="E4577" s="225" t="s">
        <v>617</v>
      </c>
    </row>
    <row r="4578" spans="2:5" ht="15.75" thickBot="1">
      <c r="B4578" s="225" t="s">
        <v>7179</v>
      </c>
      <c r="C4578" s="226">
        <v>530459</v>
      </c>
      <c r="D4578" s="225" t="s">
        <v>597</v>
      </c>
      <c r="E4578" s="225" t="s">
        <v>612</v>
      </c>
    </row>
    <row r="4579" spans="2:5" ht="15.75" thickBot="1">
      <c r="B4579" s="225" t="s">
        <v>7180</v>
      </c>
      <c r="C4579" s="226">
        <v>512175</v>
      </c>
      <c r="D4579" s="225" t="s">
        <v>597</v>
      </c>
      <c r="E4579" s="225" t="s">
        <v>583</v>
      </c>
    </row>
    <row r="4580" spans="2:5" ht="15.75" thickBot="1">
      <c r="B4580" s="225" t="s">
        <v>7181</v>
      </c>
      <c r="C4580" s="226">
        <v>530369</v>
      </c>
      <c r="D4580" s="225" t="s">
        <v>597</v>
      </c>
      <c r="E4580" s="225" t="s">
        <v>1077</v>
      </c>
    </row>
    <row r="4581" spans="2:5" ht="15.75" thickBot="1">
      <c r="B4581" s="225" t="s">
        <v>7182</v>
      </c>
      <c r="C4581" s="226">
        <v>532090</v>
      </c>
      <c r="D4581" s="225" t="s">
        <v>597</v>
      </c>
      <c r="E4581" s="225" t="s">
        <v>612</v>
      </c>
    </row>
    <row r="4582" spans="2:5" ht="15.75" thickBot="1">
      <c r="B4582" s="225" t="s">
        <v>7183</v>
      </c>
      <c r="C4582" s="226">
        <v>538918</v>
      </c>
      <c r="D4582" s="225" t="s">
        <v>597</v>
      </c>
      <c r="E4582" s="225" t="s">
        <v>614</v>
      </c>
    </row>
    <row r="4583" spans="2:5" ht="15.75" thickBot="1">
      <c r="B4583" s="225" t="s">
        <v>7184</v>
      </c>
      <c r="C4583" s="226">
        <v>540729</v>
      </c>
      <c r="D4583" s="225" t="s">
        <v>597</v>
      </c>
      <c r="E4583" s="225" t="s">
        <v>635</v>
      </c>
    </row>
    <row r="4584" spans="2:5" ht="15.75" thickBot="1">
      <c r="B4584" s="225" t="s">
        <v>7185</v>
      </c>
      <c r="C4584" s="226">
        <v>539761</v>
      </c>
      <c r="D4584" s="225" t="s">
        <v>597</v>
      </c>
      <c r="E4584" s="225" t="s">
        <v>702</v>
      </c>
    </row>
    <row r="4585" spans="2:5" ht="15.75" thickBot="1">
      <c r="B4585" s="225" t="s">
        <v>7186</v>
      </c>
      <c r="C4585" s="226">
        <v>502589</v>
      </c>
      <c r="D4585" s="225" t="s">
        <v>597</v>
      </c>
      <c r="E4585" s="225" t="s">
        <v>591</v>
      </c>
    </row>
    <row r="4586" spans="2:5" ht="15.75" thickBot="1">
      <c r="B4586" s="225" t="s">
        <v>7187</v>
      </c>
      <c r="C4586" s="226">
        <v>524796</v>
      </c>
      <c r="D4586" s="225" t="s">
        <v>597</v>
      </c>
      <c r="E4586" s="225" t="s">
        <v>635</v>
      </c>
    </row>
    <row r="4587" spans="2:5" ht="15.75" thickBot="1">
      <c r="B4587" s="225" t="s">
        <v>7188</v>
      </c>
      <c r="C4587" s="225" t="s">
        <v>597</v>
      </c>
      <c r="D4587" s="225" t="s">
        <v>7189</v>
      </c>
      <c r="E4587" s="225" t="s">
        <v>688</v>
      </c>
    </row>
    <row r="4588" spans="2:5" ht="15.75" thickBot="1">
      <c r="B4588" s="225" t="s">
        <v>7190</v>
      </c>
      <c r="C4588" s="226">
        <v>531444</v>
      </c>
      <c r="D4588" s="225" t="s">
        <v>597</v>
      </c>
      <c r="E4588" s="225" t="s">
        <v>610</v>
      </c>
    </row>
    <row r="4589" spans="2:5" ht="15.75" thickBot="1">
      <c r="B4589" s="225" t="s">
        <v>7191</v>
      </c>
      <c r="C4589" s="226">
        <v>500439</v>
      </c>
      <c r="D4589" s="225" t="s">
        <v>7192</v>
      </c>
      <c r="E4589" s="225" t="s">
        <v>614</v>
      </c>
    </row>
    <row r="4590" spans="2:5" ht="15.75" thickBot="1">
      <c r="B4590" s="225" t="s">
        <v>7193</v>
      </c>
      <c r="C4590" s="226">
        <v>513534</v>
      </c>
      <c r="D4590" s="225" t="s">
        <v>597</v>
      </c>
      <c r="E4590" s="225" t="s">
        <v>629</v>
      </c>
    </row>
    <row r="4591" spans="2:5" ht="15.75" thickBot="1">
      <c r="B4591" s="225" t="s">
        <v>7194</v>
      </c>
      <c r="C4591" s="226">
        <v>514175</v>
      </c>
      <c r="D4591" s="225" t="s">
        <v>7195</v>
      </c>
      <c r="E4591" s="225" t="s">
        <v>612</v>
      </c>
    </row>
    <row r="4592" spans="2:5" ht="15.75" thickBot="1">
      <c r="B4592" s="225" t="s">
        <v>7196</v>
      </c>
      <c r="C4592" s="226">
        <v>534392</v>
      </c>
      <c r="D4592" s="225" t="s">
        <v>7197</v>
      </c>
      <c r="E4592" s="225" t="s">
        <v>920</v>
      </c>
    </row>
    <row r="4593" spans="2:5" ht="15.75" thickBot="1">
      <c r="B4593" s="225" t="s">
        <v>7198</v>
      </c>
      <c r="C4593" s="226">
        <v>502986</v>
      </c>
      <c r="D4593" s="225" t="s">
        <v>7199</v>
      </c>
      <c r="E4593" s="225" t="s">
        <v>612</v>
      </c>
    </row>
    <row r="4594" spans="2:5" ht="15.75" thickBot="1">
      <c r="B4594" s="225" t="s">
        <v>7200</v>
      </c>
      <c r="C4594" s="226">
        <v>541578</v>
      </c>
      <c r="D4594" s="225" t="s">
        <v>7201</v>
      </c>
      <c r="E4594" s="225" t="s">
        <v>952</v>
      </c>
    </row>
    <row r="4595" spans="2:5" ht="15.75" thickBot="1">
      <c r="B4595" s="225" t="s">
        <v>7202</v>
      </c>
      <c r="C4595" s="226">
        <v>540180</v>
      </c>
      <c r="D4595" s="225" t="s">
        <v>7203</v>
      </c>
      <c r="E4595" s="225" t="s">
        <v>792</v>
      </c>
    </row>
    <row r="4596" spans="2:5" ht="15.75" thickBot="1">
      <c r="B4596" s="225" t="s">
        <v>7204</v>
      </c>
      <c r="C4596" s="226">
        <v>512511</v>
      </c>
      <c r="D4596" s="225" t="s">
        <v>597</v>
      </c>
      <c r="E4596" s="225" t="s">
        <v>1018</v>
      </c>
    </row>
    <row r="4597" spans="2:5" ht="15.75" thickBot="1">
      <c r="B4597" s="225" t="s">
        <v>7205</v>
      </c>
      <c r="C4597" s="226">
        <v>531574</v>
      </c>
      <c r="D4597" s="225" t="s">
        <v>597</v>
      </c>
      <c r="E4597" s="225" t="s">
        <v>683</v>
      </c>
    </row>
    <row r="4598" spans="2:5" ht="15.75" thickBot="1">
      <c r="B4598" s="225" t="s">
        <v>7206</v>
      </c>
      <c r="C4598" s="225" t="s">
        <v>597</v>
      </c>
      <c r="D4598" s="225" t="s">
        <v>7207</v>
      </c>
      <c r="E4598" s="225" t="s">
        <v>608</v>
      </c>
    </row>
    <row r="4599" spans="2:5" ht="15.75" thickBot="1">
      <c r="B4599" s="225" t="s">
        <v>7208</v>
      </c>
      <c r="C4599" s="226">
        <v>533156</v>
      </c>
      <c r="D4599" s="225" t="s">
        <v>7209</v>
      </c>
      <c r="E4599" s="225" t="s">
        <v>683</v>
      </c>
    </row>
    <row r="4600" spans="2:5" ht="15.75" thickBot="1">
      <c r="B4600" s="225" t="s">
        <v>7210</v>
      </c>
      <c r="C4600" s="226">
        <v>538634</v>
      </c>
      <c r="D4600" s="225" t="s">
        <v>597</v>
      </c>
      <c r="E4600" s="225" t="s">
        <v>635</v>
      </c>
    </row>
    <row r="4601" spans="2:5" ht="15.75" thickBot="1">
      <c r="B4601" s="225" t="s">
        <v>7211</v>
      </c>
      <c r="C4601" s="226">
        <v>533576</v>
      </c>
      <c r="D4601" s="225" t="s">
        <v>7212</v>
      </c>
      <c r="E4601" s="225" t="s">
        <v>629</v>
      </c>
    </row>
    <row r="4602" spans="2:5" ht="15.75" thickBot="1">
      <c r="B4602" s="225" t="s">
        <v>7213</v>
      </c>
      <c r="C4602" s="226">
        <v>531650</v>
      </c>
      <c r="D4602" s="225" t="s">
        <v>597</v>
      </c>
      <c r="E4602" s="225" t="s">
        <v>1018</v>
      </c>
    </row>
    <row r="4603" spans="2:5" ht="15.75" thickBot="1">
      <c r="B4603" s="225" t="s">
        <v>7214</v>
      </c>
      <c r="C4603" s="226">
        <v>513005</v>
      </c>
      <c r="D4603" s="225" t="s">
        <v>597</v>
      </c>
      <c r="E4603" s="225" t="s">
        <v>629</v>
      </c>
    </row>
    <row r="4604" spans="2:5" ht="15.75" thickBot="1">
      <c r="B4604" s="225" t="s">
        <v>7215</v>
      </c>
      <c r="C4604" s="226">
        <v>511493</v>
      </c>
      <c r="D4604" s="225" t="s">
        <v>597</v>
      </c>
      <c r="E4604" s="225" t="s">
        <v>614</v>
      </c>
    </row>
    <row r="4605" spans="2:5" ht="15.75" thickBot="1">
      <c r="B4605" s="225" t="s">
        <v>7216</v>
      </c>
      <c r="C4605" s="226">
        <v>536672</v>
      </c>
      <c r="D4605" s="225" t="s">
        <v>597</v>
      </c>
      <c r="E4605" s="225" t="s">
        <v>2223</v>
      </c>
    </row>
    <row r="4606" spans="2:5" ht="15.75" thickBot="1">
      <c r="B4606" s="225" t="s">
        <v>7217</v>
      </c>
      <c r="C4606" s="226">
        <v>500295</v>
      </c>
      <c r="D4606" s="225" t="s">
        <v>7218</v>
      </c>
      <c r="E4606" s="225" t="s">
        <v>3112</v>
      </c>
    </row>
    <row r="4607" spans="2:5" ht="15.75" thickBot="1">
      <c r="B4607" s="225" t="s">
        <v>7219</v>
      </c>
      <c r="C4607" s="226">
        <v>533056</v>
      </c>
      <c r="D4607" s="225" t="s">
        <v>597</v>
      </c>
      <c r="E4607" s="225" t="s">
        <v>603</v>
      </c>
    </row>
    <row r="4608" spans="2:5" ht="15.75" thickBot="1">
      <c r="B4608" s="225" t="s">
        <v>7220</v>
      </c>
      <c r="C4608" s="226">
        <v>522267</v>
      </c>
      <c r="D4608" s="225" t="s">
        <v>597</v>
      </c>
      <c r="E4608" s="225" t="s">
        <v>605</v>
      </c>
    </row>
    <row r="4609" spans="2:5" ht="15.75" thickBot="1">
      <c r="B4609" s="225" t="s">
        <v>7221</v>
      </c>
      <c r="C4609" s="226">
        <v>503657</v>
      </c>
      <c r="D4609" s="225" t="s">
        <v>597</v>
      </c>
      <c r="E4609" s="225" t="s">
        <v>736</v>
      </c>
    </row>
    <row r="4610" spans="2:5" ht="15.75" thickBot="1">
      <c r="B4610" s="225" t="s">
        <v>7222</v>
      </c>
      <c r="C4610" s="226">
        <v>542046</v>
      </c>
      <c r="D4610" s="225" t="s">
        <v>597</v>
      </c>
      <c r="E4610" s="225" t="s">
        <v>683</v>
      </c>
    </row>
    <row r="4611" spans="2:5" ht="15.75" thickBot="1">
      <c r="B4611" s="225" t="s">
        <v>7223</v>
      </c>
      <c r="C4611" s="226">
        <v>540252</v>
      </c>
      <c r="D4611" s="225" t="s">
        <v>597</v>
      </c>
      <c r="E4611" s="225" t="s">
        <v>711</v>
      </c>
    </row>
    <row r="4612" spans="2:5" ht="15.75" thickBot="1">
      <c r="B4612" s="225" t="s">
        <v>7224</v>
      </c>
      <c r="C4612" s="226">
        <v>511523</v>
      </c>
      <c r="D4612" s="225" t="s">
        <v>597</v>
      </c>
      <c r="E4612" s="225" t="s">
        <v>635</v>
      </c>
    </row>
    <row r="4613" spans="2:5" ht="15.75" thickBot="1">
      <c r="B4613" s="225" t="s">
        <v>7225</v>
      </c>
      <c r="C4613" s="226">
        <v>539132</v>
      </c>
      <c r="D4613" s="225" t="s">
        <v>597</v>
      </c>
      <c r="E4613" s="225" t="s">
        <v>846</v>
      </c>
    </row>
    <row r="4614" spans="2:5" ht="15.75" thickBot="1">
      <c r="B4614" s="225" t="s">
        <v>7226</v>
      </c>
      <c r="C4614" s="226">
        <v>526755</v>
      </c>
      <c r="D4614" s="225" t="s">
        <v>597</v>
      </c>
      <c r="E4614" s="225" t="s">
        <v>798</v>
      </c>
    </row>
    <row r="4615" spans="2:5" ht="15.75" thickBot="1">
      <c r="B4615" s="225" t="s">
        <v>7227</v>
      </c>
      <c r="C4615" s="226">
        <v>505232</v>
      </c>
      <c r="D4615" s="225" t="s">
        <v>597</v>
      </c>
      <c r="E4615" s="225" t="s">
        <v>952</v>
      </c>
    </row>
    <row r="4616" spans="2:5" ht="15.75" thickBot="1">
      <c r="B4616" s="225" t="s">
        <v>7228</v>
      </c>
      <c r="C4616" s="226">
        <v>523261</v>
      </c>
      <c r="D4616" s="225" t="s">
        <v>7229</v>
      </c>
      <c r="E4616" s="225" t="s">
        <v>657</v>
      </c>
    </row>
    <row r="4617" spans="2:5" ht="15.75" thickBot="1">
      <c r="B4617" s="225" t="s">
        <v>7230</v>
      </c>
      <c r="C4617" s="226">
        <v>523261</v>
      </c>
      <c r="D4617" s="225" t="s">
        <v>7229</v>
      </c>
      <c r="E4617" s="225" t="s">
        <v>657</v>
      </c>
    </row>
    <row r="4618" spans="2:5" ht="15.75" thickBot="1">
      <c r="B4618" s="225" t="s">
        <v>7231</v>
      </c>
      <c r="C4618" s="226">
        <v>524038</v>
      </c>
      <c r="D4618" s="225" t="s">
        <v>597</v>
      </c>
      <c r="E4618" s="225" t="s">
        <v>645</v>
      </c>
    </row>
    <row r="4619" spans="2:5" ht="15.75" thickBot="1">
      <c r="B4619" s="225" t="s">
        <v>7232</v>
      </c>
      <c r="C4619" s="226">
        <v>512060</v>
      </c>
      <c r="D4619" s="225" t="s">
        <v>7233</v>
      </c>
      <c r="E4619" s="225" t="s">
        <v>1018</v>
      </c>
    </row>
    <row r="4620" spans="2:5" ht="15.75" thickBot="1">
      <c r="B4620" s="225" t="s">
        <v>7234</v>
      </c>
      <c r="C4620" s="226">
        <v>516098</v>
      </c>
      <c r="D4620" s="225" t="s">
        <v>597</v>
      </c>
      <c r="E4620" s="225" t="s">
        <v>612</v>
      </c>
    </row>
    <row r="4621" spans="2:5" ht="15.75" thickBot="1">
      <c r="B4621" s="225" t="s">
        <v>7235</v>
      </c>
      <c r="C4621" s="226">
        <v>526953</v>
      </c>
      <c r="D4621" s="225" t="s">
        <v>7236</v>
      </c>
      <c r="E4621" s="225" t="s">
        <v>635</v>
      </c>
    </row>
    <row r="4622" spans="2:5" ht="15.75" thickBot="1">
      <c r="B4622" s="225" t="s">
        <v>7237</v>
      </c>
      <c r="C4622" s="225" t="s">
        <v>597</v>
      </c>
      <c r="D4622" s="225" t="s">
        <v>7238</v>
      </c>
      <c r="E4622" s="225" t="s">
        <v>608</v>
      </c>
    </row>
    <row r="4623" spans="2:5" ht="15.75" thickBot="1">
      <c r="B4623" s="225" t="s">
        <v>7239</v>
      </c>
      <c r="C4623" s="226">
        <v>512229</v>
      </c>
      <c r="D4623" s="225" t="s">
        <v>597</v>
      </c>
      <c r="E4623" s="225" t="s">
        <v>619</v>
      </c>
    </row>
    <row r="4624" spans="2:5" ht="15.75" thickBot="1">
      <c r="B4624" s="225" t="s">
        <v>7240</v>
      </c>
      <c r="C4624" s="226">
        <v>512229</v>
      </c>
      <c r="D4624" s="225" t="s">
        <v>597</v>
      </c>
      <c r="E4624" s="225" t="s">
        <v>619</v>
      </c>
    </row>
    <row r="4625" spans="2:5" ht="15.75" thickBot="1">
      <c r="B4625" s="225" t="s">
        <v>7241</v>
      </c>
      <c r="C4625" s="226">
        <v>531695</v>
      </c>
      <c r="D4625" s="225" t="s">
        <v>597</v>
      </c>
      <c r="E4625" s="225" t="s">
        <v>600</v>
      </c>
    </row>
    <row r="4626" spans="2:5" ht="15.75" thickBot="1">
      <c r="B4626" s="225" t="s">
        <v>7242</v>
      </c>
      <c r="C4626" s="226">
        <v>531950</v>
      </c>
      <c r="D4626" s="225" t="s">
        <v>597</v>
      </c>
      <c r="E4626" s="225" t="s">
        <v>580</v>
      </c>
    </row>
    <row r="4627" spans="2:5" ht="15.75" thickBot="1">
      <c r="B4627" s="225" t="s">
        <v>7243</v>
      </c>
      <c r="C4627" s="226">
        <v>515099</v>
      </c>
      <c r="D4627" s="225" t="s">
        <v>597</v>
      </c>
      <c r="E4627" s="225" t="s">
        <v>1125</v>
      </c>
    </row>
    <row r="4628" spans="2:5" ht="15.75" thickBot="1">
      <c r="B4628" s="225" t="s">
        <v>7244</v>
      </c>
      <c r="C4628" s="225" t="s">
        <v>597</v>
      </c>
      <c r="D4628" s="225" t="s">
        <v>7245</v>
      </c>
      <c r="E4628" s="225" t="s">
        <v>608</v>
      </c>
    </row>
    <row r="4629" spans="2:5" ht="15.75" thickBot="1">
      <c r="B4629" s="225" t="s">
        <v>7246</v>
      </c>
      <c r="C4629" s="226">
        <v>520113</v>
      </c>
      <c r="D4629" s="225" t="s">
        <v>7247</v>
      </c>
      <c r="E4629" s="225" t="s">
        <v>782</v>
      </c>
    </row>
    <row r="4630" spans="2:5" ht="15.75" thickBot="1">
      <c r="B4630" s="225" t="s">
        <v>7248</v>
      </c>
      <c r="C4630" s="226">
        <v>520113</v>
      </c>
      <c r="D4630" s="225" t="s">
        <v>7247</v>
      </c>
      <c r="E4630" s="225" t="s">
        <v>782</v>
      </c>
    </row>
    <row r="4631" spans="2:5" ht="15.75" thickBot="1">
      <c r="B4631" s="225" t="s">
        <v>7249</v>
      </c>
      <c r="C4631" s="226">
        <v>539331</v>
      </c>
      <c r="D4631" s="225" t="s">
        <v>7250</v>
      </c>
      <c r="E4631" s="225" t="s">
        <v>895</v>
      </c>
    </row>
    <row r="4632" spans="2:5" ht="15.75" thickBot="1">
      <c r="B4632" s="225" t="s">
        <v>7251</v>
      </c>
      <c r="C4632" s="226">
        <v>532953</v>
      </c>
      <c r="D4632" s="225" t="s">
        <v>7252</v>
      </c>
      <c r="E4632" s="225" t="s">
        <v>895</v>
      </c>
    </row>
    <row r="4633" spans="2:5" ht="15.75" thickBot="1">
      <c r="B4633" s="225" t="s">
        <v>7253</v>
      </c>
      <c r="C4633" s="226">
        <v>537524</v>
      </c>
      <c r="D4633" s="225" t="s">
        <v>597</v>
      </c>
      <c r="E4633" s="225" t="s">
        <v>1643</v>
      </c>
    </row>
    <row r="4634" spans="2:5" ht="15.75" thickBot="1">
      <c r="B4634" s="225" t="s">
        <v>7254</v>
      </c>
      <c r="C4634" s="226">
        <v>538732</v>
      </c>
      <c r="D4634" s="225" t="s">
        <v>597</v>
      </c>
      <c r="E4634" s="225" t="s">
        <v>614</v>
      </c>
    </row>
    <row r="4635" spans="2:5" ht="15.75" thickBot="1">
      <c r="B4635" s="225" t="s">
        <v>7255</v>
      </c>
      <c r="C4635" s="226">
        <v>523796</v>
      </c>
      <c r="D4635" s="225" t="s">
        <v>7256</v>
      </c>
      <c r="E4635" s="225" t="s">
        <v>798</v>
      </c>
    </row>
    <row r="4636" spans="2:5" ht="15.75" thickBot="1">
      <c r="B4636" s="225" t="s">
        <v>7257</v>
      </c>
      <c r="C4636" s="226">
        <v>503349</v>
      </c>
      <c r="D4636" s="225" t="s">
        <v>597</v>
      </c>
      <c r="E4636" s="225" t="s">
        <v>612</v>
      </c>
    </row>
    <row r="4637" spans="2:5" ht="15.75" thickBot="1">
      <c r="B4637" s="225" t="s">
        <v>7258</v>
      </c>
      <c r="C4637" s="226">
        <v>531234</v>
      </c>
      <c r="D4637" s="225" t="s">
        <v>597</v>
      </c>
      <c r="E4637" s="225" t="s">
        <v>591</v>
      </c>
    </row>
    <row r="4638" spans="2:5" ht="15.75" thickBot="1">
      <c r="B4638" s="225" t="s">
        <v>7259</v>
      </c>
      <c r="C4638" s="226">
        <v>531234</v>
      </c>
      <c r="D4638" s="225" t="s">
        <v>597</v>
      </c>
      <c r="E4638" s="225" t="s">
        <v>591</v>
      </c>
    </row>
    <row r="4639" spans="2:5" ht="15.75" thickBot="1">
      <c r="B4639" s="225" t="s">
        <v>7260</v>
      </c>
      <c r="C4639" s="226">
        <v>511389</v>
      </c>
      <c r="D4639" s="225" t="s">
        <v>7261</v>
      </c>
      <c r="E4639" s="225" t="s">
        <v>966</v>
      </c>
    </row>
    <row r="4640" spans="2:5" ht="15.75" thickBot="1">
      <c r="B4640" s="225" t="s">
        <v>7262</v>
      </c>
      <c r="C4640" s="226">
        <v>531717</v>
      </c>
      <c r="D4640" s="225" t="s">
        <v>7263</v>
      </c>
      <c r="E4640" s="225" t="s">
        <v>757</v>
      </c>
    </row>
    <row r="4641" spans="2:5" ht="15.75" thickBot="1">
      <c r="B4641" s="225" t="s">
        <v>7264</v>
      </c>
      <c r="C4641" s="226">
        <v>539659</v>
      </c>
      <c r="D4641" s="225" t="s">
        <v>597</v>
      </c>
      <c r="E4641" s="225" t="s">
        <v>1086</v>
      </c>
    </row>
    <row r="4642" spans="2:5" ht="15.75" thickBot="1">
      <c r="B4642" s="225" t="s">
        <v>7265</v>
      </c>
      <c r="C4642" s="226">
        <v>523724</v>
      </c>
      <c r="D4642" s="225" t="s">
        <v>7266</v>
      </c>
      <c r="E4642" s="225" t="s">
        <v>683</v>
      </c>
    </row>
    <row r="4643" spans="2:5" ht="15.75" thickBot="1">
      <c r="B4643" s="225" t="s">
        <v>7267</v>
      </c>
      <c r="C4643" s="226">
        <v>531069</v>
      </c>
      <c r="D4643" s="225" t="s">
        <v>597</v>
      </c>
      <c r="E4643" s="225" t="s">
        <v>846</v>
      </c>
    </row>
    <row r="4644" spans="2:5" ht="15.75" thickBot="1">
      <c r="B4644" s="225" t="s">
        <v>7268</v>
      </c>
      <c r="C4644" s="226">
        <v>530151</v>
      </c>
      <c r="D4644" s="225" t="s">
        <v>597</v>
      </c>
      <c r="E4644" s="225" t="s">
        <v>619</v>
      </c>
    </row>
    <row r="4645" spans="2:5" ht="15.75" thickBot="1">
      <c r="B4645" s="225" t="s">
        <v>7269</v>
      </c>
      <c r="C4645" s="226">
        <v>532401</v>
      </c>
      <c r="D4645" s="225" t="s">
        <v>7270</v>
      </c>
      <c r="E4645" s="225" t="s">
        <v>915</v>
      </c>
    </row>
    <row r="4646" spans="2:5" ht="15.75" thickBot="1">
      <c r="B4646" s="225" t="s">
        <v>7271</v>
      </c>
      <c r="C4646" s="226">
        <v>537820</v>
      </c>
      <c r="D4646" s="225" t="s">
        <v>7272</v>
      </c>
      <c r="E4646" s="225" t="s">
        <v>614</v>
      </c>
    </row>
    <row r="4647" spans="2:5" ht="15.75" thickBot="1">
      <c r="B4647" s="225" t="s">
        <v>7273</v>
      </c>
      <c r="C4647" s="226">
        <v>531334</v>
      </c>
      <c r="D4647" s="225" t="s">
        <v>597</v>
      </c>
      <c r="E4647" s="225" t="s">
        <v>1018</v>
      </c>
    </row>
    <row r="4648" spans="2:5" ht="15.75" thickBot="1">
      <c r="B4648" s="225" t="s">
        <v>7274</v>
      </c>
      <c r="C4648" s="226">
        <v>530961</v>
      </c>
      <c r="D4648" s="225" t="s">
        <v>7275</v>
      </c>
      <c r="E4648" s="225" t="s">
        <v>757</v>
      </c>
    </row>
    <row r="4649" spans="2:5" ht="15.75" thickBot="1">
      <c r="B4649" s="225" t="s">
        <v>7276</v>
      </c>
      <c r="C4649" s="226">
        <v>542655</v>
      </c>
      <c r="D4649" s="225" t="s">
        <v>7277</v>
      </c>
      <c r="E4649" s="225" t="s">
        <v>963</v>
      </c>
    </row>
    <row r="4650" spans="2:5" ht="15.75" thickBot="1">
      <c r="B4650" s="225" t="s">
        <v>7278</v>
      </c>
      <c r="C4650" s="226">
        <v>531518</v>
      </c>
      <c r="D4650" s="225" t="s">
        <v>597</v>
      </c>
      <c r="E4650" s="225" t="s">
        <v>795</v>
      </c>
    </row>
    <row r="4651" spans="2:5" ht="15.75" thickBot="1">
      <c r="B4651" s="225" t="s">
        <v>7279</v>
      </c>
      <c r="C4651" s="226">
        <v>519307</v>
      </c>
      <c r="D4651" s="225" t="s">
        <v>597</v>
      </c>
      <c r="E4651" s="225" t="s">
        <v>757</v>
      </c>
    </row>
    <row r="4652" spans="2:5" ht="15.75" thickBot="1">
      <c r="B4652" s="225" t="s">
        <v>7280</v>
      </c>
      <c r="C4652" s="226">
        <v>530477</v>
      </c>
      <c r="D4652" s="225" t="s">
        <v>597</v>
      </c>
      <c r="E4652" s="225" t="s">
        <v>635</v>
      </c>
    </row>
    <row r="4653" spans="2:5" ht="15.75" thickBot="1">
      <c r="B4653" s="225" t="s">
        <v>7281</v>
      </c>
      <c r="C4653" s="226">
        <v>530477</v>
      </c>
      <c r="D4653" s="225" t="s">
        <v>597</v>
      </c>
      <c r="E4653" s="225" t="s">
        <v>635</v>
      </c>
    </row>
    <row r="4654" spans="2:5" ht="15.75" thickBot="1">
      <c r="B4654" s="225" t="s">
        <v>7282</v>
      </c>
      <c r="C4654" s="226">
        <v>506196</v>
      </c>
      <c r="D4654" s="225" t="s">
        <v>597</v>
      </c>
      <c r="E4654" s="225" t="s">
        <v>619</v>
      </c>
    </row>
    <row r="4655" spans="2:5" ht="15.75" thickBot="1">
      <c r="B4655" s="225" t="s">
        <v>7283</v>
      </c>
      <c r="C4655" s="226">
        <v>519373</v>
      </c>
      <c r="D4655" s="225" t="s">
        <v>7284</v>
      </c>
      <c r="E4655" s="225" t="s">
        <v>846</v>
      </c>
    </row>
    <row r="4656" spans="2:5" ht="15.75" thickBot="1">
      <c r="B4656" s="225" t="s">
        <v>7285</v>
      </c>
      <c r="C4656" s="226">
        <v>524394</v>
      </c>
      <c r="D4656" s="225" t="s">
        <v>7286</v>
      </c>
      <c r="E4656" s="225" t="s">
        <v>786</v>
      </c>
    </row>
    <row r="4657" spans="2:5" ht="15.75" thickBot="1">
      <c r="B4657" s="225" t="s">
        <v>7287</v>
      </c>
      <c r="C4657" s="226">
        <v>504380</v>
      </c>
      <c r="D4657" s="225" t="s">
        <v>597</v>
      </c>
      <c r="E4657" s="225" t="s">
        <v>619</v>
      </c>
    </row>
    <row r="4658" spans="2:5" ht="15.75" thickBot="1">
      <c r="B4658" s="225" t="s">
        <v>7288</v>
      </c>
      <c r="C4658" s="226">
        <v>524200</v>
      </c>
      <c r="D4658" s="225" t="s">
        <v>7289</v>
      </c>
      <c r="E4658" s="225" t="s">
        <v>645</v>
      </c>
    </row>
    <row r="4659" spans="2:5" ht="15.75" thickBot="1">
      <c r="B4659" s="225" t="s">
        <v>7290</v>
      </c>
      <c r="C4659" s="226">
        <v>534639</v>
      </c>
      <c r="D4659" s="225" t="s">
        <v>597</v>
      </c>
      <c r="E4659" s="225" t="s">
        <v>792</v>
      </c>
    </row>
    <row r="4660" spans="2:5" ht="15.75" thickBot="1">
      <c r="B4660" s="225" t="s">
        <v>7291</v>
      </c>
      <c r="C4660" s="226">
        <v>517015</v>
      </c>
      <c r="D4660" s="225" t="s">
        <v>7292</v>
      </c>
      <c r="E4660" s="225" t="s">
        <v>867</v>
      </c>
    </row>
    <row r="4661" spans="2:5" ht="15.75" thickBot="1">
      <c r="B4661" s="225" t="s">
        <v>7293</v>
      </c>
      <c r="C4661" s="225" t="s">
        <v>597</v>
      </c>
      <c r="D4661" s="225" t="s">
        <v>7294</v>
      </c>
      <c r="E4661" s="225" t="s">
        <v>608</v>
      </c>
    </row>
    <row r="4662" spans="2:5" ht="15.75" thickBot="1">
      <c r="B4662" s="225" t="s">
        <v>7295</v>
      </c>
      <c r="C4662" s="226">
        <v>531051</v>
      </c>
      <c r="D4662" s="225" t="s">
        <v>597</v>
      </c>
      <c r="E4662" s="225" t="s">
        <v>614</v>
      </c>
    </row>
    <row r="4663" spans="2:5" ht="15.75" thickBot="1">
      <c r="B4663" s="225" t="s">
        <v>7296</v>
      </c>
      <c r="C4663" s="226">
        <v>524129</v>
      </c>
      <c r="D4663" s="225" t="s">
        <v>7297</v>
      </c>
      <c r="E4663" s="225" t="s">
        <v>974</v>
      </c>
    </row>
    <row r="4664" spans="2:5" ht="15.75" thickBot="1">
      <c r="B4664" s="225" t="s">
        <v>7298</v>
      </c>
      <c r="C4664" s="226">
        <v>524129</v>
      </c>
      <c r="D4664" s="225" t="s">
        <v>7299</v>
      </c>
      <c r="E4664" s="225" t="s">
        <v>974</v>
      </c>
    </row>
    <row r="4665" spans="2:5" ht="15.75" thickBot="1">
      <c r="B4665" s="225" t="s">
        <v>7300</v>
      </c>
      <c r="C4665" s="226">
        <v>530401</v>
      </c>
      <c r="D4665" s="225" t="s">
        <v>597</v>
      </c>
      <c r="E4665" s="225" t="s">
        <v>645</v>
      </c>
    </row>
    <row r="4666" spans="2:5" ht="15.75" thickBot="1">
      <c r="B4666" s="225" t="s">
        <v>7301</v>
      </c>
      <c r="C4666" s="226">
        <v>532613</v>
      </c>
      <c r="D4666" s="225" t="s">
        <v>7302</v>
      </c>
      <c r="E4666" s="225" t="s">
        <v>619</v>
      </c>
    </row>
    <row r="4667" spans="2:5" ht="15.75" thickBot="1">
      <c r="B4667" s="225" t="s">
        <v>7303</v>
      </c>
      <c r="C4667" s="226">
        <v>507880</v>
      </c>
      <c r="D4667" s="225" t="s">
        <v>7304</v>
      </c>
      <c r="E4667" s="225" t="s">
        <v>711</v>
      </c>
    </row>
    <row r="4668" spans="2:5" ht="15.75" thickBot="1">
      <c r="B4668" s="225" t="s">
        <v>7305</v>
      </c>
      <c r="C4668" s="226">
        <v>514302</v>
      </c>
      <c r="D4668" s="225" t="s">
        <v>597</v>
      </c>
      <c r="E4668" s="225" t="s">
        <v>612</v>
      </c>
    </row>
    <row r="4669" spans="2:5" ht="15.75" thickBot="1">
      <c r="B4669" s="225" t="s">
        <v>7306</v>
      </c>
      <c r="C4669" s="226">
        <v>511726</v>
      </c>
      <c r="D4669" s="225" t="s">
        <v>7307</v>
      </c>
      <c r="E4669" s="225" t="s">
        <v>683</v>
      </c>
    </row>
    <row r="4670" spans="2:5" ht="15.75" thickBot="1">
      <c r="B4670" s="225" t="s">
        <v>7308</v>
      </c>
      <c r="C4670" s="226">
        <v>530627</v>
      </c>
      <c r="D4670" s="225" t="s">
        <v>597</v>
      </c>
      <c r="E4670" s="225" t="s">
        <v>757</v>
      </c>
    </row>
    <row r="4671" spans="2:5" ht="15.75" thickBot="1">
      <c r="B4671" s="225" t="s">
        <v>7309</v>
      </c>
      <c r="C4671" s="226">
        <v>519457</v>
      </c>
      <c r="D4671" s="225" t="s">
        <v>597</v>
      </c>
      <c r="E4671" s="225" t="s">
        <v>657</v>
      </c>
    </row>
    <row r="4672" spans="2:5" ht="15.75" thickBot="1">
      <c r="B4672" s="225" t="s">
        <v>7310</v>
      </c>
      <c r="C4672" s="226">
        <v>530521</v>
      </c>
      <c r="D4672" s="225" t="s">
        <v>597</v>
      </c>
      <c r="E4672" s="225" t="s">
        <v>711</v>
      </c>
    </row>
    <row r="4673" spans="2:5" ht="15.75" thickBot="1">
      <c r="B4673" s="225" t="s">
        <v>7311</v>
      </c>
      <c r="C4673" s="226">
        <v>539167</v>
      </c>
      <c r="D4673" s="225" t="s">
        <v>597</v>
      </c>
      <c r="E4673" s="225" t="s">
        <v>614</v>
      </c>
    </row>
    <row r="4674" spans="2:5" ht="15.75" thickBot="1">
      <c r="B4674" s="225" t="s">
        <v>7312</v>
      </c>
      <c r="C4674" s="226">
        <v>532354</v>
      </c>
      <c r="D4674" s="225" t="s">
        <v>597</v>
      </c>
      <c r="E4674" s="225" t="s">
        <v>690</v>
      </c>
    </row>
    <row r="4675" spans="2:5" ht="15.75" thickBot="1">
      <c r="B4675" s="225" t="s">
        <v>7313</v>
      </c>
      <c r="C4675" s="226">
        <v>532372</v>
      </c>
      <c r="D4675" s="225" t="s">
        <v>597</v>
      </c>
      <c r="E4675" s="225" t="s">
        <v>690</v>
      </c>
    </row>
    <row r="4676" spans="2:5" ht="15.75" thickBot="1">
      <c r="B4676" s="225" t="s">
        <v>7314</v>
      </c>
      <c r="C4676" s="226">
        <v>534741</v>
      </c>
      <c r="D4676" s="225" t="s">
        <v>597</v>
      </c>
      <c r="E4676" s="225" t="s">
        <v>702</v>
      </c>
    </row>
    <row r="4677" spans="2:5" ht="15.75" thickBot="1">
      <c r="B4677" s="225" t="s">
        <v>7315</v>
      </c>
      <c r="C4677" s="226">
        <v>531126</v>
      </c>
      <c r="D4677" s="225" t="s">
        <v>597</v>
      </c>
      <c r="E4677" s="225" t="s">
        <v>690</v>
      </c>
    </row>
    <row r="4678" spans="2:5" ht="15.75" thickBot="1">
      <c r="B4678" s="225" t="s">
        <v>7316</v>
      </c>
      <c r="C4678" s="226">
        <v>532721</v>
      </c>
      <c r="D4678" s="225" t="s">
        <v>7317</v>
      </c>
      <c r="E4678" s="225" t="s">
        <v>629</v>
      </c>
    </row>
    <row r="4679" spans="2:5" ht="15.75" thickBot="1">
      <c r="B4679" s="225" t="s">
        <v>7318</v>
      </c>
      <c r="C4679" s="226">
        <v>531025</v>
      </c>
      <c r="D4679" s="225" t="s">
        <v>597</v>
      </c>
      <c r="E4679" s="225" t="s">
        <v>580</v>
      </c>
    </row>
    <row r="4680" spans="2:5" ht="15.75" thickBot="1">
      <c r="B4680" s="225" t="s">
        <v>7319</v>
      </c>
      <c r="C4680" s="226">
        <v>506146</v>
      </c>
      <c r="D4680" s="225" t="s">
        <v>7320</v>
      </c>
      <c r="E4680" s="225" t="s">
        <v>612</v>
      </c>
    </row>
    <row r="4681" spans="2:5" ht="15.75" thickBot="1">
      <c r="B4681" s="225" t="s">
        <v>7321</v>
      </c>
      <c r="C4681" s="226">
        <v>509055</v>
      </c>
      <c r="D4681" s="225" t="s">
        <v>7322</v>
      </c>
      <c r="E4681" s="225" t="s">
        <v>610</v>
      </c>
    </row>
    <row r="4682" spans="2:5" ht="15.75" thickBot="1">
      <c r="B4682" s="225" t="s">
        <v>7323</v>
      </c>
      <c r="C4682" s="226">
        <v>540097</v>
      </c>
      <c r="D4682" s="225" t="s">
        <v>597</v>
      </c>
      <c r="E4682" s="225" t="s">
        <v>580</v>
      </c>
    </row>
    <row r="4683" spans="2:5" ht="15.75" thickBot="1">
      <c r="B4683" s="225" t="s">
        <v>7324</v>
      </c>
      <c r="C4683" s="226">
        <v>532411</v>
      </c>
      <c r="D4683" s="225" t="s">
        <v>7325</v>
      </c>
      <c r="E4683" s="225" t="s">
        <v>690</v>
      </c>
    </row>
    <row r="4684" spans="2:5" ht="15.75" thickBot="1">
      <c r="B4684" s="225" t="s">
        <v>7326</v>
      </c>
      <c r="C4684" s="226">
        <v>539398</v>
      </c>
      <c r="D4684" s="225" t="s">
        <v>597</v>
      </c>
      <c r="E4684" s="225" t="s">
        <v>605</v>
      </c>
    </row>
    <row r="4685" spans="2:5" ht="15.75" thickBot="1">
      <c r="B4685" s="225" t="s">
        <v>7327</v>
      </c>
      <c r="C4685" s="226">
        <v>538598</v>
      </c>
      <c r="D4685" s="225" t="s">
        <v>597</v>
      </c>
      <c r="E4685" s="225" t="s">
        <v>612</v>
      </c>
    </row>
    <row r="4686" spans="2:5" ht="15.75" thickBot="1">
      <c r="B4686" s="225" t="s">
        <v>7328</v>
      </c>
      <c r="C4686" s="226">
        <v>516072</v>
      </c>
      <c r="D4686" s="225" t="s">
        <v>7329</v>
      </c>
      <c r="E4686" s="225" t="s">
        <v>645</v>
      </c>
    </row>
    <row r="4687" spans="2:5" ht="15.75" thickBot="1">
      <c r="B4687" s="225" t="s">
        <v>7330</v>
      </c>
      <c r="C4687" s="226">
        <v>512064</v>
      </c>
      <c r="D4687" s="225" t="s">
        <v>7331</v>
      </c>
      <c r="E4687" s="225" t="s">
        <v>1018</v>
      </c>
    </row>
    <row r="4688" spans="2:5" ht="15.75" thickBot="1">
      <c r="B4688" s="225" t="s">
        <v>7332</v>
      </c>
      <c r="C4688" s="226">
        <v>526441</v>
      </c>
      <c r="D4688" s="225" t="s">
        <v>597</v>
      </c>
      <c r="E4688" s="225" t="s">
        <v>2199</v>
      </c>
    </row>
    <row r="4689" spans="2:5" ht="15.75" thickBot="1">
      <c r="B4689" s="225" t="s">
        <v>7333</v>
      </c>
      <c r="C4689" s="226">
        <v>531668</v>
      </c>
      <c r="D4689" s="225" t="s">
        <v>597</v>
      </c>
      <c r="E4689" s="225" t="s">
        <v>600</v>
      </c>
    </row>
    <row r="4690" spans="2:5" ht="15.75" thickBot="1">
      <c r="B4690" s="225" t="s">
        <v>7334</v>
      </c>
      <c r="C4690" s="226">
        <v>524711</v>
      </c>
      <c r="D4690" s="225" t="s">
        <v>597</v>
      </c>
      <c r="E4690" s="225" t="s">
        <v>635</v>
      </c>
    </row>
    <row r="4691" spans="2:5" ht="15.75" thickBot="1">
      <c r="B4691" s="225" t="s">
        <v>7335</v>
      </c>
      <c r="C4691" s="226">
        <v>538565</v>
      </c>
      <c r="D4691" s="225" t="s">
        <v>597</v>
      </c>
      <c r="E4691" s="225" t="s">
        <v>614</v>
      </c>
    </row>
    <row r="4692" spans="2:5" ht="15.75" thickBot="1">
      <c r="B4692" s="225" t="s">
        <v>7336</v>
      </c>
      <c r="C4692" s="226">
        <v>540823</v>
      </c>
      <c r="D4692" s="225" t="s">
        <v>597</v>
      </c>
      <c r="E4692" s="225" t="s">
        <v>619</v>
      </c>
    </row>
    <row r="4693" spans="2:5" ht="15.75" thickBot="1">
      <c r="B4693" s="225" t="s">
        <v>7337</v>
      </c>
      <c r="C4693" s="226">
        <v>541735</v>
      </c>
      <c r="D4693" s="225" t="s">
        <v>597</v>
      </c>
      <c r="E4693" s="225" t="s">
        <v>995</v>
      </c>
    </row>
    <row r="4694" spans="2:5" ht="15.75" thickBot="1">
      <c r="B4694" s="225" t="s">
        <v>7338</v>
      </c>
      <c r="C4694" s="226">
        <v>530057</v>
      </c>
      <c r="D4694" s="225" t="s">
        <v>597</v>
      </c>
      <c r="E4694" s="225" t="s">
        <v>635</v>
      </c>
    </row>
    <row r="4695" spans="2:5" ht="15.75" thickBot="1">
      <c r="B4695" s="225" t="s">
        <v>7339</v>
      </c>
      <c r="C4695" s="226">
        <v>524576</v>
      </c>
      <c r="D4695" s="225" t="s">
        <v>597</v>
      </c>
      <c r="E4695" s="225" t="s">
        <v>645</v>
      </c>
    </row>
    <row r="4696" spans="2:5" ht="15.75" thickBot="1">
      <c r="B4696" s="225" t="s">
        <v>7340</v>
      </c>
      <c r="C4696" s="226">
        <v>532660</v>
      </c>
      <c r="D4696" s="225" t="s">
        <v>7341</v>
      </c>
      <c r="E4696" s="225" t="s">
        <v>635</v>
      </c>
    </row>
    <row r="4697" spans="2:5" ht="15.75" thickBot="1">
      <c r="B4697" s="225" t="s">
        <v>7342</v>
      </c>
      <c r="C4697" s="226">
        <v>511509</v>
      </c>
      <c r="D4697" s="225" t="s">
        <v>597</v>
      </c>
      <c r="E4697" s="225" t="s">
        <v>935</v>
      </c>
    </row>
    <row r="4698" spans="2:5" ht="15.75" thickBot="1">
      <c r="B4698" s="225" t="s">
        <v>7343</v>
      </c>
      <c r="C4698" s="226">
        <v>509026</v>
      </c>
      <c r="D4698" s="225" t="s">
        <v>597</v>
      </c>
      <c r="E4698" s="225" t="s">
        <v>702</v>
      </c>
    </row>
    <row r="4699" spans="2:5" ht="15.75" thickBot="1">
      <c r="B4699" s="225" t="s">
        <v>7344</v>
      </c>
      <c r="C4699" s="226">
        <v>536128</v>
      </c>
      <c r="D4699" s="225" t="s">
        <v>597</v>
      </c>
      <c r="E4699" s="225" t="s">
        <v>995</v>
      </c>
    </row>
    <row r="4700" spans="2:5" ht="15.75" thickBot="1">
      <c r="B4700" s="225" t="s">
        <v>7345</v>
      </c>
      <c r="C4700" s="226">
        <v>511333</v>
      </c>
      <c r="D4700" s="225" t="s">
        <v>7346</v>
      </c>
      <c r="E4700" s="225" t="s">
        <v>580</v>
      </c>
    </row>
    <row r="4701" spans="2:5" ht="15.75" thickBot="1">
      <c r="B4701" s="225" t="s">
        <v>7347</v>
      </c>
      <c r="C4701" s="226">
        <v>534976</v>
      </c>
      <c r="D4701" s="225" t="s">
        <v>7348</v>
      </c>
      <c r="E4701" s="225" t="s">
        <v>766</v>
      </c>
    </row>
    <row r="4702" spans="2:5" ht="15.75" thickBot="1">
      <c r="B4702" s="225" t="s">
        <v>7349</v>
      </c>
      <c r="C4702" s="226">
        <v>533427</v>
      </c>
      <c r="D4702" s="225" t="s">
        <v>597</v>
      </c>
      <c r="E4702" s="225" t="s">
        <v>733</v>
      </c>
    </row>
    <row r="4703" spans="2:5" ht="15.75" thickBot="1">
      <c r="B4703" s="225" t="s">
        <v>7350</v>
      </c>
      <c r="C4703" s="226">
        <v>539222</v>
      </c>
      <c r="D4703" s="225" t="s">
        <v>597</v>
      </c>
      <c r="E4703" s="225" t="s">
        <v>1600</v>
      </c>
    </row>
    <row r="4704" spans="2:5" ht="15.75" thickBot="1">
      <c r="B4704" s="225" t="s">
        <v>7351</v>
      </c>
      <c r="C4704" s="226">
        <v>532822</v>
      </c>
      <c r="D4704" s="225" t="s">
        <v>7352</v>
      </c>
      <c r="E4704" s="225" t="s">
        <v>1541</v>
      </c>
    </row>
    <row r="4705" spans="2:5" ht="15.75" thickBot="1">
      <c r="B4705" s="225" t="s">
        <v>7353</v>
      </c>
      <c r="C4705" s="226">
        <v>522122</v>
      </c>
      <c r="D4705" s="225" t="s">
        <v>597</v>
      </c>
      <c r="E4705" s="225" t="s">
        <v>612</v>
      </c>
    </row>
    <row r="4706" spans="2:5" ht="15.75" thickBot="1">
      <c r="B4706" s="225" t="s">
        <v>7354</v>
      </c>
      <c r="C4706" s="226">
        <v>522122</v>
      </c>
      <c r="D4706" s="225" t="s">
        <v>597</v>
      </c>
      <c r="E4706" s="225" t="s">
        <v>612</v>
      </c>
    </row>
    <row r="4707" spans="2:5" ht="15.75" thickBot="1">
      <c r="B4707" s="225" t="s">
        <v>7355</v>
      </c>
      <c r="C4707" s="226">
        <v>509038</v>
      </c>
      <c r="D4707" s="225" t="s">
        <v>597</v>
      </c>
      <c r="E4707" s="225" t="s">
        <v>614</v>
      </c>
    </row>
    <row r="4708" spans="2:5" ht="15.75" thickBot="1">
      <c r="B4708" s="225" t="s">
        <v>7356</v>
      </c>
      <c r="C4708" s="226">
        <v>532757</v>
      </c>
      <c r="D4708" s="225" t="s">
        <v>7357</v>
      </c>
      <c r="E4708" s="225" t="s">
        <v>640</v>
      </c>
    </row>
    <row r="4709" spans="2:5" ht="15.75" thickBot="1">
      <c r="B4709" s="225" t="s">
        <v>7358</v>
      </c>
      <c r="C4709" s="226">
        <v>500575</v>
      </c>
      <c r="D4709" s="225" t="s">
        <v>7359</v>
      </c>
      <c r="E4709" s="225" t="s">
        <v>966</v>
      </c>
    </row>
    <row r="4710" spans="2:5" ht="15.75" thickBot="1">
      <c r="B4710" s="225" t="s">
        <v>7360</v>
      </c>
      <c r="C4710" s="226">
        <v>512215</v>
      </c>
      <c r="D4710" s="225" t="s">
        <v>597</v>
      </c>
      <c r="E4710" s="225" t="s">
        <v>580</v>
      </c>
    </row>
    <row r="4711" spans="2:5" ht="15.75" thickBot="1">
      <c r="B4711" s="225" t="s">
        <v>7361</v>
      </c>
      <c r="C4711" s="226">
        <v>539118</v>
      </c>
      <c r="D4711" s="225" t="s">
        <v>7362</v>
      </c>
      <c r="E4711" s="225" t="s">
        <v>918</v>
      </c>
    </row>
    <row r="4712" spans="2:5" ht="15.75" thickBot="1">
      <c r="B4712" s="225" t="s">
        <v>7363</v>
      </c>
      <c r="C4712" s="226">
        <v>519331</v>
      </c>
      <c r="D4712" s="225" t="s">
        <v>597</v>
      </c>
      <c r="E4712" s="225" t="s">
        <v>995</v>
      </c>
    </row>
    <row r="4713" spans="2:5" ht="15.75" thickBot="1">
      <c r="B4713" s="225" t="s">
        <v>7364</v>
      </c>
      <c r="C4713" s="226">
        <v>509966</v>
      </c>
      <c r="D4713" s="225" t="s">
        <v>7365</v>
      </c>
      <c r="E4713" s="225" t="s">
        <v>2767</v>
      </c>
    </row>
    <row r="4714" spans="2:5" ht="15.75" thickBot="1">
      <c r="B4714" s="225" t="s">
        <v>7366</v>
      </c>
      <c r="C4714" s="226">
        <v>532893</v>
      </c>
      <c r="D4714" s="225" t="s">
        <v>597</v>
      </c>
      <c r="E4714" s="225" t="s">
        <v>612</v>
      </c>
    </row>
    <row r="4715" spans="2:5" ht="15.75" thickBot="1">
      <c r="B4715" s="225" t="s">
        <v>7367</v>
      </c>
      <c r="C4715" s="226">
        <v>517399</v>
      </c>
      <c r="D4715" s="225" t="s">
        <v>7368</v>
      </c>
      <c r="E4715" s="225" t="s">
        <v>966</v>
      </c>
    </row>
    <row r="4716" spans="2:5" ht="15.75" thickBot="1">
      <c r="B4716" s="225" t="s">
        <v>7369</v>
      </c>
      <c r="C4716" s="226">
        <v>506142</v>
      </c>
      <c r="D4716" s="225" t="s">
        <v>597</v>
      </c>
      <c r="E4716" s="225" t="s">
        <v>580</v>
      </c>
    </row>
    <row r="4717" spans="2:5" ht="15.75" thickBot="1">
      <c r="B4717" s="225" t="s">
        <v>7370</v>
      </c>
      <c r="C4717" s="226">
        <v>501391</v>
      </c>
      <c r="D4717" s="225" t="s">
        <v>597</v>
      </c>
      <c r="E4717" s="225" t="s">
        <v>619</v>
      </c>
    </row>
    <row r="4718" spans="2:5" ht="15.75" thickBot="1">
      <c r="B4718" s="225" t="s">
        <v>7371</v>
      </c>
      <c r="C4718" s="226">
        <v>504220</v>
      </c>
      <c r="D4718" s="225" t="s">
        <v>597</v>
      </c>
      <c r="E4718" s="225" t="s">
        <v>605</v>
      </c>
    </row>
    <row r="4719" spans="2:5" ht="15.75" thickBot="1">
      <c r="B4719" s="225" t="s">
        <v>7372</v>
      </c>
      <c r="C4719" s="225" t="s">
        <v>597</v>
      </c>
      <c r="D4719" s="225" t="s">
        <v>7373</v>
      </c>
      <c r="E4719" s="225" t="s">
        <v>688</v>
      </c>
    </row>
    <row r="4720" spans="2:5" ht="15.75" thickBot="1">
      <c r="B4720" s="225" t="s">
        <v>7374</v>
      </c>
      <c r="C4720" s="226">
        <v>504220</v>
      </c>
      <c r="D4720" s="225" t="s">
        <v>597</v>
      </c>
      <c r="E4720" s="225" t="s">
        <v>605</v>
      </c>
    </row>
    <row r="4721" spans="2:5" ht="15.75" thickBot="1">
      <c r="B4721" s="225" t="s">
        <v>7375</v>
      </c>
      <c r="C4721" s="226">
        <v>505583</v>
      </c>
      <c r="D4721" s="225" t="s">
        <v>597</v>
      </c>
      <c r="E4721" s="225" t="s">
        <v>683</v>
      </c>
    </row>
    <row r="4722" spans="2:5" ht="15.75" thickBot="1">
      <c r="B4722" s="225" t="s">
        <v>7376</v>
      </c>
      <c r="C4722" s="226">
        <v>541445</v>
      </c>
      <c r="D4722" s="225" t="s">
        <v>597</v>
      </c>
      <c r="E4722" s="225" t="s">
        <v>895</v>
      </c>
    </row>
    <row r="4723" spans="2:5" ht="15.75" thickBot="1">
      <c r="B4723" s="225" t="s">
        <v>7377</v>
      </c>
      <c r="C4723" s="226">
        <v>533023</v>
      </c>
      <c r="D4723" s="225" t="s">
        <v>7378</v>
      </c>
      <c r="E4723" s="225" t="s">
        <v>952</v>
      </c>
    </row>
    <row r="4724" spans="2:5" ht="15.75" thickBot="1">
      <c r="B4724" s="225" t="s">
        <v>7379</v>
      </c>
      <c r="C4724" s="226">
        <v>533023</v>
      </c>
      <c r="D4724" s="225" t="s">
        <v>7380</v>
      </c>
      <c r="E4724" s="225" t="s">
        <v>952</v>
      </c>
    </row>
    <row r="4725" spans="2:5" ht="15.75" thickBot="1">
      <c r="B4725" s="225" t="s">
        <v>7381</v>
      </c>
      <c r="C4725" s="226">
        <v>503675</v>
      </c>
      <c r="D4725" s="225" t="s">
        <v>597</v>
      </c>
      <c r="E4725" s="225" t="s">
        <v>1018</v>
      </c>
    </row>
    <row r="4726" spans="2:5" ht="15.75" thickBot="1">
      <c r="B4726" s="225" t="s">
        <v>7382</v>
      </c>
      <c r="C4726" s="226">
        <v>501370</v>
      </c>
      <c r="D4726" s="225" t="s">
        <v>597</v>
      </c>
      <c r="E4726" s="225" t="s">
        <v>681</v>
      </c>
    </row>
    <row r="4727" spans="2:5" ht="15.75" thickBot="1">
      <c r="B4727" s="225" t="s">
        <v>7383</v>
      </c>
      <c r="C4727" s="226">
        <v>507410</v>
      </c>
      <c r="D4727" s="225" t="s">
        <v>7384</v>
      </c>
      <c r="E4727" s="225" t="s">
        <v>586</v>
      </c>
    </row>
    <row r="4728" spans="2:5" ht="15.75" thickBot="1">
      <c r="B4728" s="225" t="s">
        <v>7385</v>
      </c>
      <c r="C4728" s="226">
        <v>511147</v>
      </c>
      <c r="D4728" s="225" t="s">
        <v>597</v>
      </c>
      <c r="E4728" s="225" t="s">
        <v>614</v>
      </c>
    </row>
    <row r="4729" spans="2:5" ht="15.75" thickBot="1">
      <c r="B4729" s="225" t="s">
        <v>7386</v>
      </c>
      <c r="C4729" s="226">
        <v>532053</v>
      </c>
      <c r="D4729" s="225" t="s">
        <v>597</v>
      </c>
      <c r="E4729" s="225" t="s">
        <v>580</v>
      </c>
    </row>
    <row r="4730" spans="2:5" ht="15.75" thickBot="1">
      <c r="B4730" s="225" t="s">
        <v>7387</v>
      </c>
      <c r="C4730" s="226">
        <v>524212</v>
      </c>
      <c r="D4730" s="225" t="s">
        <v>7388</v>
      </c>
      <c r="E4730" s="225" t="s">
        <v>635</v>
      </c>
    </row>
    <row r="4731" spans="2:5" ht="15.75" thickBot="1">
      <c r="B4731" s="225" t="s">
        <v>7389</v>
      </c>
      <c r="C4731" s="226">
        <v>511690</v>
      </c>
      <c r="D4731" s="225" t="s">
        <v>597</v>
      </c>
      <c r="E4731" s="225" t="s">
        <v>614</v>
      </c>
    </row>
    <row r="4732" spans="2:5" ht="15.75" thickBot="1">
      <c r="B4732" s="225" t="s">
        <v>7390</v>
      </c>
      <c r="C4732" s="226">
        <v>508494</v>
      </c>
      <c r="D4732" s="225" t="s">
        <v>597</v>
      </c>
      <c r="E4732" s="225" t="s">
        <v>1004</v>
      </c>
    </row>
    <row r="4733" spans="2:5" ht="15.75" thickBot="1">
      <c r="B4733" s="225" t="s">
        <v>7391</v>
      </c>
      <c r="C4733" s="226">
        <v>523660</v>
      </c>
      <c r="D4733" s="225" t="s">
        <v>597</v>
      </c>
      <c r="E4733" s="225" t="s">
        <v>677</v>
      </c>
    </row>
    <row r="4734" spans="2:5" ht="15.75" thickBot="1">
      <c r="B4734" s="225" t="s">
        <v>7392</v>
      </c>
      <c r="C4734" s="225" t="s">
        <v>597</v>
      </c>
      <c r="D4734" s="225" t="s">
        <v>7393</v>
      </c>
      <c r="E4734" s="225" t="s">
        <v>608</v>
      </c>
    </row>
    <row r="4735" spans="2:5" ht="15.75" thickBot="1">
      <c r="B4735" s="225" t="s">
        <v>7394</v>
      </c>
      <c r="C4735" s="226">
        <v>780016</v>
      </c>
      <c r="D4735" s="225" t="s">
        <v>597</v>
      </c>
      <c r="E4735" s="225" t="s">
        <v>688</v>
      </c>
    </row>
    <row r="4736" spans="2:5" ht="15.75" thickBot="1">
      <c r="B4736" s="225" t="s">
        <v>7395</v>
      </c>
      <c r="C4736" s="226">
        <v>517498</v>
      </c>
      <c r="D4736" s="225" t="s">
        <v>7396</v>
      </c>
      <c r="E4736" s="225" t="s">
        <v>895</v>
      </c>
    </row>
    <row r="4737" spans="2:5" ht="15.75" thickBot="1">
      <c r="B4737" s="225" t="s">
        <v>7397</v>
      </c>
      <c r="C4737" s="226">
        <v>511074</v>
      </c>
      <c r="D4737" s="225" t="s">
        <v>597</v>
      </c>
      <c r="E4737" s="225" t="s">
        <v>614</v>
      </c>
    </row>
    <row r="4738" spans="2:5" ht="15.75" thickBot="1">
      <c r="B4738" s="225" t="s">
        <v>7398</v>
      </c>
      <c r="C4738" s="226">
        <v>533452</v>
      </c>
      <c r="D4738" s="225" t="s">
        <v>7399</v>
      </c>
      <c r="E4738" s="225" t="s">
        <v>580</v>
      </c>
    </row>
    <row r="4739" spans="2:5" ht="15.75" thickBot="1">
      <c r="B4739" s="225" t="s">
        <v>7400</v>
      </c>
      <c r="C4739" s="226">
        <v>523011</v>
      </c>
      <c r="D4739" s="225" t="s">
        <v>7401</v>
      </c>
      <c r="E4739" s="225" t="s">
        <v>619</v>
      </c>
    </row>
    <row r="4740" spans="2:5" ht="15.75" thickBot="1">
      <c r="B4740" s="225" t="s">
        <v>7402</v>
      </c>
      <c r="C4740" s="226">
        <v>504988</v>
      </c>
      <c r="D4740" s="225" t="s">
        <v>597</v>
      </c>
      <c r="E4740" s="225" t="s">
        <v>1517</v>
      </c>
    </row>
    <row r="4741" spans="2:5" ht="15.75" thickBot="1">
      <c r="B4741" s="225" t="s">
        <v>7403</v>
      </c>
      <c r="C4741" s="226">
        <v>524661</v>
      </c>
      <c r="D4741" s="225" t="s">
        <v>597</v>
      </c>
      <c r="E4741" s="225" t="s">
        <v>635</v>
      </c>
    </row>
    <row r="4742" spans="2:5" ht="15.75" thickBot="1">
      <c r="B4742" s="225" t="s">
        <v>7404</v>
      </c>
      <c r="C4742" s="226">
        <v>532016</v>
      </c>
      <c r="D4742" s="225" t="s">
        <v>597</v>
      </c>
      <c r="E4742" s="225" t="s">
        <v>683</v>
      </c>
    </row>
    <row r="4743" spans="2:5" ht="15.75" thickBot="1">
      <c r="B4743" s="225" t="s">
        <v>7405</v>
      </c>
      <c r="C4743" s="226">
        <v>531211</v>
      </c>
      <c r="D4743" s="225" t="s">
        <v>597</v>
      </c>
      <c r="E4743" s="225" t="s">
        <v>580</v>
      </c>
    </row>
    <row r="4744" spans="2:5" ht="15.75" thickBot="1">
      <c r="B4744" s="225" t="s">
        <v>7406</v>
      </c>
      <c r="C4744" s="226">
        <v>514162</v>
      </c>
      <c r="D4744" s="225" t="s">
        <v>7407</v>
      </c>
      <c r="E4744" s="225" t="s">
        <v>612</v>
      </c>
    </row>
    <row r="4745" spans="2:5" ht="15.75" thickBot="1">
      <c r="B4745" s="225" t="s">
        <v>7408</v>
      </c>
      <c r="C4745" s="226">
        <v>532144</v>
      </c>
      <c r="D4745" s="225" t="s">
        <v>7409</v>
      </c>
      <c r="E4745" s="225" t="s">
        <v>995</v>
      </c>
    </row>
    <row r="4746" spans="2:5" ht="15.75" thickBot="1">
      <c r="B4746" s="225" t="s">
        <v>7410</v>
      </c>
      <c r="C4746" s="226">
        <v>532553</v>
      </c>
      <c r="D4746" s="225" t="s">
        <v>7411</v>
      </c>
      <c r="E4746" s="225" t="s">
        <v>995</v>
      </c>
    </row>
    <row r="4747" spans="2:5" ht="15.75" thickBot="1">
      <c r="B4747" s="225" t="s">
        <v>7412</v>
      </c>
      <c r="C4747" s="226">
        <v>514162</v>
      </c>
      <c r="D4747" s="225" t="s">
        <v>7407</v>
      </c>
      <c r="E4747" s="225" t="s">
        <v>612</v>
      </c>
    </row>
    <row r="4748" spans="2:5" ht="15.75" thickBot="1">
      <c r="B4748" s="225" t="s">
        <v>7413</v>
      </c>
      <c r="C4748" s="226">
        <v>533252</v>
      </c>
      <c r="D4748" s="225" t="s">
        <v>7414</v>
      </c>
      <c r="E4748" s="225" t="s">
        <v>580</v>
      </c>
    </row>
    <row r="4749" spans="2:5" ht="15.75" thickBot="1">
      <c r="B4749" s="225" t="s">
        <v>7415</v>
      </c>
      <c r="C4749" s="226">
        <v>526431</v>
      </c>
      <c r="D4749" s="225" t="s">
        <v>597</v>
      </c>
      <c r="E4749" s="225" t="s">
        <v>1023</v>
      </c>
    </row>
    <row r="4750" spans="2:5" ht="15.75" thickBot="1">
      <c r="B4750" s="225" t="s">
        <v>7416</v>
      </c>
      <c r="C4750" s="226">
        <v>505412</v>
      </c>
      <c r="D4750" s="225" t="s">
        <v>7417</v>
      </c>
      <c r="E4750" s="225" t="s">
        <v>605</v>
      </c>
    </row>
    <row r="4751" spans="2:5" ht="15.75" thickBot="1">
      <c r="B4751" s="225" t="s">
        <v>7418</v>
      </c>
      <c r="C4751" s="226">
        <v>505412</v>
      </c>
      <c r="D4751" s="225" t="s">
        <v>7417</v>
      </c>
      <c r="E4751" s="225" t="s">
        <v>605</v>
      </c>
    </row>
    <row r="4752" spans="2:5" ht="15.75" thickBot="1">
      <c r="B4752" s="225" t="s">
        <v>7419</v>
      </c>
      <c r="C4752" s="226">
        <v>532373</v>
      </c>
      <c r="D4752" s="225" t="s">
        <v>597</v>
      </c>
      <c r="E4752" s="225" t="s">
        <v>619</v>
      </c>
    </row>
    <row r="4753" spans="2:5" ht="15.75" thickBot="1">
      <c r="B4753" s="225" t="s">
        <v>7420</v>
      </c>
      <c r="C4753" s="226">
        <v>500444</v>
      </c>
      <c r="D4753" s="225" t="s">
        <v>7421</v>
      </c>
      <c r="E4753" s="225" t="s">
        <v>591</v>
      </c>
    </row>
    <row r="4754" spans="2:5" ht="15.75" thickBot="1">
      <c r="B4754" s="225" t="s">
        <v>7422</v>
      </c>
      <c r="C4754" s="226">
        <v>538382</v>
      </c>
      <c r="D4754" s="225" t="s">
        <v>597</v>
      </c>
      <c r="E4754" s="225" t="s">
        <v>619</v>
      </c>
    </row>
    <row r="4755" spans="2:5" ht="15.75" thickBot="1">
      <c r="B4755" s="225" t="s">
        <v>7423</v>
      </c>
      <c r="C4755" s="226">
        <v>504998</v>
      </c>
      <c r="D4755" s="225" t="s">
        <v>597</v>
      </c>
      <c r="E4755" s="225" t="s">
        <v>629</v>
      </c>
    </row>
    <row r="4756" spans="2:5" ht="15.75" thickBot="1">
      <c r="B4756" s="225" t="s">
        <v>7424</v>
      </c>
      <c r="C4756" s="226">
        <v>505533</v>
      </c>
      <c r="D4756" s="225" t="s">
        <v>597</v>
      </c>
      <c r="E4756" s="225" t="s">
        <v>1086</v>
      </c>
    </row>
    <row r="4757" spans="2:5" ht="15.75" thickBot="1">
      <c r="B4757" s="225" t="s">
        <v>7425</v>
      </c>
      <c r="C4757" s="226">
        <v>590073</v>
      </c>
      <c r="D4757" s="225" t="s">
        <v>7426</v>
      </c>
      <c r="E4757" s="225" t="s">
        <v>952</v>
      </c>
    </row>
    <row r="4758" spans="2:5" ht="15.75" thickBot="1">
      <c r="B4758" s="225" t="s">
        <v>7427</v>
      </c>
      <c r="C4758" s="226">
        <v>590073</v>
      </c>
      <c r="D4758" s="225" t="s">
        <v>7426</v>
      </c>
      <c r="E4758" s="225" t="s">
        <v>952</v>
      </c>
    </row>
    <row r="4759" spans="2:5" ht="15.75" thickBot="1">
      <c r="B4759" s="225" t="s">
        <v>7428</v>
      </c>
      <c r="C4759" s="226">
        <v>500238</v>
      </c>
      <c r="D4759" s="225" t="s">
        <v>7429</v>
      </c>
      <c r="E4759" s="225" t="s">
        <v>966</v>
      </c>
    </row>
    <row r="4760" spans="2:5" ht="15.75" thickBot="1">
      <c r="B4760" s="225" t="s">
        <v>7430</v>
      </c>
      <c r="C4760" s="226">
        <v>500238</v>
      </c>
      <c r="D4760" s="225" t="s">
        <v>7429</v>
      </c>
      <c r="E4760" s="225" t="s">
        <v>966</v>
      </c>
    </row>
    <row r="4761" spans="2:5" ht="15.75" thickBot="1">
      <c r="B4761" s="225" t="s">
        <v>7431</v>
      </c>
      <c r="C4761" s="226">
        <v>513713</v>
      </c>
      <c r="D4761" s="225" t="s">
        <v>597</v>
      </c>
      <c r="E4761" s="225" t="s">
        <v>711</v>
      </c>
    </row>
    <row r="4762" spans="2:5" ht="15.75" thickBot="1">
      <c r="B4762" s="225" t="s">
        <v>7432</v>
      </c>
      <c r="C4762" s="226">
        <v>542667</v>
      </c>
      <c r="D4762" s="225" t="s">
        <v>7433</v>
      </c>
      <c r="E4762" s="225" t="s">
        <v>963</v>
      </c>
    </row>
    <row r="4763" spans="2:5" ht="15.75" thickBot="1">
      <c r="B4763" s="225" t="s">
        <v>7434</v>
      </c>
      <c r="C4763" s="226">
        <v>519214</v>
      </c>
      <c r="D4763" s="225" t="s">
        <v>597</v>
      </c>
      <c r="E4763" s="225" t="s">
        <v>614</v>
      </c>
    </row>
    <row r="4764" spans="2:5" ht="15.75" thickBot="1">
      <c r="B4764" s="225" t="s">
        <v>7435</v>
      </c>
      <c r="C4764" s="226">
        <v>519224</v>
      </c>
      <c r="D4764" s="225" t="s">
        <v>7436</v>
      </c>
      <c r="E4764" s="225" t="s">
        <v>619</v>
      </c>
    </row>
    <row r="4765" spans="2:5" ht="15.75" thickBot="1">
      <c r="B4765" s="225" t="s">
        <v>7437</v>
      </c>
      <c r="C4765" s="226">
        <v>526586</v>
      </c>
      <c r="D4765" s="225" t="s">
        <v>597</v>
      </c>
      <c r="E4765" s="225" t="s">
        <v>717</v>
      </c>
    </row>
    <row r="4766" spans="2:5" ht="15.75" thickBot="1">
      <c r="B4766" s="225" t="s">
        <v>7438</v>
      </c>
      <c r="C4766" s="226">
        <v>522029</v>
      </c>
      <c r="D4766" s="225" t="s">
        <v>7439</v>
      </c>
      <c r="E4766" s="225" t="s">
        <v>605</v>
      </c>
    </row>
    <row r="4767" spans="2:5" ht="15.75" thickBot="1">
      <c r="B4767" s="225" t="s">
        <v>7440</v>
      </c>
      <c r="C4767" s="226">
        <v>512022</v>
      </c>
      <c r="D4767" s="225" t="s">
        <v>597</v>
      </c>
      <c r="E4767" s="225" t="s">
        <v>580</v>
      </c>
    </row>
    <row r="4768" spans="2:5" ht="15.75" thickBot="1">
      <c r="B4768" s="225" t="s">
        <v>7441</v>
      </c>
      <c r="C4768" s="226">
        <v>512022</v>
      </c>
      <c r="D4768" s="225" t="s">
        <v>597</v>
      </c>
      <c r="E4768" s="225" t="s">
        <v>580</v>
      </c>
    </row>
    <row r="4769" spans="2:5" ht="15.75" thickBot="1">
      <c r="B4769" s="225" t="s">
        <v>7442</v>
      </c>
      <c r="C4769" s="226">
        <v>526471</v>
      </c>
      <c r="D4769" s="225" t="s">
        <v>597</v>
      </c>
      <c r="E4769" s="225" t="s">
        <v>1229</v>
      </c>
    </row>
    <row r="4770" spans="2:5" ht="15.75" thickBot="1">
      <c r="B4770" s="225" t="s">
        <v>7443</v>
      </c>
      <c r="C4770" s="226">
        <v>514470</v>
      </c>
      <c r="D4770" s="225" t="s">
        <v>597</v>
      </c>
      <c r="E4770" s="225" t="s">
        <v>612</v>
      </c>
    </row>
    <row r="4771" spans="2:5" ht="15.75" thickBot="1">
      <c r="B4771" s="225" t="s">
        <v>7444</v>
      </c>
      <c r="C4771" s="226">
        <v>514348</v>
      </c>
      <c r="D4771" s="225" t="s">
        <v>7445</v>
      </c>
      <c r="E4771" s="225" t="s">
        <v>612</v>
      </c>
    </row>
    <row r="4772" spans="2:5" ht="15.75" thickBot="1">
      <c r="B4772" s="225" t="s">
        <v>7446</v>
      </c>
      <c r="C4772" s="226">
        <v>524758</v>
      </c>
      <c r="D4772" s="225" t="s">
        <v>597</v>
      </c>
      <c r="E4772" s="225" t="s">
        <v>635</v>
      </c>
    </row>
    <row r="4773" spans="2:5" ht="15.75" thickBot="1">
      <c r="B4773" s="225" t="s">
        <v>7447</v>
      </c>
      <c r="C4773" s="226">
        <v>538873</v>
      </c>
      <c r="D4773" s="225" t="s">
        <v>597</v>
      </c>
      <c r="E4773" s="225" t="s">
        <v>614</v>
      </c>
    </row>
    <row r="4774" spans="2:5" ht="15.75" thickBot="1">
      <c r="B4774" s="225" t="s">
        <v>7448</v>
      </c>
      <c r="C4774" s="226">
        <v>507685</v>
      </c>
      <c r="D4774" s="225" t="s">
        <v>7449</v>
      </c>
      <c r="E4774" s="225" t="s">
        <v>583</v>
      </c>
    </row>
    <row r="4775" spans="2:5" ht="15.75" thickBot="1">
      <c r="B4775" s="225" t="s">
        <v>7450</v>
      </c>
      <c r="C4775" s="226">
        <v>507817</v>
      </c>
      <c r="D4775" s="225" t="s">
        <v>597</v>
      </c>
      <c r="E4775" s="225" t="s">
        <v>612</v>
      </c>
    </row>
    <row r="4776" spans="2:5" ht="15.75" thickBot="1">
      <c r="B4776" s="225" t="s">
        <v>7451</v>
      </c>
      <c r="C4776" s="226">
        <v>511642</v>
      </c>
      <c r="D4776" s="225" t="s">
        <v>597</v>
      </c>
      <c r="E4776" s="225" t="s">
        <v>614</v>
      </c>
    </row>
    <row r="4777" spans="2:5" ht="15.75" thickBot="1">
      <c r="B4777" s="225" t="s">
        <v>7452</v>
      </c>
      <c r="C4777" s="226">
        <v>532300</v>
      </c>
      <c r="D4777" s="225" t="s">
        <v>7453</v>
      </c>
      <c r="E4777" s="225" t="s">
        <v>635</v>
      </c>
    </row>
    <row r="4778" spans="2:5" ht="15.75" thickBot="1">
      <c r="B4778" s="225" t="s">
        <v>7454</v>
      </c>
      <c r="C4778" s="226">
        <v>531396</v>
      </c>
      <c r="D4778" s="225" t="s">
        <v>597</v>
      </c>
      <c r="E4778" s="225" t="s">
        <v>690</v>
      </c>
    </row>
    <row r="4779" spans="2:5" ht="15.75" thickBot="1">
      <c r="B4779" s="225" t="s">
        <v>7455</v>
      </c>
      <c r="C4779" s="226">
        <v>538128</v>
      </c>
      <c r="D4779" s="225" t="s">
        <v>597</v>
      </c>
      <c r="E4779" s="225" t="s">
        <v>711</v>
      </c>
    </row>
    <row r="4780" spans="2:5" ht="15.75" thickBot="1">
      <c r="B4780" s="225" t="s">
        <v>7456</v>
      </c>
      <c r="C4780" s="226">
        <v>538268</v>
      </c>
      <c r="D4780" s="225" t="s">
        <v>7457</v>
      </c>
      <c r="E4780" s="225" t="s">
        <v>775</v>
      </c>
    </row>
    <row r="4781" spans="2:5" ht="15.75" thickBot="1">
      <c r="B4781" s="225" t="s">
        <v>7458</v>
      </c>
      <c r="C4781" s="226">
        <v>526959</v>
      </c>
      <c r="D4781" s="225" t="s">
        <v>597</v>
      </c>
      <c r="E4781" s="225" t="s">
        <v>798</v>
      </c>
    </row>
    <row r="4782" spans="2:5" ht="15.75" thickBot="1">
      <c r="B4782" s="225" t="s">
        <v>7459</v>
      </c>
      <c r="C4782" s="226">
        <v>526525</v>
      </c>
      <c r="D4782" s="225" t="s">
        <v>597</v>
      </c>
      <c r="E4782" s="225" t="s">
        <v>711</v>
      </c>
    </row>
    <row r="4783" spans="2:5" ht="15.75" thickBot="1">
      <c r="B4783" s="225" t="s">
        <v>7460</v>
      </c>
      <c r="C4783" s="226">
        <v>538451</v>
      </c>
      <c r="D4783" s="225" t="s">
        <v>597</v>
      </c>
      <c r="E4783" s="225" t="s">
        <v>617</v>
      </c>
    </row>
    <row r="4784" spans="2:5" ht="15.75" thickBot="1">
      <c r="B4784" s="225" t="s">
        <v>7461</v>
      </c>
      <c r="C4784" s="225" t="s">
        <v>597</v>
      </c>
      <c r="D4784" s="225" t="s">
        <v>7462</v>
      </c>
      <c r="E4784" s="225" t="s">
        <v>608</v>
      </c>
    </row>
    <row r="4785" spans="2:5" ht="15.75" thickBot="1">
      <c r="B4785" s="225" t="s">
        <v>7463</v>
      </c>
      <c r="C4785" s="226">
        <v>505872</v>
      </c>
      <c r="D4785" s="225" t="s">
        <v>597</v>
      </c>
      <c r="E4785" s="225" t="s">
        <v>605</v>
      </c>
    </row>
    <row r="4786" spans="2:5" ht="15.75" thickBot="1">
      <c r="B4786" s="225" t="s">
        <v>7464</v>
      </c>
      <c r="C4786" s="226">
        <v>532616</v>
      </c>
      <c r="D4786" s="225" t="s">
        <v>7465</v>
      </c>
      <c r="E4786" s="225" t="s">
        <v>927</v>
      </c>
    </row>
    <row r="4787" spans="2:5" ht="15.75" thickBot="1">
      <c r="B4787" s="225" t="s">
        <v>7466</v>
      </c>
      <c r="C4787" s="226">
        <v>542367</v>
      </c>
      <c r="D4787" s="225" t="s">
        <v>7467</v>
      </c>
      <c r="E4787" s="225" t="s">
        <v>5720</v>
      </c>
    </row>
    <row r="4788" spans="2:5" ht="15.75" thickBot="1">
      <c r="B4788" s="225" t="s">
        <v>7468</v>
      </c>
      <c r="C4788" s="226">
        <v>532788</v>
      </c>
      <c r="D4788" s="225" t="s">
        <v>7469</v>
      </c>
      <c r="E4788" s="225" t="s">
        <v>743</v>
      </c>
    </row>
    <row r="4789" spans="2:5" ht="15.75" thickBot="1">
      <c r="B4789" s="225" t="s">
        <v>7470</v>
      </c>
      <c r="C4789" s="226">
        <v>590013</v>
      </c>
      <c r="D4789" s="225" t="s">
        <v>7471</v>
      </c>
      <c r="E4789" s="225" t="s">
        <v>645</v>
      </c>
    </row>
    <row r="4790" spans="2:5" ht="15.75" thickBot="1">
      <c r="B4790" s="225" t="s">
        <v>7472</v>
      </c>
      <c r="C4790" s="226">
        <v>590013</v>
      </c>
      <c r="D4790" s="225" t="s">
        <v>7473</v>
      </c>
      <c r="E4790" s="225" t="s">
        <v>645</v>
      </c>
    </row>
    <row r="4791" spans="2:5" ht="15.75" thickBot="1">
      <c r="B4791" s="225" t="s">
        <v>7474</v>
      </c>
      <c r="C4791" s="226">
        <v>511012</v>
      </c>
      <c r="D4791" s="225" t="s">
        <v>597</v>
      </c>
      <c r="E4791" s="225" t="s">
        <v>617</v>
      </c>
    </row>
    <row r="4792" spans="2:5" ht="15.75" thickBot="1">
      <c r="B4792" s="225" t="s">
        <v>7475</v>
      </c>
      <c r="C4792" s="226">
        <v>514378</v>
      </c>
      <c r="D4792" s="225" t="s">
        <v>597</v>
      </c>
      <c r="E4792" s="225" t="s">
        <v>619</v>
      </c>
    </row>
    <row r="4793" spans="2:5" ht="15.75" thickBot="1">
      <c r="B4793" s="225" t="s">
        <v>7476</v>
      </c>
      <c r="C4793" s="226">
        <v>539939</v>
      </c>
      <c r="D4793" s="225" t="s">
        <v>597</v>
      </c>
      <c r="E4793" s="225" t="s">
        <v>757</v>
      </c>
    </row>
    <row r="4794" spans="2:5" ht="15.75" thickBot="1">
      <c r="B4794" s="225" t="s">
        <v>7477</v>
      </c>
      <c r="C4794" s="226">
        <v>511601</v>
      </c>
      <c r="D4794" s="225" t="s">
        <v>597</v>
      </c>
      <c r="E4794" s="225" t="s">
        <v>619</v>
      </c>
    </row>
    <row r="4795" spans="2:5" ht="15.75" thickBot="1">
      <c r="B4795" s="225" t="s">
        <v>7478</v>
      </c>
      <c r="C4795" s="226">
        <v>516030</v>
      </c>
      <c r="D4795" s="225" t="s">
        <v>597</v>
      </c>
      <c r="E4795" s="225" t="s">
        <v>591</v>
      </c>
    </row>
    <row r="4796" spans="2:5" ht="15.75" thickBot="1">
      <c r="B4796" s="225" t="s">
        <v>7479</v>
      </c>
      <c r="C4796" s="226">
        <v>541167</v>
      </c>
      <c r="D4796" s="225" t="s">
        <v>597</v>
      </c>
      <c r="E4796" s="225" t="s">
        <v>757</v>
      </c>
    </row>
    <row r="4797" spans="2:5" ht="15.75" thickBot="1">
      <c r="B4797" s="225" t="s">
        <v>7480</v>
      </c>
      <c r="C4797" s="226">
        <v>530063</v>
      </c>
      <c r="D4797" s="225" t="s">
        <v>597</v>
      </c>
      <c r="E4797" s="225" t="s">
        <v>792</v>
      </c>
    </row>
    <row r="4798" spans="2:5" ht="15.75" thickBot="1">
      <c r="B4798" s="225" t="s">
        <v>7481</v>
      </c>
      <c r="C4798" s="226">
        <v>532648</v>
      </c>
      <c r="D4798" s="225" t="s">
        <v>7482</v>
      </c>
      <c r="E4798" s="225" t="s">
        <v>915</v>
      </c>
    </row>
    <row r="4799" spans="2:5" ht="15.75" thickBot="1">
      <c r="B4799" s="225" t="s">
        <v>7483</v>
      </c>
      <c r="C4799" s="226">
        <v>531260</v>
      </c>
      <c r="D4799" s="225" t="s">
        <v>597</v>
      </c>
      <c r="E4799" s="225" t="s">
        <v>657</v>
      </c>
    </row>
    <row r="4800" spans="2:5" ht="15.75" thickBot="1">
      <c r="B4800" s="225" t="s">
        <v>7484</v>
      </c>
      <c r="C4800" s="226">
        <v>522209</v>
      </c>
      <c r="D4800" s="225" t="s">
        <v>597</v>
      </c>
      <c r="E4800" s="225" t="s">
        <v>580</v>
      </c>
    </row>
    <row r="4801" spans="2:5" ht="15.75" thickBot="1">
      <c r="B4801" s="225" t="s">
        <v>7485</v>
      </c>
      <c r="C4801" s="226">
        <v>522209</v>
      </c>
      <c r="D4801" s="225" t="s">
        <v>597</v>
      </c>
      <c r="E4801" s="225" t="s">
        <v>580</v>
      </c>
    </row>
    <row r="4802" spans="2:5" ht="15.75" thickBot="1">
      <c r="B4802" s="225" t="s">
        <v>7486</v>
      </c>
      <c r="C4802" s="226">
        <v>539097</v>
      </c>
      <c r="D4802" s="225" t="s">
        <v>597</v>
      </c>
      <c r="E4802" s="225" t="s">
        <v>619</v>
      </c>
    </row>
    <row r="4803" spans="2:5" ht="15.75" thickBot="1">
      <c r="B4803" s="225" t="s">
        <v>7487</v>
      </c>
      <c r="C4803" s="226">
        <v>530675</v>
      </c>
      <c r="D4803" s="225" t="s">
        <v>597</v>
      </c>
      <c r="E4803" s="225" t="s">
        <v>711</v>
      </c>
    </row>
    <row r="4804" spans="2:5" ht="15.75" thickBot="1">
      <c r="B4804" s="225" t="s">
        <v>7488</v>
      </c>
      <c r="C4804" s="226">
        <v>540550</v>
      </c>
      <c r="D4804" s="225" t="s">
        <v>597</v>
      </c>
      <c r="E4804" s="225" t="s">
        <v>757</v>
      </c>
    </row>
    <row r="4805" spans="2:5" ht="15.75" thickBot="1">
      <c r="B4805" s="225" t="s">
        <v>7489</v>
      </c>
      <c r="C4805" s="226">
        <v>522108</v>
      </c>
      <c r="D4805" s="225" t="s">
        <v>597</v>
      </c>
      <c r="E4805" s="225" t="s">
        <v>952</v>
      </c>
    </row>
    <row r="4806" spans="2:5" ht="15.75" thickBot="1">
      <c r="B4806" s="225" t="s">
        <v>7490</v>
      </c>
      <c r="C4806" s="226">
        <v>522108</v>
      </c>
      <c r="D4806" s="225" t="s">
        <v>597</v>
      </c>
      <c r="E4806" s="225" t="s">
        <v>952</v>
      </c>
    </row>
    <row r="4807" spans="2:5" ht="15.75" thickBot="1">
      <c r="B4807" s="225" t="s">
        <v>7491</v>
      </c>
      <c r="C4807" s="226">
        <v>536846</v>
      </c>
      <c r="D4807" s="225" t="s">
        <v>597</v>
      </c>
      <c r="E4807" s="225" t="s">
        <v>995</v>
      </c>
    </row>
    <row r="4808" spans="2:5" ht="15.75" thickBot="1">
      <c r="B4808" s="225" t="s">
        <v>7492</v>
      </c>
      <c r="C4808" s="226">
        <v>531663</v>
      </c>
      <c r="D4808" s="225" t="s">
        <v>7493</v>
      </c>
      <c r="E4808" s="225" t="s">
        <v>2415</v>
      </c>
    </row>
    <row r="4809" spans="2:5" ht="15.75" thickBot="1">
      <c r="B4809" s="225" t="s">
        <v>7494</v>
      </c>
      <c r="C4809" s="226">
        <v>505163</v>
      </c>
      <c r="D4809" s="225" t="s">
        <v>597</v>
      </c>
      <c r="E4809" s="225" t="s">
        <v>952</v>
      </c>
    </row>
    <row r="4810" spans="2:5" ht="15.75" thickBot="1">
      <c r="B4810" s="225" t="s">
        <v>7495</v>
      </c>
      <c r="C4810" s="226">
        <v>505163</v>
      </c>
      <c r="D4810" s="225" t="s">
        <v>597</v>
      </c>
      <c r="E4810" s="225" t="s">
        <v>952</v>
      </c>
    </row>
    <row r="4811" spans="2:5" ht="15.75" thickBot="1">
      <c r="B4811" s="225" t="s">
        <v>7496</v>
      </c>
      <c r="C4811" s="226">
        <v>539963</v>
      </c>
      <c r="D4811" s="225" t="s">
        <v>597</v>
      </c>
      <c r="E4811" s="225" t="s">
        <v>677</v>
      </c>
    </row>
    <row r="4812" spans="2:5" ht="15.75" thickBot="1">
      <c r="B4812" s="225" t="s">
        <v>7497</v>
      </c>
      <c r="C4812" s="226">
        <v>505537</v>
      </c>
      <c r="D4812" s="225" t="s">
        <v>7498</v>
      </c>
      <c r="E4812" s="225" t="s">
        <v>1336</v>
      </c>
    </row>
    <row r="4813" spans="2:5" ht="15.75" thickBot="1">
      <c r="B4813" s="225" t="s">
        <v>7499</v>
      </c>
      <c r="C4813" s="226">
        <v>533287</v>
      </c>
      <c r="D4813" s="225" t="s">
        <v>7500</v>
      </c>
      <c r="E4813" s="225" t="s">
        <v>702</v>
      </c>
    </row>
    <row r="4814" spans="2:5" ht="15.75" thickBot="1">
      <c r="B4814" s="225" t="s">
        <v>7501</v>
      </c>
      <c r="C4814" s="226">
        <v>532794</v>
      </c>
      <c r="D4814" s="225" t="s">
        <v>7502</v>
      </c>
      <c r="E4814" s="225" t="s">
        <v>1336</v>
      </c>
    </row>
    <row r="4815" spans="2:5" ht="15.75" thickBot="1">
      <c r="B4815" s="225" t="s">
        <v>7503</v>
      </c>
      <c r="C4815" s="226">
        <v>533339</v>
      </c>
      <c r="D4815" s="225" t="s">
        <v>7504</v>
      </c>
      <c r="E4815" s="225" t="s">
        <v>690</v>
      </c>
    </row>
    <row r="4816" spans="2:5" ht="15.75" thickBot="1">
      <c r="B4816" s="225" t="s">
        <v>7505</v>
      </c>
      <c r="C4816" s="226">
        <v>531845</v>
      </c>
      <c r="D4816" s="225" t="s">
        <v>7506</v>
      </c>
      <c r="E4816" s="225" t="s">
        <v>995</v>
      </c>
    </row>
    <row r="4817" spans="2:5" ht="15.75" thickBot="1">
      <c r="B4817" s="225" t="s">
        <v>7507</v>
      </c>
      <c r="C4817" s="226">
        <v>531845</v>
      </c>
      <c r="D4817" s="225" t="s">
        <v>7506</v>
      </c>
      <c r="E4817" s="225" t="s">
        <v>995</v>
      </c>
    </row>
    <row r="4818" spans="2:5" ht="15.75" thickBot="1">
      <c r="B4818" s="225" t="s">
        <v>7508</v>
      </c>
      <c r="C4818" s="226">
        <v>512553</v>
      </c>
      <c r="D4818" s="225" t="s">
        <v>7509</v>
      </c>
      <c r="E4818" s="225" t="s">
        <v>612</v>
      </c>
    </row>
    <row r="4819" spans="2:5" ht="15.75" thickBot="1">
      <c r="B4819" s="225" t="s">
        <v>7510</v>
      </c>
      <c r="C4819" s="226">
        <v>514266</v>
      </c>
      <c r="D4819" s="225" t="s">
        <v>597</v>
      </c>
      <c r="E4819" s="225" t="s">
        <v>612</v>
      </c>
    </row>
    <row r="4820" spans="2:5" ht="15.75" thickBot="1">
      <c r="B4820" s="225" t="s">
        <v>7511</v>
      </c>
      <c r="C4820" s="226">
        <v>530665</v>
      </c>
      <c r="D4820" s="225" t="s">
        <v>597</v>
      </c>
      <c r="E4820" s="225" t="s">
        <v>635</v>
      </c>
    </row>
    <row r="4821" spans="2:5" ht="15.75" thickBot="1">
      <c r="B4821" s="225" t="s">
        <v>7512</v>
      </c>
      <c r="C4821" s="226">
        <v>530697</v>
      </c>
      <c r="D4821" s="225" t="s">
        <v>597</v>
      </c>
      <c r="E4821" s="225" t="s">
        <v>1018</v>
      </c>
    </row>
    <row r="4822" spans="2:5" ht="15.75" thickBot="1">
      <c r="B4822" s="225" t="s">
        <v>7513</v>
      </c>
      <c r="C4822" s="226">
        <v>532039</v>
      </c>
      <c r="D4822" s="225" t="s">
        <v>597</v>
      </c>
      <c r="E4822" s="225" t="s">
        <v>635</v>
      </c>
    </row>
    <row r="4823" spans="2:5" ht="15.75" thickBot="1">
      <c r="B4823" s="225" t="s">
        <v>7514</v>
      </c>
      <c r="C4823" s="226">
        <v>504067</v>
      </c>
      <c r="D4823" s="225" t="s">
        <v>7515</v>
      </c>
      <c r="E4823" s="225" t="s">
        <v>583</v>
      </c>
    </row>
    <row r="4824" spans="2:5" ht="15.75" thickBot="1">
      <c r="B4824" s="225" t="s">
        <v>7516</v>
      </c>
      <c r="C4824" s="226">
        <v>531404</v>
      </c>
      <c r="D4824" s="225" t="s">
        <v>7517</v>
      </c>
      <c r="E4824" s="225" t="s">
        <v>1139</v>
      </c>
    </row>
    <row r="4825" spans="2:5" ht="15.75" thickBot="1">
      <c r="B4825" s="225" t="s">
        <v>7518</v>
      </c>
      <c r="C4825" s="226">
        <v>541400</v>
      </c>
      <c r="D4825" s="225" t="s">
        <v>597</v>
      </c>
      <c r="E4825" s="225" t="s">
        <v>635</v>
      </c>
    </row>
    <row r="4826" spans="2:5" ht="15.75" thickBot="1">
      <c r="B4826" s="225" t="s">
        <v>7519</v>
      </c>
      <c r="C4826" s="226">
        <v>521163</v>
      </c>
      <c r="D4826" s="225" t="s">
        <v>7520</v>
      </c>
      <c r="E4826" s="225" t="s">
        <v>711</v>
      </c>
    </row>
    <row r="4827" spans="2:5" ht="15.75" thickBot="1">
      <c r="B4827" s="225" t="s">
        <v>7521</v>
      </c>
      <c r="C4827" s="225" t="s">
        <v>597</v>
      </c>
      <c r="D4827" s="225" t="s">
        <v>7522</v>
      </c>
      <c r="E4827" s="225" t="s">
        <v>608</v>
      </c>
    </row>
    <row r="4828" spans="2:5" ht="15.75" thickBot="1">
      <c r="B4828" s="225" t="s">
        <v>7523</v>
      </c>
      <c r="C4828" s="226">
        <v>512587</v>
      </c>
      <c r="D4828" s="225" t="s">
        <v>7524</v>
      </c>
      <c r="E4828" s="225" t="s">
        <v>711</v>
      </c>
    </row>
    <row r="4829" spans="2:5" ht="15.75" thickBot="1">
      <c r="B4829" s="225" t="s">
        <v>7525</v>
      </c>
      <c r="C4829" s="226">
        <v>503641</v>
      </c>
      <c r="D4829" s="225" t="s">
        <v>7526</v>
      </c>
      <c r="E4829" s="225" t="s">
        <v>681</v>
      </c>
    </row>
    <row r="4830" spans="2:5" ht="15.75" thickBot="1">
      <c r="B4830" s="225" t="s">
        <v>7527</v>
      </c>
      <c r="C4830" s="225" t="s">
        <v>597</v>
      </c>
      <c r="D4830" s="225" t="s">
        <v>7528</v>
      </c>
      <c r="E4830" s="225" t="s">
        <v>608</v>
      </c>
    </row>
    <row r="4831" spans="2:5" ht="15.75" thickBot="1">
      <c r="B4831" s="225" t="s">
        <v>7529</v>
      </c>
      <c r="C4831" s="226">
        <v>534742</v>
      </c>
      <c r="D4831" s="225" t="s">
        <v>7530</v>
      </c>
      <c r="E4831" s="225" t="s">
        <v>1105</v>
      </c>
    </row>
    <row r="4832" spans="2:5" ht="15.75" thickBot="1">
      <c r="B4832" s="225" t="s">
        <v>7531</v>
      </c>
      <c r="C4832" s="226">
        <v>500780</v>
      </c>
      <c r="D4832" s="225" t="s">
        <v>7532</v>
      </c>
      <c r="E4832" s="225" t="s">
        <v>1105</v>
      </c>
    </row>
    <row r="4833" spans="2:5" ht="15.75" thickBot="1">
      <c r="B4833" s="225" t="s">
        <v>7533</v>
      </c>
      <c r="C4833" s="226">
        <v>531335</v>
      </c>
      <c r="D4833" s="225" t="s">
        <v>7534</v>
      </c>
      <c r="E4833" s="225" t="s">
        <v>657</v>
      </c>
    </row>
    <row r="4834" spans="2:5" ht="15.75" thickBot="1">
      <c r="B4834" s="225" t="s">
        <v>7535</v>
      </c>
      <c r="C4834" s="226">
        <v>532883</v>
      </c>
      <c r="D4834" s="225" t="s">
        <v>7536</v>
      </c>
      <c r="E4834" s="225" t="s">
        <v>690</v>
      </c>
    </row>
    <row r="4835" spans="2:5" ht="15.75" thickBot="1">
      <c r="B4835" s="225" t="s">
        <v>7537</v>
      </c>
      <c r="C4835" s="226">
        <v>500202</v>
      </c>
      <c r="D4835" s="225" t="s">
        <v>7538</v>
      </c>
      <c r="E4835" s="225" t="s">
        <v>614</v>
      </c>
    </row>
    <row r="4836" spans="2:5" ht="15.75" thickBot="1">
      <c r="B4836" s="225" t="s">
        <v>7539</v>
      </c>
      <c r="C4836" s="226">
        <v>500458</v>
      </c>
      <c r="D4836" s="225" t="s">
        <v>7540</v>
      </c>
      <c r="E4836" s="225" t="s">
        <v>677</v>
      </c>
    </row>
    <row r="4837" spans="2:5" ht="15.75" thickBot="1">
      <c r="B4837" s="225" t="s">
        <v>7541</v>
      </c>
      <c r="C4837" s="226">
        <v>501111</v>
      </c>
      <c r="D4837" s="225" t="s">
        <v>7542</v>
      </c>
      <c r="E4837" s="225" t="s">
        <v>619</v>
      </c>
    </row>
    <row r="4838" spans="2:5" ht="15.75" thickBot="1">
      <c r="B4838" s="225" t="s">
        <v>7543</v>
      </c>
      <c r="C4838" s="226">
        <v>501151</v>
      </c>
      <c r="D4838" s="225" t="s">
        <v>7544</v>
      </c>
      <c r="E4838" s="225" t="s">
        <v>580</v>
      </c>
    </row>
    <row r="4839" spans="2:5" ht="15.75" thickBot="1">
      <c r="B4839" s="225" t="s">
        <v>7545</v>
      </c>
      <c r="C4839" s="226">
        <v>501311</v>
      </c>
      <c r="D4839" s="225" t="s">
        <v>7546</v>
      </c>
      <c r="E4839" s="225" t="s">
        <v>614</v>
      </c>
    </row>
    <row r="4840" spans="2:5" ht="15.75" thickBot="1">
      <c r="B4840" s="225" t="s">
        <v>7547</v>
      </c>
      <c r="C4840" s="226">
        <v>501622</v>
      </c>
      <c r="D4840" s="225" t="s">
        <v>7548</v>
      </c>
      <c r="E4840" s="225" t="s">
        <v>7549</v>
      </c>
    </row>
    <row r="4841" spans="2:5" ht="15.75" thickBot="1">
      <c r="B4841" s="225" t="s">
        <v>7550</v>
      </c>
      <c r="C4841" s="226">
        <v>502850</v>
      </c>
      <c r="D4841" s="225" t="s">
        <v>7551</v>
      </c>
      <c r="E4841" s="225" t="s">
        <v>612</v>
      </c>
    </row>
    <row r="4842" spans="2:5" ht="15.75" thickBot="1">
      <c r="B4842" s="225" t="s">
        <v>7552</v>
      </c>
      <c r="C4842" s="226">
        <v>503669</v>
      </c>
      <c r="D4842" s="225" t="s">
        <v>7553</v>
      </c>
      <c r="E4842" s="225" t="s">
        <v>7549</v>
      </c>
    </row>
    <row r="4843" spans="2:5" ht="15.75" thickBot="1">
      <c r="B4843" s="225" t="s">
        <v>7554</v>
      </c>
      <c r="C4843" s="226">
        <v>506975</v>
      </c>
      <c r="D4843" s="225" t="s">
        <v>7555</v>
      </c>
      <c r="E4843" s="225" t="s">
        <v>612</v>
      </c>
    </row>
    <row r="4844" spans="2:5" ht="15.75" thickBot="1">
      <c r="B4844" s="225" t="s">
        <v>7556</v>
      </c>
      <c r="C4844" s="226">
        <v>508924</v>
      </c>
      <c r="D4844" s="225" t="s">
        <v>7557</v>
      </c>
      <c r="E4844" s="225" t="s">
        <v>7549</v>
      </c>
    </row>
    <row r="4845" spans="2:5" ht="15.75" thickBot="1">
      <c r="B4845" s="225" t="s">
        <v>7558</v>
      </c>
      <c r="C4845" s="226">
        <v>511260</v>
      </c>
      <c r="D4845" s="225" t="s">
        <v>7559</v>
      </c>
      <c r="E4845" s="225" t="s">
        <v>580</v>
      </c>
    </row>
    <row r="4846" spans="2:5" ht="15.75" thickBot="1">
      <c r="B4846" s="225" t="s">
        <v>7560</v>
      </c>
      <c r="C4846" s="226">
        <v>511730</v>
      </c>
      <c r="D4846" s="225" t="s">
        <v>7561</v>
      </c>
      <c r="E4846" s="225" t="s">
        <v>614</v>
      </c>
    </row>
    <row r="4847" spans="2:5" ht="15.75" thickBot="1">
      <c r="B4847" s="225" t="s">
        <v>7562</v>
      </c>
      <c r="C4847" s="226">
        <v>512221</v>
      </c>
      <c r="D4847" s="225" t="s">
        <v>7563</v>
      </c>
      <c r="E4847" s="225" t="s">
        <v>614</v>
      </c>
    </row>
    <row r="4848" spans="2:5" ht="15.75" thickBot="1">
      <c r="B4848" s="225" t="s">
        <v>7564</v>
      </c>
      <c r="C4848" s="226">
        <v>512344</v>
      </c>
      <c r="D4848" s="225" t="s">
        <v>7565</v>
      </c>
      <c r="E4848" s="225" t="s">
        <v>619</v>
      </c>
    </row>
    <row r="4849" spans="2:5" ht="15.75" thickBot="1">
      <c r="B4849" s="225" t="s">
        <v>7566</v>
      </c>
      <c r="C4849" s="226">
        <v>512345</v>
      </c>
      <c r="D4849" s="225" t="s">
        <v>7567</v>
      </c>
      <c r="E4849" s="225" t="s">
        <v>580</v>
      </c>
    </row>
    <row r="4850" spans="2:5" ht="15.75" thickBot="1">
      <c r="B4850" s="225" t="s">
        <v>7568</v>
      </c>
      <c r="C4850" s="226">
        <v>512479</v>
      </c>
      <c r="D4850" s="225" t="s">
        <v>7569</v>
      </c>
      <c r="E4850" s="225" t="s">
        <v>683</v>
      </c>
    </row>
    <row r="4851" spans="2:5" ht="15.75" thickBot="1">
      <c r="B4851" s="225" t="s">
        <v>7570</v>
      </c>
      <c r="C4851" s="226">
        <v>513343</v>
      </c>
      <c r="D4851" s="225" t="s">
        <v>7571</v>
      </c>
      <c r="E4851" s="225" t="s">
        <v>920</v>
      </c>
    </row>
    <row r="4852" spans="2:5" ht="15.75" thickBot="1">
      <c r="B4852" s="225" t="s">
        <v>7572</v>
      </c>
      <c r="C4852" s="226">
        <v>513418</v>
      </c>
      <c r="D4852" s="225" t="s">
        <v>7573</v>
      </c>
      <c r="E4852" s="225" t="s">
        <v>1517</v>
      </c>
    </row>
    <row r="4853" spans="2:5" ht="15.75" thickBot="1">
      <c r="B4853" s="225" t="s">
        <v>7574</v>
      </c>
      <c r="C4853" s="226">
        <v>515008</v>
      </c>
      <c r="D4853" s="225" t="s">
        <v>7575</v>
      </c>
      <c r="E4853" s="225" t="s">
        <v>895</v>
      </c>
    </row>
    <row r="4854" spans="2:5" ht="15.75" thickBot="1">
      <c r="B4854" s="225" t="s">
        <v>7576</v>
      </c>
      <c r="C4854" s="226">
        <v>517273</v>
      </c>
      <c r="D4854" s="225" t="s">
        <v>7577</v>
      </c>
      <c r="E4854" s="225" t="s">
        <v>895</v>
      </c>
    </row>
    <row r="4855" spans="2:5" ht="15.75" thickBot="1">
      <c r="B4855" s="225" t="s">
        <v>7578</v>
      </c>
      <c r="C4855" s="226">
        <v>517360</v>
      </c>
      <c r="D4855" s="225" t="s">
        <v>7579</v>
      </c>
      <c r="E4855" s="225" t="s">
        <v>619</v>
      </c>
    </row>
    <row r="4856" spans="2:5" ht="15.75" thickBot="1">
      <c r="B4856" s="225" t="s">
        <v>7580</v>
      </c>
      <c r="C4856" s="226">
        <v>517393</v>
      </c>
      <c r="D4856" s="225" t="s">
        <v>7581</v>
      </c>
      <c r="E4856" s="225" t="s">
        <v>922</v>
      </c>
    </row>
    <row r="4857" spans="2:5" ht="15.75" thickBot="1">
      <c r="B4857" s="225" t="s">
        <v>7582</v>
      </c>
      <c r="C4857" s="226">
        <v>519397</v>
      </c>
      <c r="D4857" s="225" t="s">
        <v>7583</v>
      </c>
      <c r="E4857" s="225" t="s">
        <v>657</v>
      </c>
    </row>
    <row r="4858" spans="2:5" ht="15.75" thickBot="1">
      <c r="B4858" s="225" t="s">
        <v>7584</v>
      </c>
      <c r="C4858" s="226">
        <v>519500</v>
      </c>
      <c r="D4858" s="225" t="s">
        <v>7585</v>
      </c>
      <c r="E4858" s="225" t="s">
        <v>657</v>
      </c>
    </row>
    <row r="4859" spans="2:5" ht="15.75" thickBot="1">
      <c r="B4859" s="225" t="s">
        <v>7586</v>
      </c>
      <c r="C4859" s="226">
        <v>522171</v>
      </c>
      <c r="D4859" s="225" t="s">
        <v>7587</v>
      </c>
      <c r="E4859" s="225" t="s">
        <v>605</v>
      </c>
    </row>
    <row r="4860" spans="2:5" ht="15.75" thickBot="1">
      <c r="B4860" s="225" t="s">
        <v>7588</v>
      </c>
      <c r="C4860" s="226">
        <v>524572</v>
      </c>
      <c r="D4860" s="225" t="s">
        <v>7589</v>
      </c>
      <c r="E4860" s="225" t="s">
        <v>635</v>
      </c>
    </row>
    <row r="4861" spans="2:5" ht="15.75" thickBot="1">
      <c r="B4861" s="225" t="s">
        <v>7590</v>
      </c>
      <c r="C4861" s="226">
        <v>526211</v>
      </c>
      <c r="D4861" s="225" t="s">
        <v>7591</v>
      </c>
      <c r="E4861" s="225" t="s">
        <v>846</v>
      </c>
    </row>
    <row r="4862" spans="2:5" ht="15.75" thickBot="1">
      <c r="B4862" s="225" t="s">
        <v>7592</v>
      </c>
      <c r="C4862" s="226">
        <v>526638</v>
      </c>
      <c r="D4862" s="225" t="s">
        <v>7593</v>
      </c>
      <c r="E4862" s="225" t="s">
        <v>717</v>
      </c>
    </row>
    <row r="4863" spans="2:5" ht="15.75" thickBot="1">
      <c r="B4863" s="225" t="s">
        <v>7594</v>
      </c>
      <c r="C4863" s="226">
        <v>530291</v>
      </c>
      <c r="D4863" s="225" t="s">
        <v>7595</v>
      </c>
      <c r="E4863" s="225" t="s">
        <v>846</v>
      </c>
    </row>
    <row r="4864" spans="2:5" ht="15.75" thickBot="1">
      <c r="B4864" s="225" t="s">
        <v>7596</v>
      </c>
      <c r="C4864" s="226">
        <v>530439</v>
      </c>
      <c r="D4864" s="225" t="s">
        <v>7597</v>
      </c>
      <c r="E4864" s="225" t="s">
        <v>614</v>
      </c>
    </row>
    <row r="4865" spans="2:5" ht="15.75" thickBot="1">
      <c r="B4865" s="225" t="s">
        <v>7598</v>
      </c>
      <c r="C4865" s="226">
        <v>530443</v>
      </c>
      <c r="D4865" s="225" t="s">
        <v>7599</v>
      </c>
      <c r="E4865" s="225" t="s">
        <v>612</v>
      </c>
    </row>
    <row r="4866" spans="2:5" ht="15.75" thickBot="1">
      <c r="B4866" s="225" t="s">
        <v>7600</v>
      </c>
      <c r="C4866" s="226">
        <v>531205</v>
      </c>
      <c r="D4866" s="225" t="s">
        <v>7601</v>
      </c>
      <c r="E4866" s="225" t="s">
        <v>619</v>
      </c>
    </row>
    <row r="4867" spans="2:5" ht="15.75" thickBot="1">
      <c r="B4867" s="225" t="s">
        <v>7602</v>
      </c>
      <c r="C4867" s="226">
        <v>531225</v>
      </c>
      <c r="D4867" s="225" t="s">
        <v>7603</v>
      </c>
      <c r="E4867" s="225" t="s">
        <v>690</v>
      </c>
    </row>
    <row r="4868" spans="2:5" ht="15.75" thickBot="1">
      <c r="B4868" s="225" t="s">
        <v>7604</v>
      </c>
      <c r="C4868" s="226">
        <v>531436</v>
      </c>
      <c r="D4868" s="225" t="s">
        <v>7605</v>
      </c>
      <c r="E4868" s="225" t="s">
        <v>591</v>
      </c>
    </row>
    <row r="4869" spans="2:5" ht="15.75" thickBot="1">
      <c r="B4869" s="225" t="s">
        <v>7606</v>
      </c>
      <c r="C4869" s="226">
        <v>531621</v>
      </c>
      <c r="D4869" s="225" t="s">
        <v>7607</v>
      </c>
      <c r="E4869" s="225" t="s">
        <v>603</v>
      </c>
    </row>
    <row r="4870" spans="2:5" ht="15.75" thickBot="1">
      <c r="B4870" s="225" t="s">
        <v>7608</v>
      </c>
      <c r="C4870" s="226">
        <v>531944</v>
      </c>
      <c r="D4870" s="225" t="s">
        <v>7609</v>
      </c>
      <c r="E4870" s="225" t="s">
        <v>605</v>
      </c>
    </row>
    <row r="4871" spans="2:5" ht="15.75" thickBot="1">
      <c r="B4871" s="225" t="s">
        <v>7610</v>
      </c>
      <c r="C4871" s="226">
        <v>532138</v>
      </c>
      <c r="D4871" s="225" t="s">
        <v>7611</v>
      </c>
      <c r="E4871" s="225" t="s">
        <v>614</v>
      </c>
    </row>
    <row r="4872" spans="2:5" ht="15.75" thickBot="1">
      <c r="B4872" s="225" t="s">
        <v>7612</v>
      </c>
      <c r="C4872" s="226">
        <v>533093</v>
      </c>
      <c r="D4872" s="225" t="s">
        <v>7613</v>
      </c>
      <c r="E4872" s="225" t="s">
        <v>846</v>
      </c>
    </row>
    <row r="4873" spans="2:5" ht="15.75" thickBot="1">
      <c r="B4873" s="225" t="s">
        <v>7614</v>
      </c>
      <c r="C4873" s="226">
        <v>533570</v>
      </c>
      <c r="D4873" s="225" t="s">
        <v>7615</v>
      </c>
      <c r="E4873" s="225"/>
    </row>
    <row r="4874" spans="2:5" ht="15.75" thickBot="1">
      <c r="B4874" s="225" t="s">
        <v>7616</v>
      </c>
      <c r="C4874" s="226">
        <v>533719</v>
      </c>
      <c r="D4874" s="225" t="s">
        <v>7617</v>
      </c>
      <c r="E4874" s="225"/>
    </row>
    <row r="4875" spans="2:5" ht="15.75" thickBot="1">
      <c r="B4875" s="225" t="s">
        <v>7618</v>
      </c>
      <c r="C4875" s="226">
        <v>535276</v>
      </c>
      <c r="D4875" s="225" t="s">
        <v>7619</v>
      </c>
      <c r="E4875" s="225"/>
    </row>
    <row r="4876" spans="2:5" ht="15.75" thickBot="1">
      <c r="B4876" s="225" t="s">
        <v>7620</v>
      </c>
      <c r="C4876" s="226">
        <v>536960</v>
      </c>
      <c r="D4876" s="225" t="s">
        <v>7621</v>
      </c>
      <c r="E4876" s="225"/>
    </row>
    <row r="4877" spans="2:5" ht="15.75" thickBot="1">
      <c r="B4877" s="225" t="s">
        <v>7622</v>
      </c>
      <c r="C4877" s="226">
        <v>537007</v>
      </c>
      <c r="D4877" s="225" t="s">
        <v>7623</v>
      </c>
      <c r="E4877" s="225"/>
    </row>
    <row r="4878" spans="2:5" ht="15.75" thickBot="1">
      <c r="B4878" s="225" t="s">
        <v>7624</v>
      </c>
      <c r="C4878" s="226">
        <v>537008</v>
      </c>
      <c r="D4878" s="225" t="s">
        <v>7625</v>
      </c>
      <c r="E4878" s="225"/>
    </row>
    <row r="4879" spans="2:5" ht="15.75" thickBot="1">
      <c r="B4879" s="225" t="s">
        <v>7626</v>
      </c>
      <c r="C4879" s="226">
        <v>537483</v>
      </c>
      <c r="D4879" s="225" t="s">
        <v>7627</v>
      </c>
      <c r="E4879" s="225"/>
    </row>
    <row r="4880" spans="2:5" ht="15.75" thickBot="1">
      <c r="B4880" s="225" t="s">
        <v>7628</v>
      </c>
      <c r="C4880" s="226">
        <v>537708</v>
      </c>
      <c r="D4880" s="225" t="s">
        <v>7629</v>
      </c>
      <c r="E4880" s="225"/>
    </row>
    <row r="4881" spans="2:5" ht="15.75" thickBot="1">
      <c r="B4881" s="225" t="s">
        <v>7630</v>
      </c>
      <c r="C4881" s="226">
        <v>538057</v>
      </c>
      <c r="D4881" s="225" t="s">
        <v>7631</v>
      </c>
      <c r="E4881" s="225"/>
    </row>
    <row r="4882" spans="2:5" ht="15.75" thickBot="1">
      <c r="B4882" s="225" t="s">
        <v>7632</v>
      </c>
      <c r="C4882" s="226">
        <v>538273</v>
      </c>
      <c r="D4882" s="225" t="s">
        <v>7633</v>
      </c>
      <c r="E4882" s="225" t="s">
        <v>690</v>
      </c>
    </row>
    <row r="4883" spans="2:5" ht="15.75" thickBot="1">
      <c r="B4883" s="225" t="s">
        <v>7634</v>
      </c>
      <c r="C4883" s="226">
        <v>538452</v>
      </c>
      <c r="D4883" s="225" t="s">
        <v>7635</v>
      </c>
      <c r="E4883" s="225" t="s">
        <v>619</v>
      </c>
    </row>
    <row r="4884" spans="2:5" ht="15.75" thickBot="1">
      <c r="B4884" s="225" t="s">
        <v>7636</v>
      </c>
      <c r="C4884" s="226">
        <v>538501</v>
      </c>
      <c r="D4884" s="225" t="s">
        <v>7637</v>
      </c>
      <c r="E4884" s="225"/>
    </row>
    <row r="4885" spans="2:5" ht="15.75" thickBot="1">
      <c r="B4885" s="225" t="s">
        <v>7638</v>
      </c>
      <c r="C4885" s="226">
        <v>538502</v>
      </c>
      <c r="D4885" s="225" t="s">
        <v>7639</v>
      </c>
      <c r="E4885" s="225"/>
    </row>
    <row r="4886" spans="2:5" ht="15.75" thickBot="1">
      <c r="B4886" s="225" t="s">
        <v>7640</v>
      </c>
      <c r="C4886" s="226">
        <v>538577</v>
      </c>
      <c r="D4886" s="225" t="s">
        <v>7641</v>
      </c>
      <c r="E4886" s="225"/>
    </row>
    <row r="4887" spans="2:5" ht="15.75" thickBot="1">
      <c r="B4887" s="225" t="s">
        <v>7642</v>
      </c>
      <c r="C4887" s="226">
        <v>538578</v>
      </c>
      <c r="D4887" s="225" t="s">
        <v>7643</v>
      </c>
      <c r="E4887" s="225"/>
    </row>
    <row r="4888" spans="2:5" ht="15.75" thickBot="1">
      <c r="B4888" s="225" t="s">
        <v>7644</v>
      </c>
      <c r="C4888" s="226">
        <v>538646</v>
      </c>
      <c r="D4888" s="225" t="s">
        <v>7645</v>
      </c>
      <c r="E4888" s="225" t="s">
        <v>614</v>
      </c>
    </row>
    <row r="4889" spans="2:5" ht="15.75" thickBot="1">
      <c r="B4889" s="225" t="s">
        <v>7646</v>
      </c>
      <c r="C4889" s="226">
        <v>538683</v>
      </c>
      <c r="D4889" s="225" t="s">
        <v>7647</v>
      </c>
      <c r="E4889" s="225"/>
    </row>
    <row r="4890" spans="2:5" ht="15.75" thickBot="1">
      <c r="B4890" s="225" t="s">
        <v>7648</v>
      </c>
      <c r="C4890" s="226">
        <v>538728</v>
      </c>
      <c r="D4890" s="225" t="s">
        <v>7649</v>
      </c>
      <c r="E4890" s="225"/>
    </row>
    <row r="4891" spans="2:5" ht="15.75" thickBot="1">
      <c r="B4891" s="225" t="s">
        <v>7650</v>
      </c>
      <c r="C4891" s="226">
        <v>538729</v>
      </c>
      <c r="D4891" s="225" t="s">
        <v>7651</v>
      </c>
      <c r="E4891" s="225"/>
    </row>
    <row r="4892" spans="2:5" ht="15.75" thickBot="1">
      <c r="B4892" s="225" t="s">
        <v>7652</v>
      </c>
      <c r="C4892" s="226">
        <v>538808</v>
      </c>
      <c r="D4892" s="225" t="s">
        <v>7653</v>
      </c>
      <c r="E4892" s="225"/>
    </row>
    <row r="4893" spans="2:5" ht="15.75" thickBot="1">
      <c r="B4893" s="225" t="s">
        <v>7654</v>
      </c>
      <c r="C4893" s="226">
        <v>538809</v>
      </c>
      <c r="D4893" s="225" t="s">
        <v>7655</v>
      </c>
      <c r="E4893" s="225"/>
    </row>
    <row r="4894" spans="2:5" ht="15.75" thickBot="1">
      <c r="B4894" s="225" t="s">
        <v>7656</v>
      </c>
      <c r="C4894" s="226">
        <v>538810</v>
      </c>
      <c r="D4894" s="225" t="s">
        <v>7657</v>
      </c>
      <c r="E4894" s="225"/>
    </row>
    <row r="4895" spans="2:5" ht="15.75" thickBot="1">
      <c r="B4895" s="225" t="s">
        <v>7658</v>
      </c>
      <c r="C4895" s="226">
        <v>538811</v>
      </c>
      <c r="D4895" s="225" t="s">
        <v>7659</v>
      </c>
      <c r="E4895" s="225"/>
    </row>
    <row r="4896" spans="2:5" ht="15.75" thickBot="1">
      <c r="B4896" s="225" t="s">
        <v>7660</v>
      </c>
      <c r="C4896" s="226">
        <v>539031</v>
      </c>
      <c r="D4896" s="225" t="s">
        <v>7661</v>
      </c>
      <c r="E4896" s="225"/>
    </row>
    <row r="4897" spans="2:5" ht="15.75" thickBot="1">
      <c r="B4897" s="225" t="s">
        <v>7662</v>
      </c>
      <c r="C4897" s="226">
        <v>539090</v>
      </c>
      <c r="D4897" s="225" t="s">
        <v>7663</v>
      </c>
      <c r="E4897" s="225" t="s">
        <v>614</v>
      </c>
    </row>
    <row r="4898" spans="2:5" ht="15.75" thickBot="1">
      <c r="B4898" s="225" t="s">
        <v>7664</v>
      </c>
      <c r="C4898" s="226">
        <v>539142</v>
      </c>
      <c r="D4898" s="225" t="s">
        <v>7665</v>
      </c>
      <c r="E4898" s="225"/>
    </row>
    <row r="4899" spans="2:5" ht="15.75" thickBot="1">
      <c r="B4899" s="225" t="s">
        <v>7666</v>
      </c>
      <c r="C4899" s="226">
        <v>539274</v>
      </c>
      <c r="D4899" s="225" t="s">
        <v>7667</v>
      </c>
      <c r="E4899" s="225" t="s">
        <v>614</v>
      </c>
    </row>
    <row r="4900" spans="2:5" ht="15.75" thickBot="1">
      <c r="B4900" s="225" t="s">
        <v>7668</v>
      </c>
      <c r="C4900" s="226">
        <v>539312</v>
      </c>
      <c r="D4900" s="225" t="s">
        <v>7669</v>
      </c>
      <c r="E4900" s="225"/>
    </row>
    <row r="4901" spans="2:5" ht="15.75" thickBot="1">
      <c r="B4901" s="225" t="s">
        <v>7670</v>
      </c>
      <c r="C4901" s="226">
        <v>539313</v>
      </c>
      <c r="D4901" s="225" t="s">
        <v>7671</v>
      </c>
      <c r="E4901" s="225"/>
    </row>
    <row r="4902" spans="2:5" ht="15.75" thickBot="1">
      <c r="B4902" s="225" t="s">
        <v>7672</v>
      </c>
      <c r="C4902" s="226">
        <v>539480</v>
      </c>
      <c r="D4902" s="225" t="s">
        <v>7673</v>
      </c>
      <c r="E4902" s="225"/>
    </row>
    <row r="4903" spans="2:5" ht="15.75" thickBot="1">
      <c r="B4903" s="225" t="s">
        <v>7674</v>
      </c>
      <c r="C4903" s="226">
        <v>539487</v>
      </c>
      <c r="D4903" s="225" t="s">
        <v>7675</v>
      </c>
      <c r="E4903" s="225"/>
    </row>
    <row r="4904" spans="2:5" ht="15.75" thickBot="1">
      <c r="B4904" s="225" t="s">
        <v>7676</v>
      </c>
      <c r="C4904" s="226">
        <v>539516</v>
      </c>
      <c r="D4904" s="225" t="s">
        <v>7677</v>
      </c>
      <c r="E4904" s="225"/>
    </row>
    <row r="4905" spans="2:5" ht="15.75" thickBot="1">
      <c r="B4905" s="225" t="s">
        <v>7678</v>
      </c>
      <c r="C4905" s="226">
        <v>539517</v>
      </c>
      <c r="D4905" s="225" t="s">
        <v>7679</v>
      </c>
      <c r="E4905" s="225"/>
    </row>
    <row r="4906" spans="2:5" ht="15.75" thickBot="1">
      <c r="B4906" s="225" t="s">
        <v>7680</v>
      </c>
      <c r="C4906" s="226">
        <v>539561</v>
      </c>
      <c r="D4906" s="225" t="s">
        <v>7681</v>
      </c>
      <c r="E4906" s="225" t="s">
        <v>619</v>
      </c>
    </row>
    <row r="4907" spans="2:5" ht="15.75" thickBot="1">
      <c r="B4907" s="225" t="s">
        <v>7682</v>
      </c>
      <c r="C4907" s="226">
        <v>539784</v>
      </c>
      <c r="D4907" s="225" t="s">
        <v>7683</v>
      </c>
      <c r="E4907" s="225"/>
    </row>
    <row r="4908" spans="2:5" ht="15.75" thickBot="1">
      <c r="B4908" s="225" t="s">
        <v>7684</v>
      </c>
      <c r="C4908" s="226">
        <v>539945</v>
      </c>
      <c r="D4908" s="225" t="s">
        <v>7685</v>
      </c>
      <c r="E4908" s="225"/>
    </row>
    <row r="4909" spans="2:5" ht="15.75" thickBot="1">
      <c r="B4909" s="225" t="s">
        <v>7686</v>
      </c>
      <c r="C4909" s="226">
        <v>539980</v>
      </c>
      <c r="D4909" s="225" t="s">
        <v>7687</v>
      </c>
      <c r="E4909" s="225"/>
    </row>
    <row r="4910" spans="2:5" ht="15.75" thickBot="1">
      <c r="B4910" s="225" t="s">
        <v>7688</v>
      </c>
      <c r="C4910" s="226">
        <v>540008</v>
      </c>
      <c r="D4910" s="225" t="s">
        <v>7689</v>
      </c>
      <c r="E4910" s="225"/>
    </row>
    <row r="4911" spans="2:5" ht="15.75" thickBot="1">
      <c r="B4911" s="225" t="s">
        <v>7690</v>
      </c>
      <c r="C4911" s="226">
        <v>540154</v>
      </c>
      <c r="D4911" s="225" t="s">
        <v>7691</v>
      </c>
      <c r="E4911" s="225"/>
    </row>
    <row r="4912" spans="2:5" ht="15.75" thickBot="1">
      <c r="B4912" s="225" t="s">
        <v>7692</v>
      </c>
      <c r="C4912" s="226">
        <v>540333</v>
      </c>
      <c r="D4912" s="225" t="s">
        <v>7693</v>
      </c>
      <c r="E4912" s="225"/>
    </row>
    <row r="4913" spans="2:5" ht="15.75" thickBot="1">
      <c r="B4913" s="225" t="s">
        <v>7694</v>
      </c>
      <c r="C4913" s="226">
        <v>540334</v>
      </c>
      <c r="D4913" s="225" t="s">
        <v>7695</v>
      </c>
      <c r="E4913" s="225"/>
    </row>
    <row r="4914" spans="2:5" ht="15.75" thickBot="1">
      <c r="B4914" s="225" t="s">
        <v>7696</v>
      </c>
      <c r="C4914" s="226">
        <v>540335</v>
      </c>
      <c r="D4914" s="225" t="s">
        <v>7697</v>
      </c>
      <c r="E4914" s="225"/>
    </row>
    <row r="4915" spans="2:5" ht="15.75" thickBot="1">
      <c r="B4915" s="225" t="s">
        <v>7698</v>
      </c>
      <c r="C4915" s="226">
        <v>540336</v>
      </c>
      <c r="D4915" s="225" t="s">
        <v>7699</v>
      </c>
      <c r="E4915" s="225"/>
    </row>
    <row r="4916" spans="2:5" ht="15.75" thickBot="1">
      <c r="B4916" s="225" t="s">
        <v>7700</v>
      </c>
      <c r="C4916" s="226">
        <v>540469</v>
      </c>
      <c r="D4916" s="225" t="s">
        <v>7701</v>
      </c>
      <c r="E4916" s="225"/>
    </row>
    <row r="4917" spans="2:5" ht="15.75" thickBot="1">
      <c r="B4917" s="225" t="s">
        <v>7702</v>
      </c>
      <c r="C4917" s="226">
        <v>540470</v>
      </c>
      <c r="D4917" s="225" t="s">
        <v>7703</v>
      </c>
      <c r="E4917" s="225"/>
    </row>
    <row r="4918" spans="2:5" ht="15.75" thickBot="1">
      <c r="B4918" s="225" t="s">
        <v>7704</v>
      </c>
      <c r="C4918" s="226">
        <v>540538</v>
      </c>
      <c r="D4918" s="225" t="s">
        <v>7705</v>
      </c>
      <c r="E4918" s="225"/>
    </row>
    <row r="4919" spans="2:5" ht="15.75" thickBot="1">
      <c r="B4919" s="225" t="s">
        <v>7706</v>
      </c>
      <c r="C4919" s="226">
        <v>540539</v>
      </c>
      <c r="D4919" s="225" t="s">
        <v>7707</v>
      </c>
      <c r="E4919" s="225"/>
    </row>
    <row r="4920" spans="2:5" ht="15.75" thickBot="1">
      <c r="B4920" s="225" t="s">
        <v>7708</v>
      </c>
      <c r="C4920" s="226">
        <v>540551</v>
      </c>
      <c r="D4920" s="225" t="s">
        <v>7709</v>
      </c>
      <c r="E4920" s="225"/>
    </row>
    <row r="4921" spans="2:5" ht="15.75" thickBot="1">
      <c r="B4921" s="225" t="s">
        <v>7710</v>
      </c>
      <c r="C4921" s="226">
        <v>540552</v>
      </c>
      <c r="D4921" s="225" t="s">
        <v>7711</v>
      </c>
      <c r="E4921" s="225"/>
    </row>
    <row r="4922" spans="2:5" ht="15.75" thickBot="1">
      <c r="B4922" s="225" t="s">
        <v>7712</v>
      </c>
      <c r="C4922" s="226">
        <v>540586</v>
      </c>
      <c r="D4922" s="225" t="s">
        <v>7713</v>
      </c>
      <c r="E4922" s="225"/>
    </row>
    <row r="4923" spans="2:5" ht="15.75" thickBot="1">
      <c r="B4923" s="225" t="s">
        <v>7714</v>
      </c>
      <c r="C4923" s="226">
        <v>540587</v>
      </c>
      <c r="D4923" s="225" t="s">
        <v>7715</v>
      </c>
      <c r="E4923" s="225"/>
    </row>
    <row r="4924" spans="2:5" ht="15.75" thickBot="1">
      <c r="B4924" s="225" t="s">
        <v>7716</v>
      </c>
      <c r="C4924" s="226">
        <v>540588</v>
      </c>
      <c r="D4924" s="225" t="s">
        <v>7717</v>
      </c>
      <c r="E4924" s="225"/>
    </row>
    <row r="4925" spans="2:5" ht="15.75" thickBot="1">
      <c r="B4925" s="225" t="s">
        <v>7718</v>
      </c>
      <c r="C4925" s="226">
        <v>540589</v>
      </c>
      <c r="D4925" s="225" t="s">
        <v>7719</v>
      </c>
      <c r="E4925" s="225"/>
    </row>
    <row r="4926" spans="2:5" ht="15.75" thickBot="1">
      <c r="B4926" s="225" t="s">
        <v>7720</v>
      </c>
      <c r="C4926" s="226">
        <v>540591</v>
      </c>
      <c r="D4926" s="225" t="s">
        <v>7721</v>
      </c>
      <c r="E4926" s="225"/>
    </row>
    <row r="4927" spans="2:5" ht="15.75" thickBot="1">
      <c r="B4927" s="225" t="s">
        <v>7722</v>
      </c>
      <c r="C4927" s="226">
        <v>540592</v>
      </c>
      <c r="D4927" s="225" t="s">
        <v>7723</v>
      </c>
      <c r="E4927" s="225"/>
    </row>
    <row r="4928" spans="2:5" ht="15.75" thickBot="1">
      <c r="B4928" s="225" t="s">
        <v>7724</v>
      </c>
      <c r="C4928" s="226">
        <v>540593</v>
      </c>
      <c r="D4928" s="225" t="s">
        <v>7725</v>
      </c>
      <c r="E4928" s="225"/>
    </row>
    <row r="4929" spans="2:5" ht="15.75" thickBot="1">
      <c r="B4929" s="225" t="s">
        <v>7726</v>
      </c>
      <c r="C4929" s="226">
        <v>540594</v>
      </c>
      <c r="D4929" s="225" t="s">
        <v>7727</v>
      </c>
      <c r="E4929" s="225"/>
    </row>
    <row r="4930" spans="2:5" ht="15.75" thickBot="1">
      <c r="B4930" s="225" t="s">
        <v>7728</v>
      </c>
      <c r="C4930" s="226">
        <v>540612</v>
      </c>
      <c r="D4930" s="225" t="s">
        <v>7729</v>
      </c>
      <c r="E4930" s="225"/>
    </row>
    <row r="4931" spans="2:5" ht="15.75" thickBot="1">
      <c r="B4931" s="225" t="s">
        <v>7730</v>
      </c>
      <c r="C4931" s="226">
        <v>540617</v>
      </c>
      <c r="D4931" s="225" t="s">
        <v>7731</v>
      </c>
      <c r="E4931" s="225"/>
    </row>
    <row r="4932" spans="2:5" ht="15.75" thickBot="1">
      <c r="B4932" s="225" t="s">
        <v>7732</v>
      </c>
      <c r="C4932" s="226">
        <v>540618</v>
      </c>
      <c r="D4932" s="225" t="s">
        <v>7733</v>
      </c>
      <c r="E4932" s="225"/>
    </row>
    <row r="4933" spans="2:5" ht="15.75" thickBot="1">
      <c r="B4933" s="225" t="s">
        <v>7734</v>
      </c>
      <c r="C4933" s="226">
        <v>540619</v>
      </c>
      <c r="D4933" s="225" t="s">
        <v>7735</v>
      </c>
      <c r="E4933" s="225"/>
    </row>
    <row r="4934" spans="2:5" ht="15.75" thickBot="1">
      <c r="B4934" s="225" t="s">
        <v>7736</v>
      </c>
      <c r="C4934" s="226">
        <v>540620</v>
      </c>
      <c r="D4934" s="225" t="s">
        <v>7737</v>
      </c>
      <c r="E4934" s="225"/>
    </row>
    <row r="4935" spans="2:5" ht="15.75" thickBot="1">
      <c r="B4935" s="225" t="s">
        <v>7738</v>
      </c>
      <c r="C4935" s="226">
        <v>540626</v>
      </c>
      <c r="D4935" s="225" t="s">
        <v>7739</v>
      </c>
      <c r="E4935" s="225"/>
    </row>
    <row r="4936" spans="2:5" ht="15.75" thickBot="1">
      <c r="B4936" s="225" t="s">
        <v>7740</v>
      </c>
      <c r="C4936" s="226">
        <v>540627</v>
      </c>
      <c r="D4936" s="225" t="s">
        <v>7741</v>
      </c>
      <c r="E4936" s="225"/>
    </row>
    <row r="4937" spans="2:5" ht="15.75" thickBot="1">
      <c r="B4937" s="225" t="s">
        <v>7742</v>
      </c>
      <c r="C4937" s="226">
        <v>540629</v>
      </c>
      <c r="D4937" s="225" t="s">
        <v>7743</v>
      </c>
      <c r="E4937" s="225"/>
    </row>
    <row r="4938" spans="2:5" ht="15.75" thickBot="1">
      <c r="B4938" s="225" t="s">
        <v>7744</v>
      </c>
      <c r="C4938" s="226">
        <v>540631</v>
      </c>
      <c r="D4938" s="225" t="s">
        <v>7745</v>
      </c>
      <c r="E4938" s="225"/>
    </row>
    <row r="4939" spans="2:5" ht="15.75" thickBot="1">
      <c r="B4939" s="225" t="s">
        <v>7746</v>
      </c>
      <c r="C4939" s="226">
        <v>540634</v>
      </c>
      <c r="D4939" s="225" t="s">
        <v>7747</v>
      </c>
      <c r="E4939" s="225"/>
    </row>
    <row r="4940" spans="2:5" ht="15.75" thickBot="1">
      <c r="B4940" s="225" t="s">
        <v>7748</v>
      </c>
      <c r="C4940" s="226">
        <v>540635</v>
      </c>
      <c r="D4940" s="225" t="s">
        <v>7749</v>
      </c>
      <c r="E4940" s="225"/>
    </row>
    <row r="4941" spans="2:5" ht="15.75" thickBot="1">
      <c r="B4941" s="225" t="s">
        <v>7750</v>
      </c>
      <c r="C4941" s="226">
        <v>540636</v>
      </c>
      <c r="D4941" s="225" t="s">
        <v>7751</v>
      </c>
      <c r="E4941" s="225"/>
    </row>
    <row r="4942" spans="2:5" ht="15.75" thickBot="1">
      <c r="B4942" s="225" t="s">
        <v>7752</v>
      </c>
      <c r="C4942" s="226">
        <v>540637</v>
      </c>
      <c r="D4942" s="225" t="s">
        <v>7753</v>
      </c>
      <c r="E4942" s="225"/>
    </row>
    <row r="4943" spans="2:5" ht="15.75" thickBot="1">
      <c r="B4943" s="225" t="s">
        <v>7754</v>
      </c>
      <c r="C4943" s="226">
        <v>540669</v>
      </c>
      <c r="D4943" s="225" t="s">
        <v>7755</v>
      </c>
      <c r="E4943" s="225"/>
    </row>
    <row r="4944" spans="2:5" ht="15.75" thickBot="1">
      <c r="B4944" s="225" t="s">
        <v>7756</v>
      </c>
      <c r="C4944" s="226">
        <v>540671</v>
      </c>
      <c r="D4944" s="225" t="s">
        <v>7757</v>
      </c>
      <c r="E4944" s="225"/>
    </row>
    <row r="4945" spans="2:5" ht="15.75" thickBot="1">
      <c r="B4945" s="225" t="s">
        <v>7758</v>
      </c>
      <c r="C4945" s="226">
        <v>540672</v>
      </c>
      <c r="D4945" s="225" t="s">
        <v>7759</v>
      </c>
      <c r="E4945" s="225"/>
    </row>
    <row r="4946" spans="2:5" ht="15.75" thickBot="1">
      <c r="B4946" s="225" t="s">
        <v>7760</v>
      </c>
      <c r="C4946" s="226">
        <v>540682</v>
      </c>
      <c r="D4946" s="225" t="s">
        <v>7761</v>
      </c>
      <c r="E4946" s="225"/>
    </row>
    <row r="4947" spans="2:5" ht="15.75" thickBot="1">
      <c r="B4947" s="225" t="s">
        <v>7762</v>
      </c>
      <c r="C4947" s="226">
        <v>540683</v>
      </c>
      <c r="D4947" s="225" t="s">
        <v>7763</v>
      </c>
      <c r="E4947" s="225"/>
    </row>
    <row r="4948" spans="2:5" ht="15.75" thickBot="1">
      <c r="B4948" s="225" t="s">
        <v>7764</v>
      </c>
      <c r="C4948" s="226">
        <v>540684</v>
      </c>
      <c r="D4948" s="225" t="s">
        <v>7765</v>
      </c>
      <c r="E4948" s="225"/>
    </row>
    <row r="4949" spans="2:5" ht="15.75" thickBot="1">
      <c r="B4949" s="225" t="s">
        <v>7766</v>
      </c>
      <c r="C4949" s="226">
        <v>540685</v>
      </c>
      <c r="D4949" s="225" t="s">
        <v>7767</v>
      </c>
      <c r="E4949" s="225"/>
    </row>
    <row r="4950" spans="2:5" ht="15.75" thickBot="1">
      <c r="B4950" s="225" t="s">
        <v>7768</v>
      </c>
      <c r="C4950" s="226">
        <v>540711</v>
      </c>
      <c r="D4950" s="225" t="s">
        <v>7769</v>
      </c>
      <c r="E4950" s="225"/>
    </row>
    <row r="4951" spans="2:5" ht="15.75" thickBot="1">
      <c r="B4951" s="225" t="s">
        <v>7770</v>
      </c>
      <c r="C4951" s="226">
        <v>540712</v>
      </c>
      <c r="D4951" s="225" t="s">
        <v>7771</v>
      </c>
      <c r="E4951" s="225"/>
    </row>
    <row r="4952" spans="2:5" ht="15.75" thickBot="1">
      <c r="B4952" s="225" t="s">
        <v>7772</v>
      </c>
      <c r="C4952" s="226">
        <v>540713</v>
      </c>
      <c r="D4952" s="225" t="s">
        <v>7773</v>
      </c>
      <c r="E4952" s="225"/>
    </row>
    <row r="4953" spans="2:5" ht="15.75" thickBot="1">
      <c r="B4953" s="225" t="s">
        <v>7774</v>
      </c>
      <c r="C4953" s="226">
        <v>540714</v>
      </c>
      <c r="D4953" s="225" t="s">
        <v>7775</v>
      </c>
      <c r="E4953" s="225"/>
    </row>
    <row r="4954" spans="2:5" ht="15.75" thickBot="1">
      <c r="B4954" s="225" t="s">
        <v>7776</v>
      </c>
      <c r="C4954" s="226">
        <v>540739</v>
      </c>
      <c r="D4954" s="225" t="s">
        <v>7777</v>
      </c>
      <c r="E4954" s="225"/>
    </row>
    <row r="4955" spans="2:5" ht="15.75" thickBot="1">
      <c r="B4955" s="225" t="s">
        <v>7778</v>
      </c>
      <c r="C4955" s="226">
        <v>540740</v>
      </c>
      <c r="D4955" s="225" t="s">
        <v>7779</v>
      </c>
      <c r="E4955" s="225"/>
    </row>
    <row r="4956" spans="2:5" ht="15.75" thickBot="1">
      <c r="B4956" s="225" t="s">
        <v>7780</v>
      </c>
      <c r="C4956" s="226">
        <v>540741</v>
      </c>
      <c r="D4956" s="225" t="s">
        <v>7781</v>
      </c>
      <c r="E4956" s="225"/>
    </row>
    <row r="4957" spans="2:5" ht="15.75" thickBot="1">
      <c r="B4957" s="225" t="s">
        <v>7782</v>
      </c>
      <c r="C4957" s="226">
        <v>540742</v>
      </c>
      <c r="D4957" s="225" t="s">
        <v>7783</v>
      </c>
      <c r="E4957" s="225"/>
    </row>
    <row r="4958" spans="2:5" ht="15.75" thickBot="1">
      <c r="B4958" s="225" t="s">
        <v>7784</v>
      </c>
      <c r="C4958" s="226">
        <v>540763</v>
      </c>
      <c r="D4958" s="225" t="s">
        <v>7785</v>
      </c>
      <c r="E4958" s="225"/>
    </row>
    <row r="4959" spans="2:5" ht="15.75" thickBot="1">
      <c r="B4959" s="225" t="s">
        <v>7786</v>
      </c>
      <c r="C4959" s="226">
        <v>540764</v>
      </c>
      <c r="D4959" s="225" t="s">
        <v>7787</v>
      </c>
      <c r="E4959" s="225"/>
    </row>
    <row r="4960" spans="2:5" ht="15.75" thickBot="1">
      <c r="B4960" s="225" t="s">
        <v>7788</v>
      </c>
      <c r="C4960" s="226">
        <v>540765</v>
      </c>
      <c r="D4960" s="225" t="s">
        <v>7789</v>
      </c>
      <c r="E4960" s="225"/>
    </row>
    <row r="4961" spans="2:5" ht="15.75" thickBot="1">
      <c r="B4961" s="225" t="s">
        <v>7790</v>
      </c>
      <c r="C4961" s="226">
        <v>540766</v>
      </c>
      <c r="D4961" s="225" t="s">
        <v>7791</v>
      </c>
      <c r="E4961" s="225"/>
    </row>
    <row r="4962" spans="2:5" ht="15.75" thickBot="1">
      <c r="B4962" s="225" t="s">
        <v>7792</v>
      </c>
      <c r="C4962" s="226">
        <v>540778</v>
      </c>
      <c r="D4962" s="225" t="s">
        <v>7793</v>
      </c>
      <c r="E4962" s="225"/>
    </row>
    <row r="4963" spans="2:5" ht="15.75" thickBot="1">
      <c r="B4963" s="225" t="s">
        <v>7794</v>
      </c>
      <c r="C4963" s="226">
        <v>540779</v>
      </c>
      <c r="D4963" s="225" t="s">
        <v>7795</v>
      </c>
      <c r="E4963" s="225"/>
    </row>
    <row r="4964" spans="2:5" ht="15.75" thickBot="1">
      <c r="B4964" s="225" t="s">
        <v>7796</v>
      </c>
      <c r="C4964" s="226">
        <v>540780</v>
      </c>
      <c r="D4964" s="225" t="s">
        <v>7797</v>
      </c>
      <c r="E4964" s="225"/>
    </row>
    <row r="4965" spans="2:5" ht="15.75" thickBot="1">
      <c r="B4965" s="225" t="s">
        <v>7798</v>
      </c>
      <c r="C4965" s="226">
        <v>540781</v>
      </c>
      <c r="D4965" s="225" t="s">
        <v>7799</v>
      </c>
      <c r="E4965" s="225"/>
    </row>
    <row r="4966" spans="2:5" ht="15.75" thickBot="1">
      <c r="B4966" s="225" t="s">
        <v>7800</v>
      </c>
      <c r="C4966" s="226">
        <v>540787</v>
      </c>
      <c r="D4966" s="225" t="s">
        <v>7801</v>
      </c>
      <c r="E4966" s="225"/>
    </row>
    <row r="4967" spans="2:5" ht="15.75" thickBot="1">
      <c r="B4967" s="225" t="s">
        <v>7802</v>
      </c>
      <c r="C4967" s="226">
        <v>540791</v>
      </c>
      <c r="D4967" s="225" t="s">
        <v>7803</v>
      </c>
      <c r="E4967" s="225"/>
    </row>
    <row r="4968" spans="2:5" ht="15.75" thickBot="1">
      <c r="B4968" s="225" t="s">
        <v>7804</v>
      </c>
      <c r="C4968" s="226">
        <v>540792</v>
      </c>
      <c r="D4968" s="225" t="s">
        <v>7805</v>
      </c>
      <c r="E4968" s="225"/>
    </row>
    <row r="4969" spans="2:5" ht="15.75" thickBot="1">
      <c r="B4969" s="225" t="s">
        <v>7806</v>
      </c>
      <c r="C4969" s="226">
        <v>540793</v>
      </c>
      <c r="D4969" s="225" t="s">
        <v>7807</v>
      </c>
      <c r="E4969" s="225"/>
    </row>
    <row r="4970" spans="2:5" ht="15.75" thickBot="1">
      <c r="B4970" s="225" t="s">
        <v>7808</v>
      </c>
      <c r="C4970" s="226">
        <v>540794</v>
      </c>
      <c r="D4970" s="225" t="s">
        <v>7809</v>
      </c>
      <c r="E4970" s="225"/>
    </row>
    <row r="4971" spans="2:5" ht="15.75" thickBot="1">
      <c r="B4971" s="225" t="s">
        <v>7810</v>
      </c>
      <c r="C4971" s="226">
        <v>540799</v>
      </c>
      <c r="D4971" s="225" t="s">
        <v>7811</v>
      </c>
      <c r="E4971" s="225"/>
    </row>
    <row r="4972" spans="2:5" ht="15.75" thickBot="1">
      <c r="B4972" s="225" t="s">
        <v>7812</v>
      </c>
      <c r="C4972" s="226">
        <v>540800</v>
      </c>
      <c r="D4972" s="225" t="s">
        <v>7813</v>
      </c>
      <c r="E4972" s="225"/>
    </row>
    <row r="4973" spans="2:5" ht="15.75" thickBot="1">
      <c r="B4973" s="225" t="s">
        <v>7814</v>
      </c>
      <c r="C4973" s="226">
        <v>540801</v>
      </c>
      <c r="D4973" s="225" t="s">
        <v>7815</v>
      </c>
      <c r="E4973" s="225"/>
    </row>
    <row r="4974" spans="2:5" ht="15.75" thickBot="1">
      <c r="B4974" s="225" t="s">
        <v>7816</v>
      </c>
      <c r="C4974" s="226">
        <v>540802</v>
      </c>
      <c r="D4974" s="225" t="s">
        <v>7817</v>
      </c>
      <c r="E4974" s="225"/>
    </row>
    <row r="4975" spans="2:5" ht="15.75" thickBot="1">
      <c r="B4975" s="225" t="s">
        <v>7818</v>
      </c>
      <c r="C4975" s="226">
        <v>540825</v>
      </c>
      <c r="D4975" s="225" t="s">
        <v>7819</v>
      </c>
      <c r="E4975" s="225"/>
    </row>
    <row r="4976" spans="2:5" ht="15.75" thickBot="1">
      <c r="B4976" s="225" t="s">
        <v>7820</v>
      </c>
      <c r="C4976" s="226">
        <v>540826</v>
      </c>
      <c r="D4976" s="225" t="s">
        <v>7821</v>
      </c>
      <c r="E4976" s="225"/>
    </row>
    <row r="4977" spans="2:5" ht="15.75" thickBot="1">
      <c r="B4977" s="225" t="s">
        <v>7822</v>
      </c>
      <c r="C4977" s="226">
        <v>540827</v>
      </c>
      <c r="D4977" s="225" t="s">
        <v>7823</v>
      </c>
      <c r="E4977" s="225"/>
    </row>
    <row r="4978" spans="2:5" ht="15.75" thickBot="1">
      <c r="B4978" s="225" t="s">
        <v>7824</v>
      </c>
      <c r="C4978" s="226">
        <v>540828</v>
      </c>
      <c r="D4978" s="225" t="s">
        <v>7825</v>
      </c>
      <c r="E4978" s="225"/>
    </row>
    <row r="4979" spans="2:5" ht="15.75" thickBot="1">
      <c r="B4979" s="225" t="s">
        <v>7826</v>
      </c>
      <c r="C4979" s="226">
        <v>540861</v>
      </c>
      <c r="D4979" s="225" t="s">
        <v>7827</v>
      </c>
      <c r="E4979" s="225"/>
    </row>
    <row r="4980" spans="2:5" ht="15.75" thickBot="1">
      <c r="B4980" s="225" t="s">
        <v>7828</v>
      </c>
      <c r="C4980" s="226">
        <v>540862</v>
      </c>
      <c r="D4980" s="225" t="s">
        <v>7829</v>
      </c>
      <c r="E4980" s="225"/>
    </row>
    <row r="4981" spans="2:5" ht="15.75" thickBot="1">
      <c r="B4981" s="225" t="s">
        <v>7830</v>
      </c>
      <c r="C4981" s="226">
        <v>540863</v>
      </c>
      <c r="D4981" s="225" t="s">
        <v>7831</v>
      </c>
      <c r="E4981" s="225"/>
    </row>
    <row r="4982" spans="2:5" ht="15.75" thickBot="1">
      <c r="B4982" s="225" t="s">
        <v>7832</v>
      </c>
      <c r="C4982" s="226">
        <v>540864</v>
      </c>
      <c r="D4982" s="225" t="s">
        <v>7833</v>
      </c>
      <c r="E4982" s="225"/>
    </row>
    <row r="4983" spans="2:5" ht="15.75" thickBot="1">
      <c r="B4983" s="225" t="s">
        <v>7834</v>
      </c>
      <c r="C4983" s="226">
        <v>540896</v>
      </c>
      <c r="D4983" s="225" t="s">
        <v>7835</v>
      </c>
      <c r="E4983" s="225"/>
    </row>
    <row r="4984" spans="2:5" ht="15.75" thickBot="1">
      <c r="B4984" s="225" t="s">
        <v>7836</v>
      </c>
      <c r="C4984" s="226">
        <v>540897</v>
      </c>
      <c r="D4984" s="225" t="s">
        <v>7837</v>
      </c>
      <c r="E4984" s="225"/>
    </row>
    <row r="4985" spans="2:5" ht="15.75" thickBot="1">
      <c r="B4985" s="225" t="s">
        <v>7838</v>
      </c>
      <c r="C4985" s="226">
        <v>540898</v>
      </c>
      <c r="D4985" s="225" t="s">
        <v>7839</v>
      </c>
      <c r="E4985" s="225"/>
    </row>
    <row r="4986" spans="2:5" ht="15.75" thickBot="1">
      <c r="B4986" s="225" t="s">
        <v>7840</v>
      </c>
      <c r="C4986" s="226">
        <v>540899</v>
      </c>
      <c r="D4986" s="225" t="s">
        <v>7841</v>
      </c>
      <c r="E4986" s="225"/>
    </row>
    <row r="4987" spans="2:5" ht="15.75" thickBot="1">
      <c r="B4987" s="225" t="s">
        <v>7842</v>
      </c>
      <c r="C4987" s="226">
        <v>540947</v>
      </c>
      <c r="D4987" s="225" t="s">
        <v>7843</v>
      </c>
      <c r="E4987" s="225"/>
    </row>
    <row r="4988" spans="2:5" ht="15.75" thickBot="1">
      <c r="B4988" s="225" t="s">
        <v>7844</v>
      </c>
      <c r="C4988" s="226">
        <v>540949</v>
      </c>
      <c r="D4988" s="225" t="s">
        <v>7845</v>
      </c>
      <c r="E4988" s="225"/>
    </row>
    <row r="4989" spans="2:5" ht="15.75" thickBot="1">
      <c r="B4989" s="225" t="s">
        <v>7846</v>
      </c>
      <c r="C4989" s="226">
        <v>540950</v>
      </c>
      <c r="D4989" s="225" t="s">
        <v>7847</v>
      </c>
      <c r="E4989" s="225"/>
    </row>
    <row r="4990" spans="2:5" ht="15.75" thickBot="1">
      <c r="B4990" s="225" t="s">
        <v>7848</v>
      </c>
      <c r="C4990" s="226">
        <v>540951</v>
      </c>
      <c r="D4990" s="225" t="s">
        <v>7849</v>
      </c>
      <c r="E4990" s="225"/>
    </row>
    <row r="4991" spans="2:5" ht="15.75" thickBot="1">
      <c r="B4991" s="225" t="s">
        <v>7850</v>
      </c>
      <c r="C4991" s="226">
        <v>540981</v>
      </c>
      <c r="D4991" s="225" t="s">
        <v>7851</v>
      </c>
      <c r="E4991" s="225"/>
    </row>
    <row r="4992" spans="2:5" ht="15.75" thickBot="1">
      <c r="B4992" s="225" t="s">
        <v>7852</v>
      </c>
      <c r="C4992" s="226">
        <v>540982</v>
      </c>
      <c r="D4992" s="225" t="s">
        <v>7853</v>
      </c>
      <c r="E4992" s="225"/>
    </row>
    <row r="4993" spans="2:5" ht="15.75" thickBot="1">
      <c r="B4993" s="225" t="s">
        <v>7854</v>
      </c>
      <c r="C4993" s="226">
        <v>540983</v>
      </c>
      <c r="D4993" s="225" t="s">
        <v>7855</v>
      </c>
      <c r="E4993" s="225"/>
    </row>
    <row r="4994" spans="2:5" ht="15.75" thickBot="1">
      <c r="B4994" s="225" t="s">
        <v>7856</v>
      </c>
      <c r="C4994" s="226">
        <v>540984</v>
      </c>
      <c r="D4994" s="225" t="s">
        <v>7857</v>
      </c>
      <c r="E4994" s="225"/>
    </row>
    <row r="4995" spans="2:5" ht="15.75" thickBot="1">
      <c r="B4995" s="225" t="s">
        <v>7858</v>
      </c>
      <c r="C4995" s="226">
        <v>541068</v>
      </c>
      <c r="D4995" s="225" t="s">
        <v>7859</v>
      </c>
      <c r="E4995" s="225"/>
    </row>
    <row r="4996" spans="2:5" ht="15.75" thickBot="1">
      <c r="B4996" s="225" t="s">
        <v>7860</v>
      </c>
      <c r="C4996" s="226">
        <v>541069</v>
      </c>
      <c r="D4996" s="225" t="s">
        <v>7861</v>
      </c>
      <c r="E4996" s="225"/>
    </row>
    <row r="4997" spans="2:5" ht="15.75" thickBot="1">
      <c r="B4997" s="225" t="s">
        <v>7862</v>
      </c>
      <c r="C4997" s="226">
        <v>541070</v>
      </c>
      <c r="D4997" s="225" t="s">
        <v>7863</v>
      </c>
      <c r="E4997" s="225"/>
    </row>
    <row r="4998" spans="2:5" ht="15.75" thickBot="1">
      <c r="B4998" s="225" t="s">
        <v>7864</v>
      </c>
      <c r="C4998" s="226">
        <v>541071</v>
      </c>
      <c r="D4998" s="225" t="s">
        <v>7865</v>
      </c>
      <c r="E4998" s="225"/>
    </row>
    <row r="4999" spans="2:5" ht="15.75" thickBot="1">
      <c r="B4999" s="225" t="s">
        <v>7866</v>
      </c>
      <c r="C4999" s="226">
        <v>541084</v>
      </c>
      <c r="D4999" s="225" t="s">
        <v>7867</v>
      </c>
      <c r="E4999" s="225"/>
    </row>
    <row r="5000" spans="2:5" ht="15.75" thickBot="1">
      <c r="B5000" s="225" t="s">
        <v>7868</v>
      </c>
      <c r="C5000" s="226">
        <v>541085</v>
      </c>
      <c r="D5000" s="225" t="s">
        <v>7869</v>
      </c>
      <c r="E5000" s="225"/>
    </row>
    <row r="5001" spans="2:5" ht="15.75" thickBot="1">
      <c r="B5001" s="225" t="s">
        <v>7870</v>
      </c>
      <c r="C5001" s="226">
        <v>541086</v>
      </c>
      <c r="D5001" s="225" t="s">
        <v>7871</v>
      </c>
      <c r="E5001" s="225"/>
    </row>
    <row r="5002" spans="2:5" ht="15.75" thickBot="1">
      <c r="B5002" s="225" t="s">
        <v>7872</v>
      </c>
      <c r="C5002" s="226">
        <v>541087</v>
      </c>
      <c r="D5002" s="225" t="s">
        <v>7873</v>
      </c>
      <c r="E5002" s="225"/>
    </row>
    <row r="5003" spans="2:5" ht="15.75" thickBot="1">
      <c r="B5003" s="225" t="s">
        <v>7874</v>
      </c>
      <c r="C5003" s="226">
        <v>541092</v>
      </c>
      <c r="D5003" s="225" t="s">
        <v>7875</v>
      </c>
      <c r="E5003" s="225"/>
    </row>
    <row r="5004" spans="2:5" ht="15.75" thickBot="1">
      <c r="B5004" s="225" t="s">
        <v>7876</v>
      </c>
      <c r="C5004" s="226">
        <v>541093</v>
      </c>
      <c r="D5004" s="225" t="s">
        <v>7877</v>
      </c>
      <c r="E5004" s="225"/>
    </row>
    <row r="5005" spans="2:5" ht="15.75" thickBot="1">
      <c r="B5005" s="225" t="s">
        <v>7878</v>
      </c>
      <c r="C5005" s="226">
        <v>541094</v>
      </c>
      <c r="D5005" s="225" t="s">
        <v>7879</v>
      </c>
      <c r="E5005" s="225"/>
    </row>
    <row r="5006" spans="2:5" ht="15.75" thickBot="1">
      <c r="B5006" s="225" t="s">
        <v>7880</v>
      </c>
      <c r="C5006" s="226">
        <v>541095</v>
      </c>
      <c r="D5006" s="225" t="s">
        <v>7881</v>
      </c>
      <c r="E5006" s="225"/>
    </row>
    <row r="5007" spans="2:5" ht="15.75" thickBot="1">
      <c r="B5007" s="225" t="s">
        <v>7882</v>
      </c>
      <c r="C5007" s="226">
        <v>541252</v>
      </c>
      <c r="D5007" s="225" t="s">
        <v>7883</v>
      </c>
      <c r="E5007" s="225"/>
    </row>
    <row r="5008" spans="2:5" ht="15.75" thickBot="1">
      <c r="B5008" s="225" t="s">
        <v>7884</v>
      </c>
      <c r="C5008" s="226">
        <v>541253</v>
      </c>
      <c r="D5008" s="225" t="s">
        <v>7885</v>
      </c>
      <c r="E5008" s="225"/>
    </row>
    <row r="5009" spans="2:5" ht="15.75" thickBot="1">
      <c r="B5009" s="225" t="s">
        <v>7886</v>
      </c>
      <c r="C5009" s="226">
        <v>541254</v>
      </c>
      <c r="D5009" s="225" t="s">
        <v>7887</v>
      </c>
      <c r="E5009" s="225"/>
    </row>
    <row r="5010" spans="2:5" ht="15.75" thickBot="1">
      <c r="B5010" s="225" t="s">
        <v>7888</v>
      </c>
      <c r="C5010" s="226">
        <v>541255</v>
      </c>
      <c r="D5010" s="225" t="s">
        <v>7889</v>
      </c>
      <c r="E5010" s="225"/>
    </row>
    <row r="5011" spans="2:5" ht="15.75" thickBot="1">
      <c r="B5011" s="225" t="s">
        <v>7890</v>
      </c>
      <c r="C5011" s="226">
        <v>541300</v>
      </c>
      <c r="D5011" s="225" t="s">
        <v>7891</v>
      </c>
      <c r="E5011" s="225"/>
    </row>
    <row r="5012" spans="2:5" ht="15.75" thickBot="1">
      <c r="B5012" s="225" t="s">
        <v>7892</v>
      </c>
      <c r="C5012" s="226">
        <v>541309</v>
      </c>
      <c r="D5012" s="225" t="s">
        <v>7893</v>
      </c>
      <c r="E5012" s="225"/>
    </row>
    <row r="5013" spans="2:5" ht="15.75" thickBot="1">
      <c r="B5013" s="225" t="s">
        <v>7894</v>
      </c>
      <c r="C5013" s="226">
        <v>541310</v>
      </c>
      <c r="D5013" s="225" t="s">
        <v>7895</v>
      </c>
      <c r="E5013" s="225"/>
    </row>
    <row r="5014" spans="2:5" ht="15.75" thickBot="1">
      <c r="B5014" s="225" t="s">
        <v>7896</v>
      </c>
      <c r="C5014" s="226">
        <v>541311</v>
      </c>
      <c r="D5014" s="225" t="s">
        <v>7897</v>
      </c>
      <c r="E5014" s="225"/>
    </row>
    <row r="5015" spans="2:5" ht="15.75" thickBot="1">
      <c r="B5015" s="225" t="s">
        <v>7898</v>
      </c>
      <c r="C5015" s="226">
        <v>541312</v>
      </c>
      <c r="D5015" s="225" t="s">
        <v>7899</v>
      </c>
      <c r="E5015" s="225"/>
    </row>
    <row r="5016" spans="2:5" ht="15.75" thickBot="1">
      <c r="B5016" s="225" t="s">
        <v>7900</v>
      </c>
      <c r="C5016" s="226">
        <v>541313</v>
      </c>
      <c r="D5016" s="225" t="s">
        <v>7901</v>
      </c>
      <c r="E5016" s="225"/>
    </row>
    <row r="5017" spans="2:5" ht="15.75" thickBot="1">
      <c r="B5017" s="225" t="s">
        <v>7902</v>
      </c>
      <c r="C5017" s="226">
        <v>541341</v>
      </c>
      <c r="D5017" s="225" t="s">
        <v>7903</v>
      </c>
      <c r="E5017" s="225"/>
    </row>
    <row r="5018" spans="2:5" ht="15.75" thickBot="1">
      <c r="B5018" s="225" t="s">
        <v>7904</v>
      </c>
      <c r="C5018" s="226">
        <v>541343</v>
      </c>
      <c r="D5018" s="225" t="s">
        <v>7905</v>
      </c>
      <c r="E5018" s="225"/>
    </row>
    <row r="5019" spans="2:5" ht="15.75" thickBot="1">
      <c r="B5019" s="225" t="s">
        <v>7906</v>
      </c>
      <c r="C5019" s="226">
        <v>541345</v>
      </c>
      <c r="D5019" s="225" t="s">
        <v>7907</v>
      </c>
      <c r="E5019" s="225"/>
    </row>
    <row r="5020" spans="2:5" ht="15.75" thickBot="1">
      <c r="B5020" s="225" t="s">
        <v>7908</v>
      </c>
      <c r="C5020" s="226">
        <v>541346</v>
      </c>
      <c r="D5020" s="225" t="s">
        <v>7909</v>
      </c>
      <c r="E5020" s="225"/>
    </row>
    <row r="5021" spans="2:5" ht="15.75" thickBot="1">
      <c r="B5021" s="225" t="s">
        <v>7910</v>
      </c>
      <c r="C5021" s="226">
        <v>541672</v>
      </c>
      <c r="D5021" s="225" t="s">
        <v>7911</v>
      </c>
      <c r="E5021" s="225"/>
    </row>
    <row r="5022" spans="2:5" ht="15.75" thickBot="1">
      <c r="B5022" s="225" t="s">
        <v>7912</v>
      </c>
      <c r="C5022" s="226">
        <v>541673</v>
      </c>
      <c r="D5022" s="225" t="s">
        <v>7913</v>
      </c>
      <c r="E5022" s="225"/>
    </row>
    <row r="5023" spans="2:5" ht="15.75" thickBot="1">
      <c r="B5023" s="225" t="s">
        <v>7914</v>
      </c>
      <c r="C5023" s="226">
        <v>541674</v>
      </c>
      <c r="D5023" s="225" t="s">
        <v>7915</v>
      </c>
      <c r="E5023" s="225"/>
    </row>
    <row r="5024" spans="2:5" ht="15.75" thickBot="1">
      <c r="B5024" s="225" t="s">
        <v>7916</v>
      </c>
      <c r="C5024" s="226">
        <v>541675</v>
      </c>
      <c r="D5024" s="225" t="s">
        <v>7917</v>
      </c>
      <c r="E5024" s="225"/>
    </row>
    <row r="5025" spans="2:5" ht="15.75" thickBot="1">
      <c r="B5025" s="225" t="s">
        <v>7918</v>
      </c>
      <c r="C5025" s="226">
        <v>541676</v>
      </c>
      <c r="D5025" s="225" t="s">
        <v>7919</v>
      </c>
      <c r="E5025" s="225"/>
    </row>
    <row r="5026" spans="2:5" ht="15.75" thickBot="1">
      <c r="B5026" s="225" t="s">
        <v>7920</v>
      </c>
      <c r="C5026" s="226">
        <v>541677</v>
      </c>
      <c r="D5026" s="225" t="s">
        <v>7921</v>
      </c>
      <c r="E5026" s="225"/>
    </row>
    <row r="5027" spans="2:5" ht="15.75" thickBot="1">
      <c r="B5027" s="225" t="s">
        <v>7922</v>
      </c>
      <c r="C5027" s="226">
        <v>541678</v>
      </c>
      <c r="D5027" s="225" t="s">
        <v>7923</v>
      </c>
      <c r="E5027" s="225"/>
    </row>
    <row r="5028" spans="2:5" ht="15.75" thickBot="1">
      <c r="B5028" s="225" t="s">
        <v>7924</v>
      </c>
      <c r="C5028" s="226">
        <v>541679</v>
      </c>
      <c r="D5028" s="225" t="s">
        <v>7925</v>
      </c>
      <c r="E5028" s="225"/>
    </row>
    <row r="5029" spans="2:5" ht="15.75" thickBot="1">
      <c r="B5029" s="225" t="s">
        <v>7926</v>
      </c>
      <c r="C5029" s="226">
        <v>541725</v>
      </c>
      <c r="D5029" s="225" t="s">
        <v>7927</v>
      </c>
      <c r="E5029" s="225"/>
    </row>
    <row r="5030" spans="2:5" ht="15.75" thickBot="1">
      <c r="B5030" s="225" t="s">
        <v>7928</v>
      </c>
      <c r="C5030" s="226">
        <v>541726</v>
      </c>
      <c r="D5030" s="225" t="s">
        <v>7929</v>
      </c>
      <c r="E5030" s="225"/>
    </row>
    <row r="5031" spans="2:5" ht="15.75" thickBot="1">
      <c r="B5031" s="225" t="s">
        <v>7930</v>
      </c>
      <c r="C5031" s="226">
        <v>541727</v>
      </c>
      <c r="D5031" s="225" t="s">
        <v>7931</v>
      </c>
      <c r="E5031" s="225"/>
    </row>
    <row r="5032" spans="2:5" ht="15.75" thickBot="1">
      <c r="B5032" s="225" t="s">
        <v>7932</v>
      </c>
      <c r="C5032" s="226">
        <v>541728</v>
      </c>
      <c r="D5032" s="225" t="s">
        <v>7933</v>
      </c>
      <c r="E5032" s="225"/>
    </row>
    <row r="5033" spans="2:5" ht="15.75" thickBot="1">
      <c r="B5033" s="225" t="s">
        <v>7934</v>
      </c>
      <c r="C5033" s="226">
        <v>541742</v>
      </c>
      <c r="D5033" s="225" t="s">
        <v>7935</v>
      </c>
      <c r="E5033" s="225"/>
    </row>
    <row r="5034" spans="2:5" ht="15.75" thickBot="1">
      <c r="B5034" s="225" t="s">
        <v>7936</v>
      </c>
      <c r="C5034" s="226">
        <v>541743</v>
      </c>
      <c r="D5034" s="225" t="s">
        <v>7937</v>
      </c>
      <c r="E5034" s="225"/>
    </row>
    <row r="5035" spans="2:5" ht="15.75" thickBot="1">
      <c r="B5035" s="225" t="s">
        <v>7938</v>
      </c>
      <c r="C5035" s="226">
        <v>541744</v>
      </c>
      <c r="D5035" s="225" t="s">
        <v>7939</v>
      </c>
      <c r="E5035" s="225"/>
    </row>
    <row r="5036" spans="2:5" ht="15.75" thickBot="1">
      <c r="B5036" s="225" t="s">
        <v>7940</v>
      </c>
      <c r="C5036" s="226">
        <v>541745</v>
      </c>
      <c r="D5036" s="225" t="s">
        <v>7941</v>
      </c>
      <c r="E5036" s="225"/>
    </row>
    <row r="5037" spans="2:5" ht="15.75" thickBot="1">
      <c r="B5037" s="225" t="s">
        <v>7942</v>
      </c>
      <c r="C5037" s="226">
        <v>541804</v>
      </c>
      <c r="D5037" s="225" t="s">
        <v>7943</v>
      </c>
      <c r="E5037" s="225"/>
    </row>
    <row r="5038" spans="2:5" ht="15.75" thickBot="1">
      <c r="B5038" s="225" t="s">
        <v>7944</v>
      </c>
      <c r="C5038" s="226">
        <v>541805</v>
      </c>
      <c r="D5038" s="225" t="s">
        <v>7945</v>
      </c>
      <c r="E5038" s="225"/>
    </row>
    <row r="5039" spans="2:5" ht="15.75" thickBot="1">
      <c r="B5039" s="225" t="s">
        <v>7946</v>
      </c>
      <c r="C5039" s="226">
        <v>541806</v>
      </c>
      <c r="D5039" s="225" t="s">
        <v>7947</v>
      </c>
      <c r="E5039" s="225"/>
    </row>
    <row r="5040" spans="2:5" ht="15.75" thickBot="1">
      <c r="B5040" s="225" t="s">
        <v>7948</v>
      </c>
      <c r="C5040" s="226">
        <v>541807</v>
      </c>
      <c r="D5040" s="225" t="s">
        <v>7949</v>
      </c>
      <c r="E5040" s="225"/>
    </row>
    <row r="5041" spans="2:5" ht="15.75" thickBot="1">
      <c r="B5041" s="225" t="s">
        <v>7950</v>
      </c>
      <c r="C5041" s="226">
        <v>541809</v>
      </c>
      <c r="D5041" s="225" t="s">
        <v>7951</v>
      </c>
      <c r="E5041" s="225"/>
    </row>
    <row r="5042" spans="2:5" ht="15.75" thickBot="1">
      <c r="B5042" s="225" t="s">
        <v>7952</v>
      </c>
      <c r="C5042" s="226">
        <v>541879</v>
      </c>
      <c r="D5042" s="225" t="s">
        <v>7953</v>
      </c>
      <c r="E5042" s="225"/>
    </row>
    <row r="5043" spans="2:5" ht="15.75" thickBot="1">
      <c r="B5043" s="225" t="s">
        <v>7954</v>
      </c>
      <c r="C5043" s="226">
        <v>541881</v>
      </c>
      <c r="D5043" s="225" t="s">
        <v>7955</v>
      </c>
      <c r="E5043" s="225"/>
    </row>
    <row r="5044" spans="2:5" ht="15.75" thickBot="1">
      <c r="B5044" s="225" t="s">
        <v>7956</v>
      </c>
      <c r="C5044" s="226">
        <v>541882</v>
      </c>
      <c r="D5044" s="225" t="s">
        <v>7957</v>
      </c>
      <c r="E5044" s="225"/>
    </row>
    <row r="5045" spans="2:5" ht="15.75" thickBot="1">
      <c r="B5045" s="225" t="s">
        <v>7958</v>
      </c>
      <c r="C5045" s="226">
        <v>541884</v>
      </c>
      <c r="D5045" s="225" t="s">
        <v>7959</v>
      </c>
      <c r="E5045" s="225"/>
    </row>
    <row r="5046" spans="2:5" ht="15.75" thickBot="1">
      <c r="B5046" s="225" t="s">
        <v>7960</v>
      </c>
      <c r="C5046" s="226">
        <v>541972</v>
      </c>
      <c r="D5046" s="225" t="s">
        <v>7961</v>
      </c>
      <c r="E5046" s="225"/>
    </row>
    <row r="5047" spans="2:5" ht="15.75" thickBot="1">
      <c r="B5047" s="225" t="s">
        <v>7962</v>
      </c>
      <c r="C5047" s="226">
        <v>541984</v>
      </c>
      <c r="D5047" s="225" t="s">
        <v>7963</v>
      </c>
      <c r="E5047" s="225"/>
    </row>
    <row r="5048" spans="2:5" ht="15.75" thickBot="1">
      <c r="B5048" s="225" t="s">
        <v>7964</v>
      </c>
      <c r="C5048" s="226">
        <v>541985</v>
      </c>
      <c r="D5048" s="225" t="s">
        <v>7965</v>
      </c>
      <c r="E5048" s="225"/>
    </row>
    <row r="5049" spans="2:5" ht="15.75" thickBot="1">
      <c r="B5049" s="225" t="s">
        <v>7966</v>
      </c>
      <c r="C5049" s="226">
        <v>541986</v>
      </c>
      <c r="D5049" s="225" t="s">
        <v>7967</v>
      </c>
      <c r="E5049" s="225"/>
    </row>
    <row r="5050" spans="2:5" ht="15.75" thickBot="1">
      <c r="B5050" s="225" t="s">
        <v>7968</v>
      </c>
      <c r="C5050" s="226">
        <v>541987</v>
      </c>
      <c r="D5050" s="225" t="s">
        <v>7969</v>
      </c>
      <c r="E5050" s="225"/>
    </row>
    <row r="5051" spans="2:5" ht="15.75" thickBot="1">
      <c r="B5051" s="225" t="s">
        <v>7970</v>
      </c>
      <c r="C5051" s="226">
        <v>542131</v>
      </c>
      <c r="D5051" s="225" t="s">
        <v>7971</v>
      </c>
      <c r="E5051" s="225"/>
    </row>
    <row r="5052" spans="2:5" ht="15.75" thickBot="1">
      <c r="B5052" s="225" t="s">
        <v>7972</v>
      </c>
      <c r="C5052" s="226">
        <v>542156</v>
      </c>
      <c r="D5052" s="225" t="s">
        <v>7973</v>
      </c>
      <c r="E5052" s="225"/>
    </row>
    <row r="5053" spans="2:5" ht="15.75" thickBot="1">
      <c r="B5053" s="225" t="s">
        <v>7974</v>
      </c>
      <c r="C5053" s="226">
        <v>542158</v>
      </c>
      <c r="D5053" s="225" t="s">
        <v>7975</v>
      </c>
      <c r="E5053" s="225"/>
    </row>
    <row r="5054" spans="2:5" ht="15.75" thickBot="1">
      <c r="B5054" s="225" t="s">
        <v>7976</v>
      </c>
      <c r="C5054" s="226">
        <v>542160</v>
      </c>
      <c r="D5054" s="225" t="s">
        <v>7977</v>
      </c>
      <c r="E5054" s="225"/>
    </row>
    <row r="5055" spans="2:5" ht="15.75" thickBot="1">
      <c r="B5055" s="225" t="s">
        <v>7978</v>
      </c>
      <c r="C5055" s="226">
        <v>542163</v>
      </c>
      <c r="D5055" s="225" t="s">
        <v>7979</v>
      </c>
      <c r="E5055" s="225"/>
    </row>
    <row r="5056" spans="2:5" ht="15.75" thickBot="1">
      <c r="B5056" s="225" t="s">
        <v>7980</v>
      </c>
      <c r="C5056" s="226">
        <v>542230</v>
      </c>
      <c r="D5056" s="225" t="s">
        <v>7981</v>
      </c>
      <c r="E5056" s="225"/>
    </row>
    <row r="5057" spans="2:5" ht="15.75" thickBot="1">
      <c r="B5057" s="225" t="s">
        <v>7982</v>
      </c>
      <c r="C5057" s="226">
        <v>542244</v>
      </c>
      <c r="D5057" s="225" t="s">
        <v>7983</v>
      </c>
      <c r="E5057" s="225"/>
    </row>
    <row r="5058" spans="2:5" ht="15.75" thickBot="1">
      <c r="B5058" s="225" t="s">
        <v>7984</v>
      </c>
      <c r="C5058" s="226">
        <v>542245</v>
      </c>
      <c r="D5058" s="225" t="s">
        <v>7985</v>
      </c>
      <c r="E5058" s="225"/>
    </row>
    <row r="5059" spans="2:5" ht="15.75" thickBot="1">
      <c r="B5059" s="225" t="s">
        <v>7986</v>
      </c>
      <c r="C5059" s="226">
        <v>542246</v>
      </c>
      <c r="D5059" s="225" t="s">
        <v>7987</v>
      </c>
      <c r="E5059" s="225"/>
    </row>
    <row r="5060" spans="2:5" ht="15.75" thickBot="1">
      <c r="B5060" s="225" t="s">
        <v>7988</v>
      </c>
      <c r="C5060" s="226">
        <v>542247</v>
      </c>
      <c r="D5060" s="225" t="s">
        <v>7989</v>
      </c>
      <c r="E5060" s="225"/>
    </row>
    <row r="5061" spans="2:5" ht="15.75" thickBot="1">
      <c r="B5061" s="225" t="s">
        <v>7990</v>
      </c>
      <c r="C5061" s="226">
        <v>542513</v>
      </c>
      <c r="D5061" s="225" t="s">
        <v>7991</v>
      </c>
      <c r="E5061" s="225"/>
    </row>
    <row r="5062" spans="2:5" ht="15.75" thickBot="1">
      <c r="B5062" s="225" t="s">
        <v>7992</v>
      </c>
      <c r="C5062" s="226">
        <v>542543</v>
      </c>
      <c r="D5062" s="225" t="s">
        <v>7993</v>
      </c>
      <c r="E5062" s="225"/>
    </row>
    <row r="5063" spans="2:5" ht="15.75" thickBot="1">
      <c r="B5063" s="225" t="s">
        <v>7994</v>
      </c>
      <c r="C5063" s="226">
        <v>542694</v>
      </c>
      <c r="D5063" s="225" t="s">
        <v>7995</v>
      </c>
      <c r="E5063" s="225" t="s">
        <v>619</v>
      </c>
    </row>
    <row r="5064" spans="2:5" ht="15.75" thickBot="1">
      <c r="B5064" s="225" t="s">
        <v>7996</v>
      </c>
      <c r="C5064" s="226">
        <v>542721</v>
      </c>
      <c r="D5064" s="225" t="s">
        <v>7997</v>
      </c>
      <c r="E5064" s="225" t="s">
        <v>619</v>
      </c>
    </row>
    <row r="5065" spans="2:5" ht="15.75" thickBot="1">
      <c r="B5065" s="225" t="s">
        <v>7998</v>
      </c>
      <c r="C5065" s="226">
        <v>542724</v>
      </c>
      <c r="D5065" s="225" t="s">
        <v>7999</v>
      </c>
      <c r="E5065" s="225" t="s">
        <v>635</v>
      </c>
    </row>
    <row r="5066" spans="2:5" ht="15.75" thickBot="1">
      <c r="B5066" s="225" t="s">
        <v>8000</v>
      </c>
      <c r="C5066" s="226">
        <v>542725</v>
      </c>
      <c r="D5066" s="225" t="s">
        <v>8001</v>
      </c>
      <c r="E5066" s="225" t="s">
        <v>711</v>
      </c>
    </row>
    <row r="5067" spans="2:5" ht="15.75" thickBot="1">
      <c r="B5067" s="225" t="s">
        <v>8002</v>
      </c>
      <c r="C5067" s="226">
        <v>542726</v>
      </c>
      <c r="D5067" s="225" t="s">
        <v>8003</v>
      </c>
      <c r="E5067" s="225" t="s">
        <v>603</v>
      </c>
    </row>
    <row r="5068" spans="2:5" ht="15.75" thickBot="1">
      <c r="B5068" s="225" t="s">
        <v>8004</v>
      </c>
      <c r="C5068" s="226">
        <v>542727</v>
      </c>
      <c r="D5068" s="225" t="s">
        <v>8005</v>
      </c>
      <c r="E5068" s="225" t="s">
        <v>598</v>
      </c>
    </row>
    <row r="5069" spans="2:5" ht="15.75" thickBot="1">
      <c r="B5069" s="225" t="s">
        <v>8006</v>
      </c>
      <c r="C5069" s="226">
        <v>542728</v>
      </c>
      <c r="D5069" s="225" t="s">
        <v>8007</v>
      </c>
      <c r="E5069" s="225" t="s">
        <v>711</v>
      </c>
    </row>
    <row r="5070" spans="2:5" ht="15.75" thickBot="1">
      <c r="B5070" s="225" t="s">
        <v>8008</v>
      </c>
      <c r="C5070" s="226">
        <v>542729</v>
      </c>
      <c r="D5070" s="225" t="s">
        <v>8009</v>
      </c>
      <c r="E5070" s="225" t="s">
        <v>612</v>
      </c>
    </row>
    <row r="5071" spans="2:5" ht="15.75" thickBot="1">
      <c r="B5071" s="225" t="s">
        <v>8010</v>
      </c>
      <c r="C5071" s="226">
        <v>542730</v>
      </c>
      <c r="D5071" s="225" t="s">
        <v>8011</v>
      </c>
      <c r="E5071" s="225"/>
    </row>
    <row r="5072" spans="2:5" ht="15.75" thickBot="1">
      <c r="B5072" s="225" t="s">
        <v>8012</v>
      </c>
      <c r="C5072" s="226">
        <v>542747</v>
      </c>
      <c r="D5072" s="225" t="s">
        <v>8013</v>
      </c>
      <c r="E5072" s="225"/>
    </row>
    <row r="5073" spans="2:5" ht="15.75" thickBot="1">
      <c r="B5073" s="225" t="s">
        <v>8014</v>
      </c>
      <c r="C5073" s="226">
        <v>542752</v>
      </c>
      <c r="D5073" s="225" t="s">
        <v>8015</v>
      </c>
      <c r="E5073" s="225" t="s">
        <v>2199</v>
      </c>
    </row>
    <row r="5074" spans="2:5" ht="15.75" thickBot="1">
      <c r="B5074" s="225" t="s">
        <v>8016</v>
      </c>
      <c r="C5074" s="226">
        <v>542753</v>
      </c>
      <c r="D5074" s="225" t="s">
        <v>8017</v>
      </c>
      <c r="E5074" s="225" t="s">
        <v>631</v>
      </c>
    </row>
    <row r="5075" spans="2:5" ht="15.75" thickBot="1">
      <c r="B5075" s="225" t="s">
        <v>8018</v>
      </c>
      <c r="C5075" s="226">
        <v>542758</v>
      </c>
      <c r="D5075" s="225" t="s">
        <v>8019</v>
      </c>
      <c r="E5075" s="225"/>
    </row>
    <row r="5076" spans="2:5" ht="15.75" thickBot="1">
      <c r="B5076" s="225" t="s">
        <v>8020</v>
      </c>
      <c r="C5076" s="226">
        <v>542759</v>
      </c>
      <c r="D5076" s="225" t="s">
        <v>8021</v>
      </c>
      <c r="E5076" s="225" t="s">
        <v>614</v>
      </c>
    </row>
    <row r="5077" spans="2:5" ht="15.75" thickBot="1">
      <c r="B5077" s="225" t="s">
        <v>8022</v>
      </c>
      <c r="C5077" s="226">
        <v>542760</v>
      </c>
      <c r="D5077" s="225" t="s">
        <v>8023</v>
      </c>
      <c r="E5077" s="225" t="s">
        <v>640</v>
      </c>
    </row>
    <row r="5078" spans="2:5" ht="15.75" thickBot="1">
      <c r="B5078" s="225" t="s">
        <v>8024</v>
      </c>
      <c r="C5078" s="226">
        <v>542765</v>
      </c>
      <c r="D5078" s="225" t="s">
        <v>8025</v>
      </c>
      <c r="E5078" s="225" t="s">
        <v>1764</v>
      </c>
    </row>
    <row r="5079" spans="2:5" ht="15.75" thickBot="1">
      <c r="B5079" s="225" t="s">
        <v>8026</v>
      </c>
      <c r="C5079" s="226">
        <v>542770</v>
      </c>
      <c r="D5079" s="225" t="s">
        <v>8027</v>
      </c>
      <c r="E5079" s="225" t="s">
        <v>583</v>
      </c>
    </row>
    <row r="5080" spans="2:5" ht="15.75" thickBot="1">
      <c r="B5080" s="225" t="s">
        <v>8028</v>
      </c>
      <c r="C5080" s="226">
        <v>542771</v>
      </c>
      <c r="D5080" s="225" t="s">
        <v>8029</v>
      </c>
      <c r="E5080" s="225" t="s">
        <v>779</v>
      </c>
    </row>
    <row r="5081" spans="2:5" ht="15.75" thickBot="1">
      <c r="B5081" s="225" t="s">
        <v>8030</v>
      </c>
      <c r="C5081" s="226">
        <v>542772</v>
      </c>
      <c r="D5081" s="225" t="s">
        <v>8031</v>
      </c>
      <c r="E5081" s="225" t="s">
        <v>580</v>
      </c>
    </row>
    <row r="5082" spans="2:5" ht="15.75" thickBot="1">
      <c r="B5082" s="225" t="s">
        <v>8032</v>
      </c>
      <c r="C5082" s="226">
        <v>542773</v>
      </c>
      <c r="D5082" s="225" t="s">
        <v>8033</v>
      </c>
      <c r="E5082" s="225" t="s">
        <v>580</v>
      </c>
    </row>
    <row r="5083" spans="2:5" ht="15.75" thickBot="1">
      <c r="B5083" s="225" t="s">
        <v>8034</v>
      </c>
      <c r="C5083" s="226">
        <v>542774</v>
      </c>
      <c r="D5083" s="225" t="s">
        <v>8035</v>
      </c>
      <c r="E5083" s="225" t="s">
        <v>614</v>
      </c>
    </row>
    <row r="5084" spans="2:5" ht="15.75" thickBot="1">
      <c r="B5084" s="225" t="s">
        <v>8036</v>
      </c>
      <c r="C5084" s="226">
        <v>542801</v>
      </c>
      <c r="D5084" s="225" t="s">
        <v>8037</v>
      </c>
      <c r="E5084" s="225" t="s">
        <v>605</v>
      </c>
    </row>
    <row r="5085" spans="2:5" ht="15.75" thickBot="1">
      <c r="B5085" s="225" t="s">
        <v>8038</v>
      </c>
      <c r="C5085" s="226">
        <v>542802</v>
      </c>
      <c r="D5085" s="225" t="s">
        <v>8039</v>
      </c>
      <c r="E5085" s="225" t="s">
        <v>580</v>
      </c>
    </row>
    <row r="5086" spans="2:5" ht="15.75" thickBot="1">
      <c r="B5086" s="225" t="s">
        <v>8040</v>
      </c>
      <c r="C5086" s="226">
        <v>542803</v>
      </c>
      <c r="D5086" s="225" t="s">
        <v>8041</v>
      </c>
      <c r="E5086" s="225" t="s">
        <v>619</v>
      </c>
    </row>
    <row r="5087" spans="2:5" ht="15.75" thickBot="1">
      <c r="B5087" s="225" t="s">
        <v>8042</v>
      </c>
      <c r="C5087" s="226">
        <v>542804</v>
      </c>
      <c r="D5087" s="225" t="s">
        <v>8043</v>
      </c>
      <c r="E5087" s="225"/>
    </row>
    <row r="5088" spans="2:5" ht="15.75" thickBot="1">
      <c r="B5088" s="225" t="s">
        <v>8044</v>
      </c>
      <c r="C5088" s="226">
        <v>542805</v>
      </c>
      <c r="D5088" s="225" t="s">
        <v>8045</v>
      </c>
      <c r="E5088" s="225"/>
    </row>
    <row r="5089" spans="2:5" ht="15.75" thickBot="1">
      <c r="B5089" s="225" t="s">
        <v>8046</v>
      </c>
      <c r="C5089" s="226">
        <v>542806</v>
      </c>
      <c r="D5089" s="225" t="s">
        <v>8047</v>
      </c>
      <c r="E5089" s="225"/>
    </row>
    <row r="5090" spans="2:5" ht="15.75" thickBot="1">
      <c r="B5090" s="225" t="s">
        <v>8048</v>
      </c>
      <c r="C5090" s="226">
        <v>542807</v>
      </c>
      <c r="D5090" s="225" t="s">
        <v>8049</v>
      </c>
      <c r="E5090" s="225"/>
    </row>
    <row r="5091" spans="2:5" ht="15.75" thickBot="1">
      <c r="B5091" s="225" t="s">
        <v>8050</v>
      </c>
      <c r="C5091" s="226">
        <v>542808</v>
      </c>
      <c r="D5091" s="225" t="s">
        <v>8051</v>
      </c>
      <c r="E5091" s="225"/>
    </row>
    <row r="5092" spans="2:5" ht="15.75" thickBot="1">
      <c r="B5092" s="225" t="s">
        <v>8052</v>
      </c>
      <c r="C5092" s="226">
        <v>542809</v>
      </c>
      <c r="D5092" s="225" t="s">
        <v>8053</v>
      </c>
      <c r="E5092" s="225"/>
    </row>
    <row r="5093" spans="2:5" ht="15.75" thickBot="1">
      <c r="B5093" s="225" t="s">
        <v>8054</v>
      </c>
      <c r="C5093" s="226">
        <v>542810</v>
      </c>
      <c r="D5093" s="225" t="s">
        <v>8055</v>
      </c>
      <c r="E5093" s="225"/>
    </row>
    <row r="5094" spans="2:5" ht="15.75" thickBot="1">
      <c r="B5094" s="225" t="s">
        <v>8056</v>
      </c>
      <c r="C5094" s="226">
        <v>542811</v>
      </c>
      <c r="D5094" s="225" t="s">
        <v>8057</v>
      </c>
      <c r="E5094" s="225"/>
    </row>
    <row r="5095" spans="2:5" ht="15.75" thickBot="1">
      <c r="B5095" s="225" t="s">
        <v>8058</v>
      </c>
      <c r="C5095" s="226">
        <v>542812</v>
      </c>
      <c r="D5095" s="225" t="s">
        <v>8059</v>
      </c>
      <c r="E5095" s="225" t="s">
        <v>757</v>
      </c>
    </row>
    <row r="5096" spans="2:5" ht="15.75" thickBot="1">
      <c r="B5096" s="225" t="s">
        <v>8060</v>
      </c>
      <c r="C5096" s="226">
        <v>542813</v>
      </c>
      <c r="D5096" s="225" t="s">
        <v>8061</v>
      </c>
      <c r="E5096" s="225"/>
    </row>
    <row r="5097" spans="2:5" ht="15.75" thickBot="1">
      <c r="B5097" s="225" t="s">
        <v>8062</v>
      </c>
      <c r="C5097" s="226">
        <v>542814</v>
      </c>
      <c r="D5097" s="225" t="s">
        <v>8063</v>
      </c>
      <c r="E5097" s="225"/>
    </row>
    <row r="5098" spans="2:5" ht="15.75" thickBot="1">
      <c r="B5098" s="225" t="s">
        <v>8064</v>
      </c>
      <c r="C5098" s="226">
        <v>542815</v>
      </c>
      <c r="D5098" s="225" t="s">
        <v>8065</v>
      </c>
      <c r="E5098" s="225"/>
    </row>
    <row r="5099" spans="2:5" ht="15.75" thickBot="1">
      <c r="B5099" s="225" t="s">
        <v>8066</v>
      </c>
      <c r="C5099" s="226">
        <v>542816</v>
      </c>
      <c r="D5099" s="225" t="s">
        <v>8067</v>
      </c>
      <c r="E5099" s="225"/>
    </row>
    <row r="5100" spans="2:5" ht="15.75" thickBot="1">
      <c r="B5100" s="225" t="s">
        <v>8068</v>
      </c>
      <c r="C5100" s="226">
        <v>542817</v>
      </c>
      <c r="D5100" s="225" t="s">
        <v>8069</v>
      </c>
      <c r="E5100" s="225"/>
    </row>
    <row r="5101" spans="2:5" ht="15.75" thickBot="1">
      <c r="B5101" s="225" t="s">
        <v>8070</v>
      </c>
      <c r="C5101" s="226">
        <v>542818</v>
      </c>
      <c r="D5101" s="225" t="s">
        <v>8071</v>
      </c>
      <c r="E5101" s="225"/>
    </row>
    <row r="5102" spans="2:5" ht="15.75" thickBot="1">
      <c r="B5102" s="225" t="s">
        <v>8072</v>
      </c>
      <c r="C5102" s="226">
        <v>542819</v>
      </c>
      <c r="D5102" s="225" t="s">
        <v>8073</v>
      </c>
      <c r="E5102" s="225"/>
    </row>
    <row r="5103" spans="2:5" ht="15.75" thickBot="1">
      <c r="B5103" s="225" t="s">
        <v>8074</v>
      </c>
      <c r="C5103" s="226">
        <v>542820</v>
      </c>
      <c r="D5103" s="225" t="s">
        <v>8075</v>
      </c>
      <c r="E5103" s="225"/>
    </row>
    <row r="5104" spans="2:5" ht="15.75" thickBot="1">
      <c r="B5104" s="225" t="s">
        <v>8076</v>
      </c>
      <c r="C5104" s="226">
        <v>542830</v>
      </c>
      <c r="D5104" s="225" t="s">
        <v>8077</v>
      </c>
      <c r="E5104" s="225" t="s">
        <v>1600</v>
      </c>
    </row>
    <row r="5105" spans="2:5" ht="15.75" thickBot="1">
      <c r="B5105" s="225" t="s">
        <v>8078</v>
      </c>
      <c r="C5105" s="226">
        <v>542836</v>
      </c>
      <c r="D5105" s="225" t="s">
        <v>8079</v>
      </c>
      <c r="E5105" s="225"/>
    </row>
    <row r="5106" spans="2:5" ht="15.75" thickBot="1">
      <c r="B5106" s="225" t="s">
        <v>8080</v>
      </c>
      <c r="C5106" s="226">
        <v>542837</v>
      </c>
      <c r="D5106" s="225" t="s">
        <v>8081</v>
      </c>
      <c r="E5106" s="225"/>
    </row>
    <row r="5107" spans="2:5" ht="15.75" thickBot="1">
      <c r="B5107" s="225" t="s">
        <v>8082</v>
      </c>
      <c r="C5107" s="226">
        <v>542838</v>
      </c>
      <c r="D5107" s="225" t="s">
        <v>8083</v>
      </c>
      <c r="E5107" s="225"/>
    </row>
    <row r="5108" spans="2:5" ht="15.75" thickBot="1">
      <c r="B5108" s="225" t="s">
        <v>8084</v>
      </c>
      <c r="C5108" s="226">
        <v>542839</v>
      </c>
      <c r="D5108" s="225" t="s">
        <v>8085</v>
      </c>
      <c r="E5108" s="225"/>
    </row>
    <row r="5109" spans="2:5" ht="15.75" thickBot="1">
      <c r="B5109" s="225" t="s">
        <v>8086</v>
      </c>
      <c r="C5109" s="226">
        <v>542840</v>
      </c>
      <c r="D5109" s="225" t="s">
        <v>8087</v>
      </c>
      <c r="E5109" s="225"/>
    </row>
    <row r="5110" spans="2:5" ht="15.75" thickBot="1">
      <c r="B5110" s="225" t="s">
        <v>8088</v>
      </c>
      <c r="C5110" s="226">
        <v>542841</v>
      </c>
      <c r="D5110" s="225" t="s">
        <v>8089</v>
      </c>
      <c r="E5110" s="225"/>
    </row>
    <row r="5111" spans="2:5" ht="15.75" thickBot="1">
      <c r="B5111" s="225" t="s">
        <v>8090</v>
      </c>
      <c r="C5111" s="226">
        <v>542842</v>
      </c>
      <c r="D5111" s="225" t="s">
        <v>8091</v>
      </c>
      <c r="E5111" s="225"/>
    </row>
    <row r="5112" spans="2:5" ht="15.75" thickBot="1">
      <c r="B5112" s="225" t="s">
        <v>8092</v>
      </c>
      <c r="C5112" s="226">
        <v>542843</v>
      </c>
      <c r="D5112" s="225" t="s">
        <v>8093</v>
      </c>
      <c r="E5112" s="225"/>
    </row>
    <row r="5113" spans="2:5" ht="15.75" thickBot="1">
      <c r="B5113" s="225" t="s">
        <v>8094</v>
      </c>
      <c r="C5113" s="226">
        <v>542844</v>
      </c>
      <c r="D5113" s="225" t="s">
        <v>8095</v>
      </c>
      <c r="E5113" s="225"/>
    </row>
    <row r="5114" spans="2:5" ht="15.75" thickBot="1">
      <c r="B5114" s="225" t="s">
        <v>8096</v>
      </c>
      <c r="C5114" s="226">
        <v>542845</v>
      </c>
      <c r="D5114" s="225" t="s">
        <v>8097</v>
      </c>
      <c r="E5114" s="225"/>
    </row>
    <row r="5115" spans="2:5" ht="15.75" thickBot="1">
      <c r="B5115" s="225" t="s">
        <v>8098</v>
      </c>
      <c r="C5115" s="226">
        <v>542846</v>
      </c>
      <c r="D5115" s="225" t="s">
        <v>8099</v>
      </c>
      <c r="E5115" s="225"/>
    </row>
    <row r="5116" spans="2:5" ht="15.75" thickBot="1">
      <c r="B5116" s="225" t="s">
        <v>8100</v>
      </c>
      <c r="C5116" s="226">
        <v>542847</v>
      </c>
      <c r="D5116" s="225" t="s">
        <v>8101</v>
      </c>
      <c r="E5116" s="225"/>
    </row>
    <row r="5117" spans="2:5" ht="15.75" thickBot="1">
      <c r="B5117" s="225" t="s">
        <v>8102</v>
      </c>
      <c r="C5117" s="226">
        <v>542848</v>
      </c>
      <c r="D5117" s="225" t="s">
        <v>8103</v>
      </c>
      <c r="E5117" s="225"/>
    </row>
    <row r="5118" spans="2:5" ht="15.75" thickBot="1">
      <c r="B5118" s="225" t="s">
        <v>8104</v>
      </c>
      <c r="C5118" s="226">
        <v>542849</v>
      </c>
      <c r="D5118" s="225" t="s">
        <v>8105</v>
      </c>
      <c r="E5118" s="225"/>
    </row>
    <row r="5119" spans="2:5" ht="15.75" thickBot="1">
      <c r="B5119" s="225" t="s">
        <v>8106</v>
      </c>
      <c r="C5119" s="226">
        <v>542850</v>
      </c>
      <c r="D5119" s="225" t="s">
        <v>8107</v>
      </c>
      <c r="E5119" s="225" t="s">
        <v>711</v>
      </c>
    </row>
    <row r="5120" spans="2:5" ht="15.75" thickBot="1">
      <c r="B5120" s="225" t="s">
        <v>8108</v>
      </c>
      <c r="C5120" s="226">
        <v>542851</v>
      </c>
      <c r="D5120" s="225" t="s">
        <v>8109</v>
      </c>
      <c r="E5120" s="225" t="s">
        <v>681</v>
      </c>
    </row>
    <row r="5121" spans="2:5" ht="15.75" thickBot="1">
      <c r="B5121" s="225" t="s">
        <v>8110</v>
      </c>
      <c r="C5121" s="226">
        <v>542852</v>
      </c>
      <c r="D5121" s="225" t="s">
        <v>8111</v>
      </c>
      <c r="E5121" s="225" t="s">
        <v>1296</v>
      </c>
    </row>
    <row r="5122" spans="2:5" ht="15.75" thickBot="1">
      <c r="B5122" s="225" t="s">
        <v>8112</v>
      </c>
      <c r="C5122" s="226">
        <v>542857</v>
      </c>
      <c r="D5122" s="225" t="s">
        <v>8113</v>
      </c>
      <c r="E5122" s="225" t="s">
        <v>1092</v>
      </c>
    </row>
    <row r="5123" spans="2:5" ht="15.75" thickBot="1">
      <c r="B5123" s="225" t="s">
        <v>8114</v>
      </c>
      <c r="C5123" s="226">
        <v>542862</v>
      </c>
      <c r="D5123" s="225" t="s">
        <v>8115</v>
      </c>
      <c r="E5123" s="225" t="s">
        <v>612</v>
      </c>
    </row>
    <row r="5124" spans="2:5" ht="15.75" thickBot="1">
      <c r="B5124" s="225" t="s">
        <v>8116</v>
      </c>
      <c r="C5124" s="226">
        <v>542863</v>
      </c>
      <c r="D5124" s="225" t="s">
        <v>8117</v>
      </c>
      <c r="E5124" s="225"/>
    </row>
    <row r="5125" spans="2:5" ht="15.75" thickBot="1">
      <c r="B5125" s="225" t="s">
        <v>8118</v>
      </c>
      <c r="C5125" s="226">
        <v>542864</v>
      </c>
      <c r="D5125" s="225" t="s">
        <v>8119</v>
      </c>
      <c r="E5125" s="225" t="s">
        <v>683</v>
      </c>
    </row>
    <row r="5126" spans="2:5" ht="15.75" thickBot="1">
      <c r="B5126" s="225" t="s">
        <v>8120</v>
      </c>
      <c r="C5126" s="226">
        <v>542865</v>
      </c>
      <c r="D5126" s="225" t="s">
        <v>8121</v>
      </c>
      <c r="E5126" s="225" t="s">
        <v>792</v>
      </c>
    </row>
    <row r="5127" spans="2:5" ht="15.75" thickBot="1">
      <c r="B5127" s="225" t="s">
        <v>8122</v>
      </c>
      <c r="C5127" s="226">
        <v>542866</v>
      </c>
      <c r="D5127" s="225" t="s">
        <v>8123</v>
      </c>
      <c r="E5127" s="225" t="s">
        <v>580</v>
      </c>
    </row>
    <row r="5128" spans="2:5" ht="15.75" thickBot="1">
      <c r="B5128" s="225" t="s">
        <v>8124</v>
      </c>
      <c r="C5128" s="226">
        <v>542867</v>
      </c>
      <c r="D5128" s="225" t="s">
        <v>8125</v>
      </c>
      <c r="E5128" s="225" t="s">
        <v>915</v>
      </c>
    </row>
    <row r="5129" spans="2:5" ht="15.75" thickBot="1">
      <c r="B5129" s="225" t="s">
        <v>8126</v>
      </c>
      <c r="C5129" s="226">
        <v>542904</v>
      </c>
      <c r="D5129" s="225" t="s">
        <v>8127</v>
      </c>
      <c r="E5129" s="225" t="s">
        <v>915</v>
      </c>
    </row>
    <row r="5130" spans="2:5" ht="15.75" thickBot="1">
      <c r="B5130" s="225" t="s">
        <v>8128</v>
      </c>
      <c r="C5130" s="226">
        <v>542905</v>
      </c>
      <c r="D5130" s="225" t="s">
        <v>8129</v>
      </c>
      <c r="E5130" s="225" t="s">
        <v>895</v>
      </c>
    </row>
    <row r="5131" spans="2:5" ht="15.75" thickBot="1">
      <c r="B5131" s="225" t="s">
        <v>8130</v>
      </c>
      <c r="C5131" s="226">
        <v>542906</v>
      </c>
      <c r="D5131" s="225" t="s">
        <v>8131</v>
      </c>
      <c r="E5131" s="225" t="s">
        <v>614</v>
      </c>
    </row>
    <row r="5132" spans="2:5" ht="15.75" thickBot="1">
      <c r="B5132" s="225" t="s">
        <v>8132</v>
      </c>
      <c r="C5132" s="226">
        <v>542907</v>
      </c>
      <c r="D5132" s="225" t="s">
        <v>8133</v>
      </c>
      <c r="E5132" s="225" t="s">
        <v>717</v>
      </c>
    </row>
    <row r="5133" spans="2:5" ht="15.75" thickBot="1">
      <c r="B5133" s="225" t="s">
        <v>8134</v>
      </c>
      <c r="C5133" s="226">
        <v>542910</v>
      </c>
      <c r="D5133" s="225" t="s">
        <v>8135</v>
      </c>
      <c r="E5133" s="225" t="s">
        <v>1032</v>
      </c>
    </row>
    <row r="5134" spans="2:5" ht="15.75" thickBot="1">
      <c r="B5134" s="225" t="s">
        <v>8136</v>
      </c>
      <c r="C5134" s="226">
        <v>542911</v>
      </c>
      <c r="D5134" s="225" t="s">
        <v>8137</v>
      </c>
      <c r="E5134" s="225" t="s">
        <v>614</v>
      </c>
    </row>
    <row r="5135" spans="2:5" ht="15.75" thickBot="1">
      <c r="B5135" s="225" t="s">
        <v>8138</v>
      </c>
      <c r="C5135" s="226">
        <v>542918</v>
      </c>
      <c r="D5135" s="225" t="s">
        <v>8139</v>
      </c>
      <c r="E5135" s="225" t="s">
        <v>786</v>
      </c>
    </row>
    <row r="5136" spans="2:5" ht="15.75" thickBot="1">
      <c r="B5136" s="225" t="s">
        <v>8140</v>
      </c>
      <c r="C5136" s="226">
        <v>542919</v>
      </c>
      <c r="D5136" s="225" t="s">
        <v>8141</v>
      </c>
      <c r="E5136" s="225" t="s">
        <v>786</v>
      </c>
    </row>
    <row r="5137" spans="2:5" ht="15.75" thickBot="1">
      <c r="B5137" s="225" t="s">
        <v>8142</v>
      </c>
      <c r="C5137" s="226">
        <v>542920</v>
      </c>
      <c r="D5137" s="225" t="s">
        <v>8143</v>
      </c>
      <c r="E5137" s="225" t="s">
        <v>741</v>
      </c>
    </row>
    <row r="5138" spans="2:5" ht="15.75" thickBot="1">
      <c r="B5138" s="225" t="s">
        <v>8144</v>
      </c>
      <c r="C5138" s="226">
        <v>542921</v>
      </c>
      <c r="D5138" s="225" t="s">
        <v>8145</v>
      </c>
      <c r="E5138" s="225"/>
    </row>
    <row r="5139" spans="2:5" ht="15.75" thickBot="1">
      <c r="B5139" s="225" t="s">
        <v>8146</v>
      </c>
      <c r="C5139" s="226">
        <v>542922</v>
      </c>
      <c r="D5139" s="225" t="s">
        <v>8147</v>
      </c>
      <c r="E5139" s="225"/>
    </row>
    <row r="5140" spans="2:5" ht="15.75" thickBot="1">
      <c r="B5140" s="225" t="s">
        <v>8148</v>
      </c>
      <c r="C5140" s="226">
        <v>542923</v>
      </c>
      <c r="D5140" s="225" t="s">
        <v>8149</v>
      </c>
      <c r="E5140" s="225" t="s">
        <v>583</v>
      </c>
    </row>
    <row r="5141" spans="2:5" ht="15.75" thickBot="1">
      <c r="B5141" s="225" t="s">
        <v>8150</v>
      </c>
      <c r="C5141" s="226">
        <v>542924</v>
      </c>
      <c r="D5141" s="225" t="s">
        <v>8151</v>
      </c>
      <c r="E5141" s="225" t="s">
        <v>586</v>
      </c>
    </row>
    <row r="5142" spans="2:5" ht="15.75" thickBot="1">
      <c r="B5142" s="225" t="s">
        <v>8152</v>
      </c>
      <c r="C5142" s="226">
        <v>542931</v>
      </c>
      <c r="D5142" s="225" t="s">
        <v>8153</v>
      </c>
      <c r="E5142" s="225" t="s">
        <v>614</v>
      </c>
    </row>
    <row r="5143" spans="2:5" ht="15.75" thickBot="1">
      <c r="B5143" s="225" t="s">
        <v>8154</v>
      </c>
      <c r="C5143" s="226">
        <v>542932</v>
      </c>
      <c r="D5143" s="225" t="s">
        <v>8155</v>
      </c>
      <c r="E5143" s="225" t="s">
        <v>1077</v>
      </c>
    </row>
    <row r="5144" spans="2:5" ht="15.75" thickBot="1">
      <c r="B5144" s="225" t="s">
        <v>8156</v>
      </c>
      <c r="C5144" s="226">
        <v>542933</v>
      </c>
      <c r="D5144" s="225" t="s">
        <v>8157</v>
      </c>
      <c r="E5144" s="225" t="s">
        <v>1835</v>
      </c>
    </row>
    <row r="5145" spans="2:5" ht="15.75" thickBot="1">
      <c r="B5145" s="225" t="s">
        <v>8158</v>
      </c>
      <c r="C5145" s="226">
        <v>542934</v>
      </c>
      <c r="D5145" s="225" t="s">
        <v>8159</v>
      </c>
      <c r="E5145" s="225" t="s">
        <v>635</v>
      </c>
    </row>
    <row r="5146" spans="2:5" ht="15.75" thickBot="1">
      <c r="B5146" s="225" t="s">
        <v>8160</v>
      </c>
      <c r="C5146" s="226">
        <v>542935</v>
      </c>
      <c r="D5146" s="225" t="s">
        <v>8161</v>
      </c>
      <c r="E5146" s="225" t="s">
        <v>657</v>
      </c>
    </row>
    <row r="5147" spans="2:5" ht="15.75" thickBot="1">
      <c r="B5147" s="225" t="s">
        <v>8162</v>
      </c>
      <c r="C5147" s="226">
        <v>542938</v>
      </c>
      <c r="D5147" s="225" t="s">
        <v>8163</v>
      </c>
      <c r="E5147" s="225" t="s">
        <v>1004</v>
      </c>
    </row>
    <row r="5148" spans="2:5" ht="15.75" thickBot="1">
      <c r="B5148" s="225" t="s">
        <v>8164</v>
      </c>
      <c r="C5148" s="226">
        <v>543064</v>
      </c>
      <c r="D5148" s="225" t="s">
        <v>8165</v>
      </c>
      <c r="E5148" s="225" t="s">
        <v>635</v>
      </c>
    </row>
    <row r="5149" spans="2:5" ht="15.75" thickBot="1">
      <c r="B5149" s="225" t="s">
        <v>8166</v>
      </c>
      <c r="C5149" s="226">
        <v>543065</v>
      </c>
      <c r="D5149" s="225" t="s">
        <v>8167</v>
      </c>
      <c r="E5149" s="225" t="s">
        <v>782</v>
      </c>
    </row>
    <row r="5150" spans="2:5" ht="15.75" thickBot="1">
      <c r="B5150" s="225" t="s">
        <v>8168</v>
      </c>
      <c r="C5150" s="226">
        <v>543066</v>
      </c>
      <c r="D5150" s="225" t="s">
        <v>8169</v>
      </c>
      <c r="E5150" s="225" t="s">
        <v>614</v>
      </c>
    </row>
    <row r="5151" spans="2:5" ht="15.75" thickBot="1">
      <c r="B5151" s="225" t="s">
        <v>8170</v>
      </c>
      <c r="C5151" s="226">
        <v>543144</v>
      </c>
      <c r="D5151" s="225" t="s">
        <v>8171</v>
      </c>
      <c r="E5151" s="225"/>
    </row>
    <row r="5152" spans="2:5" ht="15.75" thickBot="1">
      <c r="B5152" s="225" t="s">
        <v>8172</v>
      </c>
      <c r="C5152" s="226">
        <v>543145</v>
      </c>
      <c r="D5152" s="225" t="s">
        <v>8173</v>
      </c>
      <c r="E5152" s="225"/>
    </row>
    <row r="5153" spans="2:5" ht="15.75" thickBot="1">
      <c r="B5153" s="225" t="s">
        <v>8170</v>
      </c>
      <c r="C5153" s="226">
        <v>543146</v>
      </c>
      <c r="D5153" s="225" t="s">
        <v>8174</v>
      </c>
      <c r="E5153" s="225"/>
    </row>
    <row r="5154" spans="2:5" ht="15.75" thickBot="1">
      <c r="B5154" s="225" t="s">
        <v>8175</v>
      </c>
      <c r="C5154" s="226">
        <v>543147</v>
      </c>
      <c r="D5154" s="225" t="s">
        <v>8176</v>
      </c>
      <c r="E5154" s="225"/>
    </row>
    <row r="5155" spans="2:5" ht="15.75" thickBot="1">
      <c r="B5155" s="225" t="s">
        <v>8175</v>
      </c>
      <c r="C5155" s="226">
        <v>543148</v>
      </c>
      <c r="D5155" s="225" t="s">
        <v>8177</v>
      </c>
      <c r="E5155" s="225"/>
    </row>
    <row r="5156" spans="2:5" ht="15.75" thickBot="1">
      <c r="B5156" s="225" t="s">
        <v>8178</v>
      </c>
      <c r="C5156" s="226">
        <v>543149</v>
      </c>
      <c r="D5156" s="225" t="s">
        <v>8179</v>
      </c>
      <c r="E5156" s="225"/>
    </row>
    <row r="5157" spans="2:5" ht="15.75" thickBot="1">
      <c r="B5157" s="225" t="s">
        <v>8180</v>
      </c>
      <c r="C5157" s="226">
        <v>543150</v>
      </c>
      <c r="D5157" s="225" t="s">
        <v>8181</v>
      </c>
      <c r="E5157" s="225"/>
    </row>
    <row r="5158" spans="2:5" ht="15.75" thickBot="1">
      <c r="B5158" s="225" t="s">
        <v>8182</v>
      </c>
      <c r="C5158" s="226">
        <v>543151</v>
      </c>
      <c r="D5158" s="225" t="s">
        <v>8183</v>
      </c>
      <c r="E5158" s="225"/>
    </row>
    <row r="5159" spans="2:5" ht="15.75" thickBot="1">
      <c r="B5159" s="225" t="s">
        <v>8184</v>
      </c>
      <c r="C5159" s="226">
        <v>543152</v>
      </c>
      <c r="D5159" s="225" t="s">
        <v>8185</v>
      </c>
      <c r="E5159" s="225"/>
    </row>
    <row r="5160" spans="2:5" ht="15.75" thickBot="1">
      <c r="B5160" s="225" t="s">
        <v>8186</v>
      </c>
      <c r="C5160" s="226">
        <v>543153</v>
      </c>
      <c r="D5160" s="225" t="s">
        <v>8187</v>
      </c>
      <c r="E5160" s="225"/>
    </row>
    <row r="5161" spans="2:5" ht="15.75" thickBot="1">
      <c r="B5161" s="225" t="s">
        <v>8184</v>
      </c>
      <c r="C5161" s="226">
        <v>543154</v>
      </c>
      <c r="D5161" s="225" t="s">
        <v>8188</v>
      </c>
      <c r="E5161" s="225"/>
    </row>
    <row r="5162" spans="2:5" ht="15.75" thickBot="1">
      <c r="B5162" s="225" t="s">
        <v>8189</v>
      </c>
      <c r="C5162" s="226">
        <v>543155</v>
      </c>
      <c r="D5162" s="225" t="s">
        <v>8190</v>
      </c>
      <c r="E5162" s="225"/>
    </row>
    <row r="5163" spans="2:5" ht="15.75" thickBot="1">
      <c r="B5163" s="225" t="s">
        <v>8191</v>
      </c>
      <c r="C5163" s="226">
        <v>543156</v>
      </c>
      <c r="D5163" s="225" t="s">
        <v>8192</v>
      </c>
      <c r="E5163" s="225"/>
    </row>
    <row r="5164" spans="2:5" ht="15.75" thickBot="1">
      <c r="B5164" s="225" t="s">
        <v>8189</v>
      </c>
      <c r="C5164" s="226">
        <v>543168</v>
      </c>
      <c r="D5164" s="225" t="s">
        <v>8193</v>
      </c>
      <c r="E5164" s="225"/>
    </row>
    <row r="5165" spans="2:5" ht="15.75" thickBot="1">
      <c r="B5165" s="225" t="s">
        <v>8191</v>
      </c>
      <c r="C5165" s="226">
        <v>543169</v>
      </c>
      <c r="D5165" s="225" t="s">
        <v>8194</v>
      </c>
      <c r="E5165" s="225"/>
    </row>
    <row r="5166" spans="2:5" ht="15.75" thickBot="1">
      <c r="B5166" s="225" t="s">
        <v>8172</v>
      </c>
      <c r="C5166" s="226">
        <v>543170</v>
      </c>
      <c r="D5166" s="225" t="s">
        <v>8195</v>
      </c>
      <c r="E5166" s="225"/>
    </row>
    <row r="5167" spans="2:5" ht="15.75" thickBot="1">
      <c r="B5167" s="225" t="s">
        <v>8196</v>
      </c>
      <c r="C5167" s="226">
        <v>543171</v>
      </c>
      <c r="D5167" s="225" t="s">
        <v>8197</v>
      </c>
      <c r="E5167" s="225" t="s">
        <v>711</v>
      </c>
    </row>
    <row r="5168" spans="2:5" ht="15.75" thickBot="1">
      <c r="B5168" s="225" t="s">
        <v>8198</v>
      </c>
      <c r="C5168" s="226">
        <v>543172</v>
      </c>
      <c r="D5168" s="225" t="s">
        <v>8199</v>
      </c>
      <c r="E5168" s="225" t="s">
        <v>605</v>
      </c>
    </row>
    <row r="5169" spans="2:5" ht="15.75" thickBot="1">
      <c r="B5169" s="225" t="s">
        <v>8200</v>
      </c>
      <c r="C5169" s="226">
        <v>543173</v>
      </c>
      <c r="D5169" s="225" t="s">
        <v>8201</v>
      </c>
      <c r="E5169" s="225"/>
    </row>
    <row r="5170" spans="2:5" ht="15.75" thickBot="1">
      <c r="B5170" s="225" t="s">
        <v>8202</v>
      </c>
      <c r="C5170" s="226">
        <v>543174</v>
      </c>
      <c r="D5170" s="225" t="s">
        <v>8203</v>
      </c>
      <c r="E5170" s="225"/>
    </row>
    <row r="5171" spans="2:5" ht="15.75" thickBot="1">
      <c r="B5171" s="225" t="s">
        <v>8204</v>
      </c>
      <c r="C5171" s="226">
        <v>543175</v>
      </c>
      <c r="D5171" s="225" t="s">
        <v>8205</v>
      </c>
      <c r="E5171" s="225"/>
    </row>
    <row r="5172" spans="2:5" ht="15.75" thickBot="1">
      <c r="B5172" s="225" t="s">
        <v>8206</v>
      </c>
      <c r="C5172" s="226">
        <v>543176</v>
      </c>
      <c r="D5172" s="225" t="s">
        <v>8207</v>
      </c>
      <c r="E5172" s="225"/>
    </row>
    <row r="5173" spans="2:5" ht="15.75" thickBot="1">
      <c r="B5173" s="225" t="s">
        <v>8208</v>
      </c>
      <c r="C5173" s="226">
        <v>543177</v>
      </c>
      <c r="D5173" s="225" t="s">
        <v>8209</v>
      </c>
      <c r="E5173" s="225"/>
    </row>
    <row r="5174" spans="2:5" ht="15.75" thickBot="1">
      <c r="B5174" s="225" t="s">
        <v>8210</v>
      </c>
      <c r="C5174" s="226">
        <v>543178</v>
      </c>
      <c r="D5174" s="225" t="s">
        <v>8211</v>
      </c>
      <c r="E5174" s="225"/>
    </row>
    <row r="5175" spans="2:5" ht="15.75" thickBot="1">
      <c r="B5175" s="225" t="s">
        <v>8212</v>
      </c>
      <c r="C5175" s="226">
        <v>543179</v>
      </c>
      <c r="D5175" s="225" t="s">
        <v>8213</v>
      </c>
      <c r="E5175" s="225"/>
    </row>
    <row r="5176" spans="2:5" ht="15.75" thickBot="1">
      <c r="B5176" s="225" t="s">
        <v>8214</v>
      </c>
      <c r="C5176" s="226">
        <v>543180</v>
      </c>
      <c r="D5176" s="225" t="s">
        <v>8215</v>
      </c>
      <c r="E5176" s="225"/>
    </row>
    <row r="5177" spans="2:5" ht="15.75" thickBot="1">
      <c r="B5177" s="225" t="s">
        <v>8216</v>
      </c>
      <c r="C5177" s="226">
        <v>543181</v>
      </c>
      <c r="D5177" s="225" t="s">
        <v>8217</v>
      </c>
      <c r="E5177" s="225"/>
    </row>
    <row r="5178" spans="2:5" ht="15.75" thickBot="1">
      <c r="B5178" s="225" t="s">
        <v>8218</v>
      </c>
      <c r="C5178" s="226">
        <v>543182</v>
      </c>
      <c r="D5178" s="225" t="s">
        <v>8219</v>
      </c>
      <c r="E5178" s="225"/>
    </row>
    <row r="5179" spans="2:5" ht="15.75" thickBot="1">
      <c r="B5179" s="225" t="s">
        <v>8220</v>
      </c>
      <c r="C5179" s="226">
        <v>543183</v>
      </c>
      <c r="D5179" s="225" t="s">
        <v>8221</v>
      </c>
      <c r="E5179" s="225"/>
    </row>
    <row r="5180" spans="2:5" ht="15.75" thickBot="1">
      <c r="B5180" s="225" t="s">
        <v>8222</v>
      </c>
      <c r="C5180" s="226">
        <v>543184</v>
      </c>
      <c r="D5180" s="225" t="s">
        <v>8223</v>
      </c>
      <c r="E5180" s="225"/>
    </row>
    <row r="5181" spans="2:5" ht="15.75" thickBot="1">
      <c r="B5181" s="225" t="s">
        <v>8224</v>
      </c>
      <c r="C5181" s="226">
        <v>543185</v>
      </c>
      <c r="D5181" s="225" t="s">
        <v>8225</v>
      </c>
      <c r="E5181" s="225"/>
    </row>
    <row r="5182" spans="2:5" ht="15.75" thickBot="1">
      <c r="B5182" s="225" t="s">
        <v>8226</v>
      </c>
      <c r="C5182" s="226">
        <v>543186</v>
      </c>
      <c r="D5182" s="225" t="s">
        <v>8227</v>
      </c>
      <c r="E5182" s="225"/>
    </row>
    <row r="5183" spans="2:5" ht="15.75" thickBot="1">
      <c r="B5183" s="225" t="s">
        <v>8228</v>
      </c>
      <c r="C5183" s="226">
        <v>543187</v>
      </c>
      <c r="D5183" s="225" t="s">
        <v>8229</v>
      </c>
      <c r="E5183" s="225" t="s">
        <v>640</v>
      </c>
    </row>
    <row r="5184" spans="2:5" ht="15.75" thickBot="1">
      <c r="B5184" s="225" t="s">
        <v>8230</v>
      </c>
      <c r="C5184" s="226">
        <v>543193</v>
      </c>
      <c r="D5184" s="225" t="s">
        <v>8231</v>
      </c>
      <c r="E5184" s="225" t="s">
        <v>918</v>
      </c>
    </row>
    <row r="5185" spans="2:5" ht="15.75" thickBot="1">
      <c r="B5185" s="225" t="s">
        <v>8232</v>
      </c>
      <c r="C5185" s="226">
        <v>543194</v>
      </c>
      <c r="D5185" s="225" t="s">
        <v>8233</v>
      </c>
      <c r="E5185" s="225" t="s">
        <v>7549</v>
      </c>
    </row>
    <row r="5186" spans="2:5" ht="15.75" thickBot="1">
      <c r="B5186" s="225" t="s">
        <v>8234</v>
      </c>
      <c r="C5186" s="226">
        <v>543207</v>
      </c>
      <c r="D5186" s="225" t="s">
        <v>8235</v>
      </c>
      <c r="E5186" s="225" t="s">
        <v>741</v>
      </c>
    </row>
    <row r="5187" spans="2:5" ht="15.75" thickBot="1">
      <c r="B5187" s="225" t="s">
        <v>8236</v>
      </c>
      <c r="C5187" s="226">
        <v>543208</v>
      </c>
      <c r="D5187" s="225" t="s">
        <v>8237</v>
      </c>
      <c r="E5187" s="225" t="s">
        <v>614</v>
      </c>
    </row>
    <row r="5188" spans="2:5" ht="15.75" thickBot="1">
      <c r="B5188" s="225" t="s">
        <v>8238</v>
      </c>
      <c r="C5188" s="226">
        <v>543209</v>
      </c>
      <c r="D5188" s="225" t="s">
        <v>8239</v>
      </c>
      <c r="E5188" s="225" t="s">
        <v>586</v>
      </c>
    </row>
    <row r="5189" spans="2:5" ht="15.75" thickBot="1">
      <c r="B5189" s="225" t="s">
        <v>8240</v>
      </c>
      <c r="C5189" s="226">
        <v>543210</v>
      </c>
      <c r="D5189" s="225" t="s">
        <v>8241</v>
      </c>
      <c r="E5189" s="225" t="s">
        <v>757</v>
      </c>
    </row>
    <row r="5190" spans="2:5" ht="15.75" thickBot="1">
      <c r="B5190" s="225" t="s">
        <v>8242</v>
      </c>
      <c r="C5190" s="226">
        <v>543211</v>
      </c>
      <c r="D5190" s="225" t="s">
        <v>8243</v>
      </c>
      <c r="E5190" s="225" t="s">
        <v>1517</v>
      </c>
    </row>
    <row r="5191" spans="2:5" ht="15.75" thickBot="1">
      <c r="B5191" s="225" t="s">
        <v>8244</v>
      </c>
      <c r="C5191" s="226">
        <v>543212</v>
      </c>
      <c r="D5191" s="225" t="s">
        <v>8245</v>
      </c>
      <c r="E5191" s="225" t="s">
        <v>1643</v>
      </c>
    </row>
    <row r="5192" spans="2:5" ht="15.75" thickBot="1">
      <c r="B5192" s="225" t="s">
        <v>8246</v>
      </c>
      <c r="C5192" s="226">
        <v>543213</v>
      </c>
      <c r="D5192" s="225" t="s">
        <v>8247</v>
      </c>
      <c r="E5192" s="225" t="s">
        <v>757</v>
      </c>
    </row>
    <row r="5193" spans="2:5" ht="15.75" thickBot="1">
      <c r="B5193" s="225" t="s">
        <v>8248</v>
      </c>
      <c r="C5193" s="226">
        <v>543214</v>
      </c>
      <c r="D5193" s="225" t="s">
        <v>8249</v>
      </c>
      <c r="E5193" s="225" t="s">
        <v>952</v>
      </c>
    </row>
    <row r="5194" spans="2:5" ht="15.75" thickBot="1">
      <c r="B5194" s="225" t="s">
        <v>8250</v>
      </c>
      <c r="C5194" s="226">
        <v>543217</v>
      </c>
      <c r="D5194" s="225" t="s">
        <v>8251</v>
      </c>
      <c r="E5194" s="225"/>
    </row>
    <row r="5195" spans="2:5" ht="15.75" thickBot="1">
      <c r="B5195" s="225" t="s">
        <v>8252</v>
      </c>
      <c r="C5195" s="226">
        <v>543218</v>
      </c>
      <c r="D5195" s="225" t="s">
        <v>8253</v>
      </c>
      <c r="E5195" s="225" t="s">
        <v>683</v>
      </c>
    </row>
    <row r="5196" spans="2:5" ht="15.75" thickBot="1">
      <c r="B5196" s="225" t="s">
        <v>8254</v>
      </c>
      <c r="C5196" s="226">
        <v>543219</v>
      </c>
      <c r="D5196" s="225" t="s">
        <v>8255</v>
      </c>
      <c r="E5196" s="225"/>
    </row>
    <row r="5197" spans="2:5" ht="15.75" thickBot="1">
      <c r="B5197" s="225" t="s">
        <v>8256</v>
      </c>
      <c r="C5197" s="226">
        <v>543220</v>
      </c>
      <c r="D5197" s="225" t="s">
        <v>8257</v>
      </c>
      <c r="E5197" s="225" t="s">
        <v>1067</v>
      </c>
    </row>
    <row r="5198" spans="2:5" ht="15.75" thickBot="1">
      <c r="B5198" s="225" t="s">
        <v>8258</v>
      </c>
      <c r="C5198" s="226">
        <v>543221</v>
      </c>
      <c r="D5198" s="225" t="s">
        <v>8259</v>
      </c>
      <c r="E5198" s="225"/>
    </row>
    <row r="5199" spans="2:5" ht="15.75" thickBot="1">
      <c r="B5199" s="225" t="s">
        <v>8260</v>
      </c>
      <c r="C5199" s="226">
        <v>543222</v>
      </c>
      <c r="D5199" s="225" t="s">
        <v>8261</v>
      </c>
      <c r="E5199" s="225" t="s">
        <v>720</v>
      </c>
    </row>
    <row r="5200" spans="2:5" ht="15.75" thickBot="1">
      <c r="B5200" s="225" t="s">
        <v>8262</v>
      </c>
      <c r="C5200" s="226">
        <v>543223</v>
      </c>
      <c r="D5200" s="225" t="s">
        <v>4317</v>
      </c>
      <c r="E5200" s="225" t="s">
        <v>763</v>
      </c>
    </row>
    <row r="5201" spans="2:5" ht="15.75" thickBot="1">
      <c r="B5201" s="225" t="s">
        <v>8263</v>
      </c>
      <c r="C5201" s="226">
        <v>543224</v>
      </c>
      <c r="D5201" s="225" t="s">
        <v>8264</v>
      </c>
      <c r="E5201" s="225"/>
    </row>
    <row r="5202" spans="2:5" ht="15.75" thickBot="1">
      <c r="B5202" s="225" t="s">
        <v>8265</v>
      </c>
      <c r="C5202" s="226">
        <v>543225</v>
      </c>
      <c r="D5202" s="225" t="s">
        <v>8266</v>
      </c>
      <c r="E5202" s="225"/>
    </row>
    <row r="5203" spans="2:5" ht="15.75" thickBot="1">
      <c r="B5203" s="225" t="s">
        <v>8267</v>
      </c>
      <c r="C5203" s="226">
        <v>543226</v>
      </c>
      <c r="D5203" s="225" t="s">
        <v>8268</v>
      </c>
      <c r="E5203" s="225"/>
    </row>
    <row r="5204" spans="2:5" ht="15.75" thickBot="1">
      <c r="B5204" s="225" t="s">
        <v>8269</v>
      </c>
      <c r="C5204" s="226">
        <v>543227</v>
      </c>
      <c r="D5204" s="225" t="s">
        <v>8270</v>
      </c>
      <c r="E5204" s="225" t="s">
        <v>583</v>
      </c>
    </row>
    <row r="5205" spans="2:5" ht="15.75" thickBot="1">
      <c r="B5205" s="225" t="s">
        <v>8271</v>
      </c>
      <c r="C5205" s="226">
        <v>543228</v>
      </c>
      <c r="D5205" s="225" t="s">
        <v>8272</v>
      </c>
      <c r="E5205" s="225" t="s">
        <v>603</v>
      </c>
    </row>
    <row r="5206" spans="2:5" ht="15.75" thickBot="1">
      <c r="B5206" s="225" t="s">
        <v>8273</v>
      </c>
      <c r="C5206" s="226">
        <v>543230</v>
      </c>
      <c r="D5206" s="225" t="s">
        <v>8274</v>
      </c>
      <c r="E5206" s="225" t="s">
        <v>895</v>
      </c>
    </row>
    <row r="5207" spans="2:5" ht="15.75" thickBot="1">
      <c r="B5207" s="225" t="s">
        <v>8275</v>
      </c>
      <c r="C5207" s="226">
        <v>543231</v>
      </c>
      <c r="D5207" s="225" t="s">
        <v>8276</v>
      </c>
      <c r="E5207" s="225" t="s">
        <v>1092</v>
      </c>
    </row>
    <row r="5208" spans="2:5" ht="15.75" thickBot="1">
      <c r="B5208" s="225" t="s">
        <v>8277</v>
      </c>
      <c r="C5208" s="226">
        <v>543232</v>
      </c>
      <c r="D5208" s="225" t="s">
        <v>8278</v>
      </c>
      <c r="E5208" s="225" t="s">
        <v>580</v>
      </c>
    </row>
    <row r="5209" spans="2:5" ht="15.75" thickBot="1">
      <c r="B5209" s="225" t="s">
        <v>8279</v>
      </c>
      <c r="C5209" s="226">
        <v>543233</v>
      </c>
      <c r="D5209" s="225" t="s">
        <v>8280</v>
      </c>
      <c r="E5209" s="225" t="s">
        <v>757</v>
      </c>
    </row>
    <row r="5210" spans="2:5" ht="15.75" thickBot="1">
      <c r="B5210" s="225" t="s">
        <v>8281</v>
      </c>
      <c r="C5210" s="226">
        <v>543234</v>
      </c>
      <c r="D5210" s="225" t="s">
        <v>8282</v>
      </c>
      <c r="E5210" s="225" t="s">
        <v>583</v>
      </c>
    </row>
    <row r="5211" spans="2:5" ht="15.75" thickBot="1">
      <c r="B5211" s="225" t="s">
        <v>8283</v>
      </c>
      <c r="C5211" s="226">
        <v>543235</v>
      </c>
      <c r="D5211" s="225" t="s">
        <v>8284</v>
      </c>
      <c r="E5211" s="225" t="s">
        <v>580</v>
      </c>
    </row>
    <row r="5212" spans="2:5" ht="15.75" thickBot="1">
      <c r="B5212" s="225" t="s">
        <v>8285</v>
      </c>
      <c r="C5212" s="226">
        <v>543236</v>
      </c>
      <c r="D5212" s="225" t="s">
        <v>8286</v>
      </c>
      <c r="E5212" s="225" t="s">
        <v>605</v>
      </c>
    </row>
    <row r="5213" spans="2:5" ht="15.75" thickBot="1">
      <c r="B5213" s="225" t="s">
        <v>8287</v>
      </c>
      <c r="C5213" s="226">
        <v>543237</v>
      </c>
      <c r="D5213" s="225" t="s">
        <v>8288</v>
      </c>
      <c r="E5213" s="225" t="s">
        <v>1070</v>
      </c>
    </row>
    <row r="5214" spans="2:5" ht="15.75" thickBot="1">
      <c r="B5214" s="225" t="s">
        <v>8289</v>
      </c>
      <c r="C5214" s="226">
        <v>543238</v>
      </c>
      <c r="D5214" s="225" t="s">
        <v>8290</v>
      </c>
      <c r="E5214" s="225" t="s">
        <v>3002</v>
      </c>
    </row>
    <row r="5215" spans="2:5" ht="15.75" thickBot="1">
      <c r="B5215" s="225" t="s">
        <v>8291</v>
      </c>
      <c r="C5215" s="226">
        <v>543239</v>
      </c>
      <c r="D5215" s="225" t="s">
        <v>8292</v>
      </c>
      <c r="E5215" s="225" t="s">
        <v>717</v>
      </c>
    </row>
    <row r="5216" spans="2:5" ht="15.75" thickBot="1">
      <c r="B5216" s="225" t="s">
        <v>8293</v>
      </c>
      <c r="C5216" s="226">
        <v>543240</v>
      </c>
      <c r="D5216" s="225" t="s">
        <v>8294</v>
      </c>
      <c r="E5216" s="225" t="s">
        <v>995</v>
      </c>
    </row>
    <row r="5217" spans="2:5" ht="15.75" thickBot="1">
      <c r="B5217" s="225" t="s">
        <v>8295</v>
      </c>
      <c r="C5217" s="226">
        <v>543241</v>
      </c>
      <c r="D5217" s="225" t="s">
        <v>8296</v>
      </c>
      <c r="E5217" s="225" t="s">
        <v>683</v>
      </c>
    </row>
    <row r="5218" spans="2:5" ht="15.75" thickBot="1">
      <c r="B5218" s="225" t="s">
        <v>8297</v>
      </c>
      <c r="C5218" s="226">
        <v>543242</v>
      </c>
      <c r="D5218" s="225" t="s">
        <v>8298</v>
      </c>
      <c r="E5218" s="225" t="s">
        <v>683</v>
      </c>
    </row>
    <row r="5219" spans="2:5" ht="15.75" thickBot="1">
      <c r="B5219" s="225" t="s">
        <v>8299</v>
      </c>
      <c r="C5219" s="226">
        <v>543243</v>
      </c>
      <c r="D5219" s="225" t="s">
        <v>8300</v>
      </c>
      <c r="E5219" s="225" t="s">
        <v>915</v>
      </c>
    </row>
    <row r="5220" spans="2:5" ht="15.75" thickBot="1">
      <c r="B5220" s="225" t="s">
        <v>8301</v>
      </c>
      <c r="C5220" s="226">
        <v>543244</v>
      </c>
      <c r="D5220" s="225" t="s">
        <v>8302</v>
      </c>
      <c r="E5220" s="225" t="s">
        <v>612</v>
      </c>
    </row>
    <row r="5221" spans="2:5" ht="15.75" thickBot="1">
      <c r="B5221" s="225" t="s">
        <v>8303</v>
      </c>
      <c r="C5221" s="226">
        <v>500270</v>
      </c>
      <c r="D5221" s="225" t="s">
        <v>8304</v>
      </c>
      <c r="E5221" s="225" t="s">
        <v>8305</v>
      </c>
    </row>
    <row r="5222" spans="2:5" ht="15.75" thickBot="1">
      <c r="B5222" s="225" t="s">
        <v>8306</v>
      </c>
      <c r="C5222" s="226">
        <v>503685</v>
      </c>
      <c r="D5222" s="225" t="s">
        <v>8307</v>
      </c>
      <c r="E5222" s="225" t="s">
        <v>8308</v>
      </c>
    </row>
    <row r="5223" spans="2:5" ht="15.75" thickBot="1">
      <c r="B5223" s="225" t="s">
        <v>8309</v>
      </c>
      <c r="C5223" s="226">
        <v>505100</v>
      </c>
      <c r="D5223" s="225" t="s">
        <v>8310</v>
      </c>
      <c r="E5223" s="225" t="s">
        <v>8311</v>
      </c>
    </row>
    <row r="5224" spans="2:5" ht="15.75" thickBot="1">
      <c r="B5224" s="225" t="s">
        <v>8312</v>
      </c>
      <c r="C5224" s="226">
        <v>506580</v>
      </c>
      <c r="D5224" s="225" t="s">
        <v>8313</v>
      </c>
      <c r="E5224" s="225" t="s">
        <v>8314</v>
      </c>
    </row>
    <row r="5225" spans="2:5" ht="15.75" thickBot="1">
      <c r="B5225" s="225" t="s">
        <v>8315</v>
      </c>
      <c r="C5225" s="226">
        <v>509069</v>
      </c>
      <c r="D5225" s="225" t="s">
        <v>8316</v>
      </c>
      <c r="E5225" s="225" t="s">
        <v>8317</v>
      </c>
    </row>
    <row r="5226" spans="2:5" ht="15.75" thickBot="1">
      <c r="B5226" s="225" t="s">
        <v>8318</v>
      </c>
      <c r="C5226" s="226">
        <v>509960</v>
      </c>
      <c r="D5226" s="225" t="s">
        <v>8319</v>
      </c>
      <c r="E5226" s="225" t="s">
        <v>8320</v>
      </c>
    </row>
    <row r="5227" spans="2:5" ht="15.75" thickBot="1">
      <c r="B5227" s="225" t="s">
        <v>8321</v>
      </c>
      <c r="C5227" s="226">
        <v>511016</v>
      </c>
      <c r="D5227" s="225" t="s">
        <v>8322</v>
      </c>
      <c r="E5227" s="225" t="s">
        <v>8323</v>
      </c>
    </row>
    <row r="5228" spans="2:5" ht="15.75" thickBot="1">
      <c r="B5228" s="225" t="s">
        <v>8324</v>
      </c>
      <c r="C5228" s="226">
        <v>511194</v>
      </c>
      <c r="D5228" s="225" t="s">
        <v>8325</v>
      </c>
      <c r="E5228" s="225" t="s">
        <v>7549</v>
      </c>
    </row>
    <row r="5229" spans="2:5" ht="15.75" thickBot="1">
      <c r="B5229" s="225" t="s">
        <v>8326</v>
      </c>
      <c r="C5229" s="226">
        <v>512097</v>
      </c>
      <c r="D5229" s="225" t="s">
        <v>8327</v>
      </c>
      <c r="E5229" s="225" t="s">
        <v>8328</v>
      </c>
    </row>
    <row r="5230" spans="2:5" ht="15.75" thickBot="1">
      <c r="B5230" s="225" t="s">
        <v>8329</v>
      </c>
      <c r="C5230" s="226">
        <v>512115</v>
      </c>
      <c r="D5230" s="225" t="s">
        <v>8330</v>
      </c>
      <c r="E5230" s="225" t="s">
        <v>8328</v>
      </c>
    </row>
    <row r="5231" spans="2:5" ht="15.75" thickBot="1">
      <c r="B5231" s="225" t="s">
        <v>8331</v>
      </c>
      <c r="C5231" s="226">
        <v>514260</v>
      </c>
      <c r="D5231" s="225" t="s">
        <v>8332</v>
      </c>
      <c r="E5231" s="225" t="s">
        <v>8305</v>
      </c>
    </row>
    <row r="5232" spans="2:5" ht="15.75" thickBot="1">
      <c r="B5232" s="225" t="s">
        <v>8333</v>
      </c>
      <c r="C5232" s="226">
        <v>523309</v>
      </c>
      <c r="D5232" s="225" t="s">
        <v>8334</v>
      </c>
      <c r="E5232" s="225" t="s">
        <v>8335</v>
      </c>
    </row>
    <row r="5233" spans="2:5" ht="15.75" thickBot="1">
      <c r="B5233" s="225" t="s">
        <v>8336</v>
      </c>
      <c r="C5233" s="226">
        <v>523868</v>
      </c>
      <c r="D5233" s="225" t="s">
        <v>8337</v>
      </c>
      <c r="E5233" s="225" t="s">
        <v>605</v>
      </c>
    </row>
    <row r="5234" spans="2:5" ht="15.75" thickBot="1">
      <c r="B5234" s="225" t="s">
        <v>8338</v>
      </c>
      <c r="C5234" s="226">
        <v>524046</v>
      </c>
      <c r="D5234" s="225" t="s">
        <v>8339</v>
      </c>
      <c r="E5234" s="225" t="s">
        <v>8340</v>
      </c>
    </row>
    <row r="5235" spans="2:5" ht="15.75" thickBot="1">
      <c r="B5235" s="225" t="s">
        <v>8341</v>
      </c>
      <c r="C5235" s="226">
        <v>526345</v>
      </c>
      <c r="D5235" s="225" t="s">
        <v>8342</v>
      </c>
      <c r="E5235" s="225" t="s">
        <v>657</v>
      </c>
    </row>
    <row r="5236" spans="2:5" ht="15.75" thickBot="1">
      <c r="B5236" s="225" t="s">
        <v>8343</v>
      </c>
      <c r="C5236" s="226">
        <v>526468</v>
      </c>
      <c r="D5236" s="225" t="s">
        <v>8344</v>
      </c>
      <c r="E5236" s="225" t="s">
        <v>8345</v>
      </c>
    </row>
    <row r="5237" spans="2:5" ht="15.75" thickBot="1">
      <c r="B5237" s="225" t="s">
        <v>8346</v>
      </c>
      <c r="C5237" s="226">
        <v>526677</v>
      </c>
      <c r="D5237" s="225" t="s">
        <v>8347</v>
      </c>
      <c r="E5237" s="225" t="s">
        <v>702</v>
      </c>
    </row>
    <row r="5238" spans="2:5" ht="15.75" thickBot="1">
      <c r="B5238" s="225" t="s">
        <v>8348</v>
      </c>
      <c r="C5238" s="226">
        <v>526877</v>
      </c>
      <c r="D5238" s="225" t="s">
        <v>8349</v>
      </c>
      <c r="E5238" s="225" t="s">
        <v>8328</v>
      </c>
    </row>
    <row r="5239" spans="2:5" ht="15.75" thickBot="1">
      <c r="B5239" s="225" t="s">
        <v>8350</v>
      </c>
      <c r="C5239" s="226">
        <v>530027</v>
      </c>
      <c r="D5239" s="225" t="s">
        <v>8351</v>
      </c>
      <c r="E5239" s="225" t="s">
        <v>811</v>
      </c>
    </row>
    <row r="5240" spans="2:5" ht="15.75" thickBot="1">
      <c r="B5240" s="225" t="s">
        <v>8352</v>
      </c>
      <c r="C5240" s="226">
        <v>531240</v>
      </c>
      <c r="D5240" s="225" t="s">
        <v>8353</v>
      </c>
      <c r="E5240" s="225" t="s">
        <v>8328</v>
      </c>
    </row>
    <row r="5241" spans="2:5" ht="15.75" thickBot="1">
      <c r="B5241" s="225" t="s">
        <v>8354</v>
      </c>
      <c r="C5241" s="226">
        <v>531399</v>
      </c>
      <c r="D5241" s="225" t="s">
        <v>8355</v>
      </c>
      <c r="E5241" s="225" t="s">
        <v>8311</v>
      </c>
    </row>
    <row r="5242" spans="2:5" ht="15.75" thickBot="1">
      <c r="B5242" s="225" t="s">
        <v>8356</v>
      </c>
      <c r="C5242" s="226">
        <v>531812</v>
      </c>
      <c r="D5242" s="225" t="s">
        <v>8357</v>
      </c>
      <c r="E5242" s="225" t="s">
        <v>8323</v>
      </c>
    </row>
    <row r="5243" spans="2:5" ht="15.75" thickBot="1">
      <c r="B5243" s="225" t="s">
        <v>8358</v>
      </c>
      <c r="C5243" s="226">
        <v>532019</v>
      </c>
      <c r="D5243" s="225" t="s">
        <v>8359</v>
      </c>
      <c r="E5243" s="225" t="s">
        <v>8360</v>
      </c>
    </row>
    <row r="5244" spans="2:5" ht="15.75" thickBot="1">
      <c r="B5244" s="225" t="s">
        <v>8361</v>
      </c>
      <c r="C5244" s="226">
        <v>532335</v>
      </c>
      <c r="D5244" s="225" t="s">
        <v>8362</v>
      </c>
      <c r="E5244" s="225" t="s">
        <v>2415</v>
      </c>
    </row>
    <row r="5245" spans="2:5" ht="15.75" thickBot="1">
      <c r="B5245" s="225" t="s">
        <v>8363</v>
      </c>
      <c r="C5245" s="226">
        <v>537709</v>
      </c>
      <c r="D5245" s="225" t="s">
        <v>8364</v>
      </c>
      <c r="E5245" s="225" t="s">
        <v>1296</v>
      </c>
    </row>
    <row r="5246" spans="2:5" ht="15.75" thickBot="1">
      <c r="B5246" s="225" t="s">
        <v>8365</v>
      </c>
      <c r="C5246" s="226">
        <v>543229</v>
      </c>
      <c r="D5246" s="225" t="s">
        <v>8366</v>
      </c>
      <c r="E5246" s="225" t="s">
        <v>8367</v>
      </c>
    </row>
    <row r="5247" spans="2:5" ht="15.75" thickBot="1">
      <c r="B5247" s="225" t="s">
        <v>8368</v>
      </c>
      <c r="C5247" s="226">
        <v>543245</v>
      </c>
      <c r="D5247" s="225" t="s">
        <v>8369</v>
      </c>
      <c r="E5247" s="225" t="s">
        <v>635</v>
      </c>
    </row>
    <row r="5248" spans="2:5" ht="15.75" thickBot="1">
      <c r="B5248" s="225" t="s">
        <v>8370</v>
      </c>
      <c r="C5248" s="226">
        <v>543246</v>
      </c>
      <c r="D5248" s="225" t="s">
        <v>8371</v>
      </c>
      <c r="E5248" s="225"/>
    </row>
    <row r="5249" spans="2:5" ht="15.75" thickBot="1">
      <c r="B5249" s="225" t="s">
        <v>8372</v>
      </c>
      <c r="C5249" s="226">
        <v>543247</v>
      </c>
      <c r="D5249" s="225" t="s">
        <v>8373</v>
      </c>
      <c r="E5249" s="225" t="s">
        <v>8308</v>
      </c>
    </row>
    <row r="5250" spans="2:5" ht="15.75" thickBot="1">
      <c r="B5250" s="225" t="s">
        <v>8374</v>
      </c>
      <c r="C5250" s="226">
        <v>543248</v>
      </c>
      <c r="D5250" s="225" t="s">
        <v>8375</v>
      </c>
      <c r="E5250" s="225" t="s">
        <v>1086</v>
      </c>
    </row>
    <row r="5251" spans="2:5" ht="15.75" thickBot="1">
      <c r="B5251" s="225" t="s">
        <v>8376</v>
      </c>
      <c r="C5251" s="226">
        <v>543249</v>
      </c>
      <c r="D5251" s="225" t="s">
        <v>8377</v>
      </c>
      <c r="E5251" s="225" t="s">
        <v>8378</v>
      </c>
    </row>
    <row r="5252" spans="2:5" ht="15.75" thickBot="1">
      <c r="B5252" s="225" t="s">
        <v>8379</v>
      </c>
      <c r="C5252" s="226">
        <v>543251</v>
      </c>
      <c r="D5252" s="225" t="s">
        <v>8380</v>
      </c>
      <c r="E5252" s="225" t="s">
        <v>8378</v>
      </c>
    </row>
    <row r="5253" spans="2:5" ht="15.75" thickBot="1">
      <c r="B5253" s="225" t="s">
        <v>8381</v>
      </c>
      <c r="C5253" s="226">
        <v>543252</v>
      </c>
      <c r="D5253" s="225" t="s">
        <v>8382</v>
      </c>
      <c r="E5253" s="225" t="s">
        <v>757</v>
      </c>
    </row>
    <row r="5254" spans="2:5" ht="15.75" thickBot="1">
      <c r="B5254" s="225" t="s">
        <v>8383</v>
      </c>
      <c r="C5254" s="226">
        <v>543253</v>
      </c>
      <c r="D5254" s="225" t="s">
        <v>8384</v>
      </c>
      <c r="E5254" s="225" t="s">
        <v>657</v>
      </c>
    </row>
    <row r="5255" spans="2:5" ht="15.75" thickBot="1">
      <c r="B5255" s="225" t="s">
        <v>8385</v>
      </c>
      <c r="C5255" s="226">
        <v>543254</v>
      </c>
      <c r="D5255" s="225" t="s">
        <v>8386</v>
      </c>
      <c r="E5255" s="225" t="s">
        <v>8387</v>
      </c>
    </row>
    <row r="5256" spans="2:5" ht="15.75" thickBot="1">
      <c r="B5256" s="225" t="s">
        <v>8388</v>
      </c>
      <c r="C5256" s="226">
        <v>543255</v>
      </c>
      <c r="D5256" s="225" t="s">
        <v>8389</v>
      </c>
      <c r="E5256" s="225"/>
    </row>
    <row r="5257" spans="2:5" ht="15.75" thickBot="1">
      <c r="B5257" s="225" t="s">
        <v>8390</v>
      </c>
      <c r="C5257" s="226">
        <v>543256</v>
      </c>
      <c r="D5257" s="225" t="s">
        <v>8391</v>
      </c>
      <c r="E5257" s="225" t="s">
        <v>8392</v>
      </c>
    </row>
    <row r="5258" spans="2:5" ht="15.75" thickBot="1">
      <c r="B5258" s="225" t="s">
        <v>8393</v>
      </c>
      <c r="C5258" s="226">
        <v>543257</v>
      </c>
      <c r="D5258" s="225" t="s">
        <v>8394</v>
      </c>
      <c r="E5258" s="225" t="s">
        <v>8395</v>
      </c>
    </row>
    <row r="5259" spans="2:5" ht="15.75" thickBot="1">
      <c r="B5259" s="225" t="s">
        <v>8396</v>
      </c>
      <c r="C5259" s="226">
        <v>543258</v>
      </c>
      <c r="D5259" s="225" t="s">
        <v>8397</v>
      </c>
      <c r="E5259" s="225" t="s">
        <v>8398</v>
      </c>
    </row>
    <row r="5260" spans="2:5" ht="15.75" thickBot="1">
      <c r="B5260" s="225" t="s">
        <v>8399</v>
      </c>
      <c r="C5260" s="226">
        <v>543259</v>
      </c>
      <c r="D5260" s="225" t="s">
        <v>8400</v>
      </c>
      <c r="E5260" s="225" t="s">
        <v>8401</v>
      </c>
    </row>
    <row r="5261" spans="2:5" ht="15.75" thickBot="1">
      <c r="B5261" s="225" t="s">
        <v>8402</v>
      </c>
      <c r="C5261" s="226">
        <v>543260</v>
      </c>
      <c r="D5261" s="225" t="s">
        <v>8403</v>
      </c>
      <c r="E5261" s="225" t="s">
        <v>1362</v>
      </c>
    </row>
    <row r="5262" spans="2:5" ht="15.75" thickBot="1">
      <c r="B5262" s="225" t="s">
        <v>8404</v>
      </c>
      <c r="C5262" s="226">
        <v>543261</v>
      </c>
      <c r="D5262" s="225" t="s">
        <v>8405</v>
      </c>
      <c r="E5262" s="225" t="s">
        <v>8406</v>
      </c>
    </row>
    <row r="5263" spans="2:5" ht="15.75" thickBot="1">
      <c r="B5263" s="225" t="s">
        <v>8407</v>
      </c>
      <c r="C5263" s="226">
        <v>543262</v>
      </c>
      <c r="D5263" s="225" t="s">
        <v>8408</v>
      </c>
      <c r="E5263" s="225" t="s">
        <v>631</v>
      </c>
    </row>
    <row r="5264" spans="2:5" ht="15.75" thickBot="1">
      <c r="B5264" s="225" t="s">
        <v>8409</v>
      </c>
      <c r="C5264" s="226">
        <v>543263</v>
      </c>
      <c r="D5264" s="225" t="s">
        <v>8410</v>
      </c>
      <c r="E5264" s="225" t="s">
        <v>8411</v>
      </c>
    </row>
    <row r="5265" spans="2:5" ht="15.75" thickBot="1">
      <c r="B5265" s="225" t="s">
        <v>8412</v>
      </c>
      <c r="C5265" s="226">
        <v>543264</v>
      </c>
      <c r="D5265" s="225" t="s">
        <v>8413</v>
      </c>
      <c r="E5265" s="225" t="s">
        <v>8414</v>
      </c>
    </row>
    <row r="5266" spans="2:5" ht="15.75" thickBot="1">
      <c r="B5266" s="225" t="s">
        <v>8415</v>
      </c>
      <c r="C5266" s="226">
        <v>543265</v>
      </c>
      <c r="D5266" s="225" t="s">
        <v>8416</v>
      </c>
      <c r="E5266" s="225" t="s">
        <v>1544</v>
      </c>
    </row>
    <row r="5267" spans="2:5" ht="15.75" thickBot="1">
      <c r="B5267" s="225" t="s">
        <v>8417</v>
      </c>
      <c r="C5267" s="226">
        <v>543266</v>
      </c>
      <c r="D5267" s="225" t="s">
        <v>8418</v>
      </c>
      <c r="E5267" s="225" t="s">
        <v>8314</v>
      </c>
    </row>
    <row r="5268" spans="2:5" ht="15.75" thickBot="1">
      <c r="B5268" s="225" t="s">
        <v>8419</v>
      </c>
      <c r="C5268" s="226">
        <v>543267</v>
      </c>
      <c r="D5268" s="225" t="s">
        <v>8420</v>
      </c>
      <c r="E5268" s="225" t="s">
        <v>1296</v>
      </c>
    </row>
    <row r="5269" spans="2:5" ht="15.75" thickBot="1">
      <c r="B5269" s="225" t="s">
        <v>8421</v>
      </c>
      <c r="C5269" s="226">
        <v>543269</v>
      </c>
      <c r="D5269" s="225" t="s">
        <v>8422</v>
      </c>
      <c r="E5269" s="225" t="s">
        <v>8423</v>
      </c>
    </row>
    <row r="5270" spans="2:5" ht="15.75" thickBot="1">
      <c r="B5270" s="225" t="s">
        <v>8424</v>
      </c>
      <c r="C5270" s="226">
        <v>543270</v>
      </c>
      <c r="D5270" s="225" t="s">
        <v>8425</v>
      </c>
      <c r="E5270" s="225" t="s">
        <v>8426</v>
      </c>
    </row>
    <row r="5271" spans="2:5" ht="15.75" thickBot="1">
      <c r="B5271" s="225" t="s">
        <v>8427</v>
      </c>
      <c r="C5271" s="226">
        <v>543271</v>
      </c>
      <c r="D5271" s="225" t="s">
        <v>8428</v>
      </c>
      <c r="E5271" s="225" t="s">
        <v>757</v>
      </c>
    </row>
    <row r="5272" spans="2:5" ht="15.75" thickBot="1">
      <c r="B5272" s="225" t="s">
        <v>8429</v>
      </c>
      <c r="C5272" s="226">
        <v>543272</v>
      </c>
      <c r="D5272" s="225" t="s">
        <v>8430</v>
      </c>
      <c r="E5272" s="225" t="s">
        <v>8431</v>
      </c>
    </row>
    <row r="5273" spans="2:5" ht="15.75" thickBot="1">
      <c r="B5273" s="225" t="s">
        <v>8432</v>
      </c>
      <c r="C5273" s="226">
        <v>543273</v>
      </c>
      <c r="D5273" s="225" t="s">
        <v>8433</v>
      </c>
      <c r="E5273" s="225" t="s">
        <v>1844</v>
      </c>
    </row>
    <row r="5274" spans="2:5" ht="15.75" thickBot="1">
      <c r="B5274" s="225" t="s">
        <v>8434</v>
      </c>
      <c r="C5274" s="226">
        <v>543274</v>
      </c>
      <c r="D5274" s="225" t="s">
        <v>8435</v>
      </c>
      <c r="E5274" s="225" t="s">
        <v>8305</v>
      </c>
    </row>
    <row r="5275" spans="2:5" ht="15.75" thickBot="1">
      <c r="B5275" s="225" t="s">
        <v>8436</v>
      </c>
      <c r="C5275" s="226">
        <v>543275</v>
      </c>
      <c r="D5275" s="225" t="s">
        <v>8437</v>
      </c>
      <c r="E5275" s="225" t="s">
        <v>757</v>
      </c>
    </row>
    <row r="5276" spans="2:5" ht="15.75" thickBot="1">
      <c r="B5276" s="225" t="s">
        <v>8438</v>
      </c>
      <c r="C5276" s="226">
        <v>543276</v>
      </c>
      <c r="D5276" s="225" t="s">
        <v>8439</v>
      </c>
      <c r="E5276" s="225" t="s">
        <v>8311</v>
      </c>
    </row>
    <row r="5277" spans="2:5" ht="15.75" thickBot="1">
      <c r="B5277" s="225" t="s">
        <v>8440</v>
      </c>
      <c r="C5277" s="226">
        <v>543277</v>
      </c>
      <c r="D5277" s="225" t="s">
        <v>8441</v>
      </c>
      <c r="E5277" s="225" t="s">
        <v>757</v>
      </c>
    </row>
    <row r="5278" spans="2:5" ht="15.75" thickBot="1">
      <c r="B5278" s="225" t="s">
        <v>8442</v>
      </c>
      <c r="C5278" s="226">
        <v>543278</v>
      </c>
      <c r="D5278" s="225" t="s">
        <v>8443</v>
      </c>
      <c r="E5278" s="225" t="s">
        <v>8345</v>
      </c>
    </row>
    <row r="5279" spans="2:5" ht="15.75" thickBot="1">
      <c r="B5279" s="225" t="s">
        <v>8444</v>
      </c>
      <c r="C5279" s="226">
        <v>543279</v>
      </c>
      <c r="D5279" s="225" t="s">
        <v>8445</v>
      </c>
      <c r="E5279" s="225" t="s">
        <v>8446</v>
      </c>
    </row>
    <row r="5280" spans="2:5" ht="15.75" thickBot="1">
      <c r="B5280" s="225" t="s">
        <v>8447</v>
      </c>
      <c r="C5280" s="226">
        <v>543280</v>
      </c>
      <c r="D5280" s="225" t="s">
        <v>8448</v>
      </c>
      <c r="E5280" s="225" t="s">
        <v>8449</v>
      </c>
    </row>
    <row r="5281" spans="2:5" ht="15.75" thickBot="1">
      <c r="B5281" s="225" t="s">
        <v>8450</v>
      </c>
      <c r="C5281" s="226">
        <v>543281</v>
      </c>
      <c r="D5281" s="225" t="s">
        <v>8451</v>
      </c>
      <c r="E5281" s="225" t="s">
        <v>8452</v>
      </c>
    </row>
    <row r="5282" spans="2:5" ht="15.75" thickBot="1">
      <c r="B5282" s="225" t="s">
        <v>8453</v>
      </c>
      <c r="C5282" s="226">
        <v>543282</v>
      </c>
      <c r="D5282" s="225" t="s">
        <v>8454</v>
      </c>
      <c r="E5282" s="225" t="s">
        <v>8423</v>
      </c>
    </row>
    <row r="5283" spans="2:5" ht="15.75" thickBot="1">
      <c r="B5283" s="225" t="s">
        <v>8455</v>
      </c>
      <c r="C5283" s="226">
        <v>543283</v>
      </c>
      <c r="D5283" s="225" t="s">
        <v>8456</v>
      </c>
      <c r="E5283" s="225" t="s">
        <v>1086</v>
      </c>
    </row>
    <row r="5284" spans="2:5" ht="15.75" thickBot="1">
      <c r="B5284" s="225" t="s">
        <v>8457</v>
      </c>
      <c r="C5284" s="226">
        <v>543284</v>
      </c>
      <c r="D5284" s="225" t="s">
        <v>8458</v>
      </c>
      <c r="E5284" s="225" t="s">
        <v>681</v>
      </c>
    </row>
    <row r="5285" spans="2:5" ht="15.75" thickBot="1">
      <c r="B5285" s="225" t="s">
        <v>8459</v>
      </c>
      <c r="C5285" s="226">
        <v>543285</v>
      </c>
      <c r="D5285" s="225" t="s">
        <v>8460</v>
      </c>
      <c r="E5285" s="225" t="s">
        <v>8461</v>
      </c>
    </row>
    <row r="5286" spans="2:5" ht="15.75" thickBot="1">
      <c r="B5286" s="225" t="s">
        <v>8462</v>
      </c>
      <c r="C5286" s="226">
        <v>543286</v>
      </c>
      <c r="D5286" s="225" t="s">
        <v>8463</v>
      </c>
      <c r="E5286" s="225" t="s">
        <v>677</v>
      </c>
    </row>
    <row r="5287" spans="2:5" ht="15.75" thickBot="1">
      <c r="B5287" s="225" t="s">
        <v>8464</v>
      </c>
      <c r="C5287" s="226">
        <v>543287</v>
      </c>
      <c r="D5287" s="225" t="s">
        <v>8465</v>
      </c>
      <c r="E5287" s="225" t="s">
        <v>8378</v>
      </c>
    </row>
    <row r="5288" spans="2:5" ht="15.75" thickBot="1">
      <c r="B5288" s="225" t="s">
        <v>8466</v>
      </c>
      <c r="C5288" s="226">
        <v>543288</v>
      </c>
      <c r="D5288" s="225" t="s">
        <v>2105</v>
      </c>
      <c r="E5288" s="225" t="s">
        <v>8467</v>
      </c>
    </row>
    <row r="5289" spans="2:5" ht="15.75" thickBot="1">
      <c r="B5289" s="225" t="s">
        <v>8468</v>
      </c>
      <c r="C5289" s="226">
        <v>543289</v>
      </c>
      <c r="D5289" s="225" t="s">
        <v>8469</v>
      </c>
      <c r="E5289" s="225" t="s">
        <v>702</v>
      </c>
    </row>
    <row r="5290" spans="2:5" ht="15.75" thickBot="1">
      <c r="B5290" s="225" t="s">
        <v>8470</v>
      </c>
      <c r="C5290" s="226">
        <v>543290</v>
      </c>
      <c r="D5290" s="225" t="s">
        <v>8471</v>
      </c>
      <c r="E5290" s="225" t="s">
        <v>8472</v>
      </c>
    </row>
    <row r="5291" spans="2:5" ht="15.75" thickBot="1">
      <c r="B5291" s="225" t="s">
        <v>8473</v>
      </c>
      <c r="C5291" s="226">
        <v>543291</v>
      </c>
      <c r="D5291" s="225" t="s">
        <v>8474</v>
      </c>
      <c r="E5291" s="225"/>
    </row>
    <row r="5292" spans="2:5" ht="15.75" thickBot="1">
      <c r="B5292" s="225" t="s">
        <v>8475</v>
      </c>
      <c r="C5292" s="226">
        <v>543292</v>
      </c>
      <c r="D5292" s="225" t="s">
        <v>8476</v>
      </c>
      <c r="E5292" s="225"/>
    </row>
    <row r="5293" spans="2:5" ht="15.75" thickBot="1">
      <c r="B5293" s="225" t="s">
        <v>8477</v>
      </c>
      <c r="C5293" s="226">
        <v>543297</v>
      </c>
      <c r="D5293" s="225" t="s">
        <v>8478</v>
      </c>
      <c r="E5293" s="225" t="s">
        <v>640</v>
      </c>
    </row>
    <row r="5294" spans="2:5" ht="15.75" thickBot="1">
      <c r="B5294" s="225" t="s">
        <v>8479</v>
      </c>
      <c r="C5294" s="226">
        <v>543298</v>
      </c>
      <c r="D5294" s="225" t="s">
        <v>8480</v>
      </c>
      <c r="E5294" s="225" t="s">
        <v>635</v>
      </c>
    </row>
    <row r="5295" spans="2:5" ht="15.75" thickBot="1">
      <c r="B5295" s="225" t="s">
        <v>8481</v>
      </c>
      <c r="C5295" s="226">
        <v>543299</v>
      </c>
      <c r="D5295" s="225" t="s">
        <v>8482</v>
      </c>
      <c r="E5295" s="225" t="s">
        <v>8483</v>
      </c>
    </row>
    <row r="5296" spans="2:5" ht="15.75" thickBot="1">
      <c r="B5296" s="225" t="s">
        <v>8484</v>
      </c>
      <c r="C5296" s="226">
        <v>543300</v>
      </c>
      <c r="D5296" s="225" t="s">
        <v>8485</v>
      </c>
      <c r="E5296" s="225" t="s">
        <v>8311</v>
      </c>
    </row>
    <row r="5297" spans="2:5" ht="15.75" thickBot="1">
      <c r="B5297" s="225" t="s">
        <v>8486</v>
      </c>
      <c r="C5297" s="226">
        <v>543305</v>
      </c>
      <c r="D5297" s="225" t="s">
        <v>8487</v>
      </c>
      <c r="E5297" s="225" t="s">
        <v>681</v>
      </c>
    </row>
    <row r="5298" spans="2:5" ht="15.75" thickBot="1">
      <c r="B5298" s="225" t="s">
        <v>8488</v>
      </c>
      <c r="C5298" s="226">
        <v>543306</v>
      </c>
      <c r="D5298" s="225" t="s">
        <v>8489</v>
      </c>
      <c r="E5298" s="225" t="s">
        <v>8490</v>
      </c>
    </row>
    <row r="5299" spans="2:5" ht="15.75" thickBot="1">
      <c r="B5299" s="225" t="s">
        <v>8491</v>
      </c>
      <c r="C5299" s="226">
        <v>543308</v>
      </c>
      <c r="D5299" s="225" t="s">
        <v>8492</v>
      </c>
      <c r="E5299" s="225" t="s">
        <v>8493</v>
      </c>
    </row>
    <row r="5300" spans="2:5" ht="15.75" thickBot="1">
      <c r="B5300" s="225" t="s">
        <v>8494</v>
      </c>
      <c r="C5300" s="226">
        <v>543309</v>
      </c>
      <c r="D5300" s="225" t="s">
        <v>8495</v>
      </c>
      <c r="E5300" s="225" t="s">
        <v>8496</v>
      </c>
    </row>
    <row r="5301" spans="2:5" ht="15.75" thickBot="1">
      <c r="B5301" s="225" t="s">
        <v>8497</v>
      </c>
      <c r="C5301" s="226">
        <v>543310</v>
      </c>
      <c r="D5301" s="225" t="s">
        <v>8498</v>
      </c>
      <c r="E5301" s="225" t="s">
        <v>795</v>
      </c>
    </row>
    <row r="5302" spans="2:5" ht="15.75" thickBot="1">
      <c r="B5302" s="225" t="s">
        <v>8499</v>
      </c>
      <c r="C5302" s="226">
        <v>543311</v>
      </c>
      <c r="D5302" s="225" t="s">
        <v>8500</v>
      </c>
      <c r="E5302" s="225" t="s">
        <v>8314</v>
      </c>
    </row>
    <row r="5303" spans="2:5" ht="15.75" thickBot="1">
      <c r="B5303" s="225" t="s">
        <v>8501</v>
      </c>
      <c r="C5303" s="226">
        <v>543312</v>
      </c>
      <c r="D5303" s="225" t="s">
        <v>2520</v>
      </c>
      <c r="E5303" s="225" t="s">
        <v>8423</v>
      </c>
    </row>
    <row r="5304" spans="2:5" ht="15.75" thickBot="1">
      <c r="B5304" s="225" t="s">
        <v>8502</v>
      </c>
      <c r="C5304" s="226">
        <v>543317</v>
      </c>
      <c r="D5304" s="225" t="s">
        <v>8503</v>
      </c>
      <c r="E5304" s="225" t="s">
        <v>8504</v>
      </c>
    </row>
    <row r="5305" spans="2:5" ht="15.75" thickBot="1">
      <c r="B5305" s="225" t="s">
        <v>8505</v>
      </c>
      <c r="C5305" s="226">
        <v>543318</v>
      </c>
      <c r="D5305" s="225" t="s">
        <v>8506</v>
      </c>
      <c r="E5305" s="225" t="s">
        <v>645</v>
      </c>
    </row>
    <row r="5306" spans="2:5" ht="15.75" thickBot="1">
      <c r="B5306" s="225" t="s">
        <v>8507</v>
      </c>
      <c r="C5306" s="226">
        <v>543319</v>
      </c>
      <c r="D5306" s="225" t="s">
        <v>8508</v>
      </c>
      <c r="E5306" s="225" t="s">
        <v>8328</v>
      </c>
    </row>
    <row r="5307" spans="2:5" ht="15.75" thickBot="1">
      <c r="B5307" s="225" t="s">
        <v>8509</v>
      </c>
      <c r="C5307" s="226">
        <v>543320</v>
      </c>
      <c r="D5307" s="225" t="s">
        <v>8510</v>
      </c>
      <c r="E5307" s="225" t="s">
        <v>8511</v>
      </c>
    </row>
    <row r="5308" spans="2:5" ht="15.75" thickBot="1">
      <c r="B5308" s="225" t="s">
        <v>8512</v>
      </c>
      <c r="C5308" s="226">
        <v>543321</v>
      </c>
      <c r="D5308" s="225" t="s">
        <v>8513</v>
      </c>
      <c r="E5308" s="225" t="s">
        <v>757</v>
      </c>
    </row>
    <row r="5309" spans="2:5" ht="15.75" thickBot="1">
      <c r="B5309" s="225" t="s">
        <v>8514</v>
      </c>
      <c r="C5309" s="226">
        <v>543322</v>
      </c>
      <c r="D5309" s="225" t="s">
        <v>8515</v>
      </c>
      <c r="E5309" s="225" t="s">
        <v>635</v>
      </c>
    </row>
    <row r="5310" spans="2:5" ht="15.75" thickBot="1">
      <c r="B5310" s="225" t="s">
        <v>8516</v>
      </c>
      <c r="C5310" s="226">
        <v>543323</v>
      </c>
      <c r="D5310" s="225" t="s">
        <v>8517</v>
      </c>
      <c r="E5310" s="225"/>
    </row>
    <row r="5311" spans="2:5" ht="15.75" thickBot="1">
      <c r="B5311" s="225" t="s">
        <v>8518</v>
      </c>
      <c r="C5311" s="226">
        <v>543324</v>
      </c>
      <c r="D5311" s="225" t="s">
        <v>8519</v>
      </c>
      <c r="E5311" s="225" t="s">
        <v>8520</v>
      </c>
    </row>
    <row r="5312" spans="2:5" ht="15.75" thickBot="1">
      <c r="B5312" s="225" t="s">
        <v>8521</v>
      </c>
      <c r="C5312" s="226">
        <v>543325</v>
      </c>
      <c r="D5312" s="225" t="s">
        <v>8522</v>
      </c>
      <c r="E5312" s="225" t="s">
        <v>8311</v>
      </c>
    </row>
    <row r="5313" spans="2:5" ht="15.75" thickBot="1">
      <c r="B5313" s="225" t="s">
        <v>8523</v>
      </c>
      <c r="C5313" s="226">
        <v>543326</v>
      </c>
      <c r="D5313" s="225" t="s">
        <v>8524</v>
      </c>
      <c r="E5313" s="225"/>
    </row>
    <row r="5314" spans="2:5" ht="15.75" thickBot="1">
      <c r="B5314" s="225" t="s">
        <v>8525</v>
      </c>
      <c r="C5314" s="226">
        <v>543327</v>
      </c>
      <c r="D5314" s="225" t="s">
        <v>8526</v>
      </c>
      <c r="E5314" s="225" t="s">
        <v>8527</v>
      </c>
    </row>
    <row r="5315" spans="2:5" ht="15.75" thickBot="1">
      <c r="B5315" s="225" t="s">
        <v>8528</v>
      </c>
      <c r="C5315" s="226">
        <v>543328</v>
      </c>
      <c r="D5315" s="225" t="s">
        <v>8529</v>
      </c>
      <c r="E5315" s="225" t="s">
        <v>8530</v>
      </c>
    </row>
    <row r="5316" spans="2:5" ht="15.75" thickBot="1">
      <c r="B5316" s="225" t="s">
        <v>8531</v>
      </c>
      <c r="C5316" s="226">
        <v>543329</v>
      </c>
      <c r="D5316" s="225" t="s">
        <v>8532</v>
      </c>
      <c r="E5316" s="225" t="s">
        <v>635</v>
      </c>
    </row>
    <row r="5317" spans="2:5" ht="15.75" thickBot="1">
      <c r="B5317" s="225" t="s">
        <v>8533</v>
      </c>
      <c r="C5317" s="226">
        <v>543330</v>
      </c>
      <c r="D5317" s="225" t="s">
        <v>8534</v>
      </c>
      <c r="E5317" s="225" t="s">
        <v>1086</v>
      </c>
    </row>
    <row r="5318" spans="2:5" ht="15.75" thickBot="1">
      <c r="B5318" s="225" t="s">
        <v>8535</v>
      </c>
      <c r="C5318" s="226">
        <v>543331</v>
      </c>
      <c r="D5318" s="225" t="s">
        <v>8536</v>
      </c>
      <c r="E5318" s="225" t="s">
        <v>8314</v>
      </c>
    </row>
    <row r="5319" spans="2:5" ht="15.75" thickBot="1">
      <c r="B5319" s="225" t="s">
        <v>8537</v>
      </c>
      <c r="C5319" s="226">
        <v>543332</v>
      </c>
      <c r="D5319" s="225" t="s">
        <v>8538</v>
      </c>
      <c r="E5319" s="225" t="s">
        <v>757</v>
      </c>
    </row>
    <row r="5320" spans="2:5" ht="15.75" thickBot="1">
      <c r="B5320" s="225" t="s">
        <v>8539</v>
      </c>
      <c r="C5320" s="226">
        <v>543333</v>
      </c>
      <c r="D5320" s="225" t="s">
        <v>8540</v>
      </c>
      <c r="E5320" s="225" t="s">
        <v>8511</v>
      </c>
    </row>
    <row r="5321" spans="2:5" ht="15.75" thickBot="1">
      <c r="B5321" s="225" t="s">
        <v>8541</v>
      </c>
      <c r="C5321" s="226">
        <v>543334</v>
      </c>
      <c r="D5321" s="225" t="s">
        <v>8542</v>
      </c>
      <c r="E5321" s="225" t="s">
        <v>610</v>
      </c>
    </row>
    <row r="5322" spans="2:5" ht="15.75" thickBot="1">
      <c r="B5322" s="225" t="s">
        <v>8543</v>
      </c>
      <c r="C5322" s="226">
        <v>543335</v>
      </c>
      <c r="D5322" s="225" t="s">
        <v>8544</v>
      </c>
      <c r="E5322" s="225" t="s">
        <v>8401</v>
      </c>
    </row>
    <row r="5323" spans="2:5" ht="15.75" thickBot="1">
      <c r="B5323" s="225" t="s">
        <v>8545</v>
      </c>
      <c r="C5323" s="226">
        <v>543336</v>
      </c>
      <c r="D5323" s="225" t="s">
        <v>8546</v>
      </c>
      <c r="E5323" s="225" t="s">
        <v>645</v>
      </c>
    </row>
    <row r="5324" spans="2:5" ht="15.75" thickBot="1">
      <c r="B5324" s="225" t="s">
        <v>8547</v>
      </c>
      <c r="C5324" s="226">
        <v>543341</v>
      </c>
      <c r="D5324" s="225" t="s">
        <v>8548</v>
      </c>
      <c r="E5324" s="225" t="s">
        <v>8549</v>
      </c>
    </row>
    <row r="5325" spans="2:5" ht="15.75" thickBot="1">
      <c r="B5325" s="225" t="s">
        <v>8550</v>
      </c>
      <c r="C5325" s="226">
        <v>543346</v>
      </c>
      <c r="D5325" s="225" t="s">
        <v>8551</v>
      </c>
      <c r="E5325" s="225" t="s">
        <v>8493</v>
      </c>
    </row>
    <row r="5326" spans="2:5" ht="15.75" thickBot="1">
      <c r="B5326" s="225" t="s">
        <v>8552</v>
      </c>
      <c r="C5326" s="226">
        <v>543347</v>
      </c>
      <c r="D5326" s="225" t="s">
        <v>8553</v>
      </c>
      <c r="E5326" s="225"/>
    </row>
    <row r="5327" spans="2:5" ht="15.75" thickBot="1">
      <c r="B5327" s="225" t="s">
        <v>8554</v>
      </c>
      <c r="C5327" s="226">
        <v>543348</v>
      </c>
      <c r="D5327" s="225" t="s">
        <v>8555</v>
      </c>
      <c r="E5327" s="225"/>
    </row>
    <row r="5328" spans="2:5" ht="15.75" thickBot="1">
      <c r="B5328" s="225" t="s">
        <v>8556</v>
      </c>
      <c r="C5328" s="226">
        <v>543349</v>
      </c>
      <c r="D5328" s="225" t="s">
        <v>8557</v>
      </c>
      <c r="E5328" s="225" t="s">
        <v>635</v>
      </c>
    </row>
    <row r="5329" spans="2:5" ht="15.75" thickBot="1">
      <c r="B5329" s="225" t="s">
        <v>8558</v>
      </c>
      <c r="C5329" s="226">
        <v>543350</v>
      </c>
      <c r="D5329" s="225" t="s">
        <v>8559</v>
      </c>
      <c r="E5329" s="225" t="s">
        <v>8530</v>
      </c>
    </row>
    <row r="5330" spans="2:5" ht="15.75" thickBot="1">
      <c r="B5330" s="225" t="s">
        <v>8560</v>
      </c>
      <c r="C5330" s="226">
        <v>543351</v>
      </c>
      <c r="D5330" s="225" t="s">
        <v>8561</v>
      </c>
      <c r="E5330" s="225" t="s">
        <v>8423</v>
      </c>
    </row>
    <row r="5331" spans="2:5" ht="15.75" thickBot="1">
      <c r="B5331" s="225" t="s">
        <v>8562</v>
      </c>
      <c r="C5331" s="226">
        <v>543352</v>
      </c>
      <c r="D5331" s="225" t="s">
        <v>8563</v>
      </c>
      <c r="E5331" s="225" t="s">
        <v>8564</v>
      </c>
    </row>
    <row r="5332" spans="2:5" ht="15.75" thickBot="1">
      <c r="B5332" s="225" t="s">
        <v>8565</v>
      </c>
      <c r="C5332" s="226">
        <v>543357</v>
      </c>
      <c r="D5332" s="225" t="s">
        <v>8566</v>
      </c>
      <c r="E5332" s="225"/>
    </row>
    <row r="5333" spans="2:5" ht="15.75" thickBot="1">
      <c r="B5333" s="225" t="s">
        <v>8567</v>
      </c>
      <c r="C5333" s="226">
        <v>543358</v>
      </c>
      <c r="D5333" s="225" t="s">
        <v>8568</v>
      </c>
      <c r="E5333" s="225" t="s">
        <v>8311</v>
      </c>
    </row>
    <row r="5334" spans="2:5" ht="15.75" thickBot="1">
      <c r="B5334" s="225" t="s">
        <v>8569</v>
      </c>
      <c r="C5334" s="226">
        <v>543363</v>
      </c>
      <c r="D5334" s="225" t="s">
        <v>8570</v>
      </c>
      <c r="E5334" s="225" t="s">
        <v>8414</v>
      </c>
    </row>
    <row r="5335" spans="2:5" ht="15.75" thickBot="1">
      <c r="B5335" s="225" t="s">
        <v>8571</v>
      </c>
      <c r="C5335" s="226">
        <v>543364</v>
      </c>
      <c r="D5335" s="225" t="s">
        <v>8572</v>
      </c>
      <c r="E5335" s="225" t="s">
        <v>8504</v>
      </c>
    </row>
    <row r="5336" spans="2:5" ht="15.75" thickBot="1">
      <c r="B5336" s="225" t="s">
        <v>8573</v>
      </c>
      <c r="C5336" s="226">
        <v>543365</v>
      </c>
      <c r="D5336" s="225" t="s">
        <v>8574</v>
      </c>
      <c r="E5336" s="225"/>
    </row>
    <row r="5337" spans="2:5" ht="15.75" thickBot="1">
      <c r="B5337" s="225" t="s">
        <v>8575</v>
      </c>
      <c r="C5337" s="226">
        <v>543366</v>
      </c>
      <c r="D5337" s="225" t="s">
        <v>8576</v>
      </c>
      <c r="E5337" s="225" t="s">
        <v>8378</v>
      </c>
    </row>
    <row r="5338" spans="2:5" ht="15.75" thickBot="1">
      <c r="B5338" s="225" t="s">
        <v>8577</v>
      </c>
      <c r="C5338" s="226">
        <v>543367</v>
      </c>
      <c r="D5338" s="225" t="s">
        <v>8578</v>
      </c>
      <c r="E5338" s="225" t="s">
        <v>8426</v>
      </c>
    </row>
    <row r="5339" spans="2:5" ht="15.75" thickBot="1">
      <c r="B5339" s="225" t="s">
        <v>8579</v>
      </c>
      <c r="C5339" s="226">
        <v>543372</v>
      </c>
      <c r="D5339" s="225" t="s">
        <v>8580</v>
      </c>
      <c r="E5339" s="225" t="s">
        <v>8581</v>
      </c>
    </row>
    <row r="5340" spans="2:5" ht="15.75" thickBot="1">
      <c r="B5340" s="225" t="s">
        <v>8582</v>
      </c>
      <c r="C5340" s="226">
        <v>543373</v>
      </c>
      <c r="D5340" s="225" t="s">
        <v>8583</v>
      </c>
      <c r="E5340" s="225" t="s">
        <v>8335</v>
      </c>
    </row>
    <row r="5341" spans="2:5" ht="15.75" thickBot="1">
      <c r="B5341" s="225" t="s">
        <v>8584</v>
      </c>
      <c r="C5341" s="226">
        <v>543374</v>
      </c>
      <c r="D5341" s="225" t="s">
        <v>8585</v>
      </c>
      <c r="E5341" s="225" t="s">
        <v>8586</v>
      </c>
    </row>
    <row r="5342" spans="2:5" ht="15.75" thickBot="1">
      <c r="B5342" s="225" t="s">
        <v>8587</v>
      </c>
      <c r="C5342" s="226">
        <v>543375</v>
      </c>
      <c r="D5342" s="225" t="s">
        <v>8588</v>
      </c>
      <c r="E5342" s="225" t="s">
        <v>8589</v>
      </c>
    </row>
    <row r="5343" spans="2:5" ht="15.75" thickBot="1">
      <c r="B5343" s="225" t="s">
        <v>8590</v>
      </c>
      <c r="C5343" s="226">
        <v>543376</v>
      </c>
      <c r="D5343" s="225" t="s">
        <v>8591</v>
      </c>
      <c r="E5343" s="225" t="s">
        <v>8378</v>
      </c>
    </row>
    <row r="5344" spans="2:5" ht="15.75" thickBot="1">
      <c r="B5344" s="225" t="s">
        <v>8592</v>
      </c>
      <c r="C5344" s="226">
        <v>543377</v>
      </c>
      <c r="D5344" s="225" t="s">
        <v>8593</v>
      </c>
      <c r="E5344" s="225" t="s">
        <v>920</v>
      </c>
    </row>
    <row r="5345" spans="2:5" ht="15.75" thickBot="1">
      <c r="B5345" s="225" t="s">
        <v>8594</v>
      </c>
      <c r="C5345" s="226">
        <v>543378</v>
      </c>
      <c r="D5345" s="225" t="s">
        <v>8595</v>
      </c>
      <c r="E5345" s="225" t="s">
        <v>966</v>
      </c>
    </row>
    <row r="5346" spans="2:5" ht="15.75" thickBot="1">
      <c r="B5346" s="225" t="s">
        <v>8596</v>
      </c>
      <c r="C5346" s="226">
        <v>543383</v>
      </c>
      <c r="D5346" s="225" t="s">
        <v>8597</v>
      </c>
      <c r="E5346" s="225"/>
    </row>
    <row r="5347" spans="2:5" ht="15.75" thickBot="1">
      <c r="B5347" s="225" t="s">
        <v>8598</v>
      </c>
      <c r="C5347" s="226">
        <v>543384</v>
      </c>
      <c r="D5347" s="225" t="s">
        <v>8599</v>
      </c>
      <c r="E5347" s="225" t="s">
        <v>8511</v>
      </c>
    </row>
    <row r="5348" spans="2:5" ht="15.75" thickBot="1">
      <c r="B5348" s="225" t="s">
        <v>8600</v>
      </c>
      <c r="C5348" s="226">
        <v>543385</v>
      </c>
      <c r="D5348" s="225" t="s">
        <v>8601</v>
      </c>
      <c r="E5348" s="225" t="s">
        <v>8504</v>
      </c>
    </row>
    <row r="5349" spans="2:5" ht="15.75" thickBot="1">
      <c r="B5349" s="225" t="s">
        <v>8602</v>
      </c>
      <c r="C5349" s="226">
        <v>543386</v>
      </c>
      <c r="D5349" s="225" t="s">
        <v>8603</v>
      </c>
      <c r="E5349" s="225" t="s">
        <v>8446</v>
      </c>
    </row>
    <row r="5350" spans="2:5" ht="15.75" thickBot="1">
      <c r="B5350" s="225" t="s">
        <v>8604</v>
      </c>
      <c r="C5350" s="226">
        <v>543387</v>
      </c>
      <c r="D5350" s="225" t="s">
        <v>8605</v>
      </c>
      <c r="E5350" s="225" t="s">
        <v>8311</v>
      </c>
    </row>
    <row r="5351" spans="2:5" ht="15.75" thickBot="1">
      <c r="B5351" s="225" t="s">
        <v>8606</v>
      </c>
      <c r="C5351" s="226">
        <v>543388</v>
      </c>
      <c r="D5351" s="225" t="s">
        <v>8607</v>
      </c>
      <c r="E5351" s="225"/>
    </row>
    <row r="5352" spans="2:5" ht="15.75" thickBot="1">
      <c r="B5352" s="225" t="s">
        <v>8608</v>
      </c>
      <c r="C5352" s="226">
        <v>543389</v>
      </c>
      <c r="D5352" s="225" t="s">
        <v>8609</v>
      </c>
      <c r="E5352" s="225" t="s">
        <v>635</v>
      </c>
    </row>
    <row r="5353" spans="2:5" ht="15.75" thickBot="1">
      <c r="B5353" s="225" t="s">
        <v>8610</v>
      </c>
      <c r="C5353" s="226">
        <v>543390</v>
      </c>
      <c r="D5353" s="225" t="s">
        <v>8611</v>
      </c>
      <c r="E5353" s="225" t="s">
        <v>8452</v>
      </c>
    </row>
    <row r="5354" spans="2:5" ht="15.75" thickBot="1">
      <c r="B5354" s="225" t="s">
        <v>8612</v>
      </c>
      <c r="C5354" s="226">
        <v>543391</v>
      </c>
      <c r="D5354" s="225" t="s">
        <v>8613</v>
      </c>
      <c r="E5354" s="225" t="s">
        <v>8504</v>
      </c>
    </row>
    <row r="5355" spans="2:5" ht="15.75" thickBot="1">
      <c r="B5355" s="225" t="s">
        <v>8614</v>
      </c>
      <c r="C5355" s="226">
        <v>543396</v>
      </c>
      <c r="D5355" s="225" t="s">
        <v>8615</v>
      </c>
      <c r="E5355" s="225" t="s">
        <v>8452</v>
      </c>
    </row>
    <row r="5356" spans="2:5" ht="15.75" thickBot="1">
      <c r="B5356" s="225" t="s">
        <v>8616</v>
      </c>
      <c r="C5356" s="226">
        <v>543397</v>
      </c>
      <c r="D5356" s="225" t="s">
        <v>8617</v>
      </c>
      <c r="E5356" s="225" t="s">
        <v>1086</v>
      </c>
    </row>
    <row r="5357" spans="2:5" ht="15.75" thickBot="1">
      <c r="B5357" s="225" t="s">
        <v>8618</v>
      </c>
      <c r="C5357" s="226">
        <v>543398</v>
      </c>
      <c r="D5357" s="225" t="s">
        <v>8619</v>
      </c>
      <c r="E5357" s="225" t="s">
        <v>8423</v>
      </c>
    </row>
    <row r="5358" spans="2:5" ht="15.75" thickBot="1">
      <c r="B5358" s="225" t="s">
        <v>8620</v>
      </c>
      <c r="C5358" s="226">
        <v>543399</v>
      </c>
      <c r="D5358" s="225" t="s">
        <v>8621</v>
      </c>
      <c r="E5358" s="225" t="s">
        <v>8414</v>
      </c>
    </row>
    <row r="5359" spans="2:5" ht="15.75" thickBot="1">
      <c r="B5359" s="225" t="s">
        <v>8622</v>
      </c>
      <c r="C5359" s="226">
        <v>543400</v>
      </c>
      <c r="D5359" s="225" t="s">
        <v>8623</v>
      </c>
      <c r="E5359" s="225" t="s">
        <v>8624</v>
      </c>
    </row>
    <row r="5360" spans="2:5" ht="15.75" thickBot="1">
      <c r="B5360" s="225" t="s">
        <v>8625</v>
      </c>
      <c r="C5360" s="226">
        <v>543401</v>
      </c>
      <c r="D5360" s="225" t="s">
        <v>8626</v>
      </c>
      <c r="E5360" s="225" t="s">
        <v>8627</v>
      </c>
    </row>
    <row r="5361" spans="2:5" ht="15.75" thickBot="1">
      <c r="B5361" s="225" t="s">
        <v>8628</v>
      </c>
      <c r="C5361" s="226">
        <v>543410</v>
      </c>
      <c r="D5361" s="225" t="s">
        <v>8629</v>
      </c>
      <c r="E5361" s="225" t="s">
        <v>681</v>
      </c>
    </row>
    <row r="5362" spans="2:5" ht="15.75" thickBot="1">
      <c r="B5362" s="225" t="s">
        <v>8630</v>
      </c>
      <c r="C5362" s="226">
        <v>543411</v>
      </c>
      <c r="D5362" s="225" t="s">
        <v>3126</v>
      </c>
      <c r="E5362" s="225" t="s">
        <v>920</v>
      </c>
    </row>
    <row r="5363" spans="2:5" ht="15.75" thickBot="1">
      <c r="B5363" s="225" t="s">
        <v>8631</v>
      </c>
      <c r="C5363" s="226">
        <v>543412</v>
      </c>
      <c r="D5363" s="225" t="s">
        <v>8632</v>
      </c>
      <c r="E5363" s="225" t="s">
        <v>2679</v>
      </c>
    </row>
    <row r="5364" spans="2:5" ht="15.75" thickBot="1">
      <c r="B5364" s="225" t="s">
        <v>8633</v>
      </c>
      <c r="C5364" s="226">
        <v>543413</v>
      </c>
      <c r="D5364" s="225" t="s">
        <v>8634</v>
      </c>
      <c r="E5364" s="225" t="s">
        <v>8635</v>
      </c>
    </row>
    <row r="5365" spans="2:5" ht="15.75" thickBot="1">
      <c r="B5365" s="225" t="s">
        <v>8636</v>
      </c>
      <c r="C5365" s="226">
        <v>543414</v>
      </c>
      <c r="D5365" s="225" t="s">
        <v>8637</v>
      </c>
      <c r="E5365" s="225"/>
    </row>
    <row r="5366" spans="2:5" ht="15.75" thickBot="1">
      <c r="B5366" s="225" t="s">
        <v>8638</v>
      </c>
      <c r="C5366" s="226">
        <v>543415</v>
      </c>
      <c r="D5366" s="225" t="s">
        <v>8639</v>
      </c>
      <c r="E5366" s="225" t="s">
        <v>8640</v>
      </c>
    </row>
    <row r="5367" spans="2:5" ht="15.75" thickBot="1">
      <c r="B5367" s="225" t="s">
        <v>8641</v>
      </c>
      <c r="C5367" s="226">
        <v>543416</v>
      </c>
      <c r="D5367" s="225" t="s">
        <v>7522</v>
      </c>
      <c r="E5367" s="225" t="s">
        <v>8589</v>
      </c>
    </row>
    <row r="5368" spans="2:5" ht="15.75" thickBot="1">
      <c r="B5368" s="225" t="s">
        <v>8642</v>
      </c>
      <c r="C5368" s="226">
        <v>543417</v>
      </c>
      <c r="D5368" s="225" t="s">
        <v>8643</v>
      </c>
      <c r="E5368" s="225" t="s">
        <v>8423</v>
      </c>
    </row>
    <row r="5369" spans="2:5" ht="15.75" thickBot="1">
      <c r="B5369" s="225" t="s">
        <v>8644</v>
      </c>
      <c r="C5369" s="226">
        <v>543419</v>
      </c>
      <c r="D5369" s="225" t="s">
        <v>8645</v>
      </c>
      <c r="E5369" s="225" t="s">
        <v>8378</v>
      </c>
    </row>
    <row r="5370" spans="2:5" ht="15.75" thickBot="1">
      <c r="B5370" s="225" t="s">
        <v>8646</v>
      </c>
      <c r="C5370" s="226">
        <v>543420</v>
      </c>
      <c r="D5370" s="225" t="s">
        <v>3571</v>
      </c>
      <c r="E5370" s="225" t="s">
        <v>8647</v>
      </c>
    </row>
    <row r="5371" spans="2:5" ht="15.75" thickBot="1">
      <c r="B5371" s="225" t="s">
        <v>8648</v>
      </c>
      <c r="C5371" s="226">
        <v>543425</v>
      </c>
      <c r="D5371" s="225" t="s">
        <v>8649</v>
      </c>
      <c r="E5371" s="225" t="s">
        <v>8650</v>
      </c>
    </row>
    <row r="5372" spans="2:5" ht="15.75" thickBot="1">
      <c r="B5372" s="225" t="s">
        <v>8651</v>
      </c>
      <c r="C5372" s="226">
        <v>543426</v>
      </c>
      <c r="D5372" s="225" t="s">
        <v>8652</v>
      </c>
      <c r="E5372" s="225" t="s">
        <v>1023</v>
      </c>
    </row>
    <row r="5373" spans="2:5" ht="15.75" thickBot="1">
      <c r="B5373" s="225" t="s">
        <v>8653</v>
      </c>
      <c r="C5373" s="226">
        <v>543427</v>
      </c>
      <c r="D5373" s="225" t="s">
        <v>8654</v>
      </c>
      <c r="E5373" s="225" t="s">
        <v>8655</v>
      </c>
    </row>
    <row r="5374" spans="2:5" ht="15.75" thickBot="1">
      <c r="B5374" s="225" t="s">
        <v>8656</v>
      </c>
      <c r="C5374" s="226">
        <v>543428</v>
      </c>
      <c r="D5374" s="225" t="s">
        <v>8657</v>
      </c>
      <c r="E5374" s="225" t="s">
        <v>8426</v>
      </c>
    </row>
    <row r="5375" spans="2:5" ht="15.75" thickBot="1">
      <c r="B5375" s="225" t="s">
        <v>8658</v>
      </c>
      <c r="C5375" s="226">
        <v>543433</v>
      </c>
      <c r="D5375" s="225" t="s">
        <v>8659</v>
      </c>
      <c r="E5375" s="225" t="s">
        <v>757</v>
      </c>
    </row>
    <row r="5376" spans="2:5" ht="15.75" thickBot="1">
      <c r="B5376" s="225" t="s">
        <v>8660</v>
      </c>
      <c r="C5376" s="226">
        <v>543434</v>
      </c>
      <c r="D5376" s="225" t="s">
        <v>8661</v>
      </c>
      <c r="E5376" s="225" t="s">
        <v>635</v>
      </c>
    </row>
    <row r="5377" spans="2:5" ht="15.75" thickBot="1">
      <c r="B5377" s="225" t="s">
        <v>8662</v>
      </c>
      <c r="C5377" s="226">
        <v>543435</v>
      </c>
      <c r="D5377" s="225" t="s">
        <v>8663</v>
      </c>
      <c r="E5377" s="225" t="s">
        <v>8461</v>
      </c>
    </row>
    <row r="5378" spans="2:5" ht="15.75" thickBot="1">
      <c r="B5378" s="225" t="s">
        <v>8664</v>
      </c>
      <c r="C5378" s="226">
        <v>543436</v>
      </c>
      <c r="D5378" s="225" t="s">
        <v>8665</v>
      </c>
      <c r="E5378" s="225" t="s">
        <v>8423</v>
      </c>
    </row>
    <row r="5379" spans="2:5" ht="15.75" thickBot="1">
      <c r="B5379" s="225" t="s">
        <v>8666</v>
      </c>
      <c r="C5379" s="226">
        <v>543437</v>
      </c>
      <c r="D5379" s="225" t="s">
        <v>8667</v>
      </c>
      <c r="E5379" s="225"/>
    </row>
    <row r="5380" spans="2:5" ht="15.75" thickBot="1">
      <c r="B5380" s="225" t="s">
        <v>8668</v>
      </c>
      <c r="C5380" s="226">
        <v>543438</v>
      </c>
      <c r="D5380" s="225" t="s">
        <v>8669</v>
      </c>
      <c r="E5380" s="225"/>
    </row>
    <row r="5381" spans="2:5" ht="15.75" thickBot="1">
      <c r="B5381" s="225" t="s">
        <v>8670</v>
      </c>
      <c r="C5381" s="226">
        <v>543439</v>
      </c>
      <c r="D5381" s="225" t="s">
        <v>8671</v>
      </c>
      <c r="E5381" s="225" t="s">
        <v>8549</v>
      </c>
    </row>
    <row r="5382" spans="2:5" ht="15.75" thickBot="1">
      <c r="B5382" s="225" t="s">
        <v>8672</v>
      </c>
      <c r="C5382" s="226">
        <v>543440</v>
      </c>
      <c r="D5382" s="225" t="s">
        <v>8673</v>
      </c>
      <c r="E5382" s="225"/>
    </row>
    <row r="5383" spans="2:5" ht="15.75" thickBot="1">
      <c r="B5383" s="225" t="s">
        <v>8674</v>
      </c>
      <c r="C5383" s="226">
        <v>543441</v>
      </c>
      <c r="D5383" s="225" t="s">
        <v>8675</v>
      </c>
      <c r="E5383" s="225" t="s">
        <v>7549</v>
      </c>
    </row>
    <row r="5384" spans="2:5" ht="15.75" thickBot="1">
      <c r="B5384" s="225" t="s">
        <v>8676</v>
      </c>
      <c r="C5384" s="226">
        <v>543442</v>
      </c>
      <c r="D5384" s="225" t="s">
        <v>1654</v>
      </c>
      <c r="E5384" s="225" t="s">
        <v>8627</v>
      </c>
    </row>
    <row r="5385" spans="2:5" ht="15.75" thickBot="1">
      <c r="B5385" s="225" t="s">
        <v>8677</v>
      </c>
      <c r="C5385" s="226">
        <v>543443</v>
      </c>
      <c r="D5385" s="225" t="s">
        <v>8678</v>
      </c>
      <c r="E5385" s="225" t="s">
        <v>702</v>
      </c>
    </row>
    <row r="5386" spans="2:5" ht="15.75" thickBot="1">
      <c r="B5386" s="225" t="s">
        <v>8679</v>
      </c>
      <c r="C5386" s="226">
        <v>543444</v>
      </c>
      <c r="D5386" s="225" t="s">
        <v>8680</v>
      </c>
      <c r="E5386" s="225" t="s">
        <v>635</v>
      </c>
    </row>
    <row r="5387" spans="2:5" ht="15.75" thickBot="1">
      <c r="B5387" s="225" t="s">
        <v>8681</v>
      </c>
      <c r="C5387" s="226">
        <v>543449</v>
      </c>
      <c r="D5387" s="225" t="s">
        <v>8682</v>
      </c>
      <c r="E5387" s="225" t="s">
        <v>1362</v>
      </c>
    </row>
    <row r="5388" spans="2:5" ht="15.75" thickBot="1">
      <c r="B5388" s="225" t="s">
        <v>8683</v>
      </c>
      <c r="C5388" s="226">
        <v>543450</v>
      </c>
      <c r="D5388" s="225" t="s">
        <v>8684</v>
      </c>
      <c r="E5388" s="225"/>
    </row>
    <row r="5389" spans="2:5" ht="15.75" thickBot="1">
      <c r="B5389" s="225" t="s">
        <v>8685</v>
      </c>
      <c r="C5389" s="226">
        <v>543451</v>
      </c>
      <c r="D5389" s="225" t="s">
        <v>8686</v>
      </c>
      <c r="E5389" s="225" t="s">
        <v>7549</v>
      </c>
    </row>
    <row r="5390" spans="2:5" ht="15.75" thickBot="1">
      <c r="B5390" s="225" t="s">
        <v>8687</v>
      </c>
      <c r="C5390" s="226">
        <v>543452</v>
      </c>
      <c r="D5390" s="225" t="s">
        <v>8688</v>
      </c>
      <c r="E5390" s="225"/>
    </row>
    <row r="5391" spans="2:5" ht="15.75" thickBot="1">
      <c r="B5391" s="225" t="s">
        <v>8689</v>
      </c>
      <c r="C5391" s="226">
        <v>543453</v>
      </c>
      <c r="D5391" s="225" t="s">
        <v>8690</v>
      </c>
      <c r="E5391" s="225" t="s">
        <v>8691</v>
      </c>
    </row>
    <row r="5392" spans="2:5" ht="15.75" thickBot="1">
      <c r="B5392" s="225" t="s">
        <v>8692</v>
      </c>
      <c r="C5392" s="226">
        <v>543454</v>
      </c>
      <c r="D5392" s="225" t="s">
        <v>8693</v>
      </c>
      <c r="E5392" s="225"/>
    </row>
    <row r="5393" spans="2:5" ht="15.75" thickBot="1">
      <c r="B5393" s="225" t="s">
        <v>8694</v>
      </c>
      <c r="C5393" s="226">
        <v>543458</v>
      </c>
      <c r="D5393" s="225" t="s">
        <v>8695</v>
      </c>
      <c r="E5393" s="225" t="s">
        <v>8335</v>
      </c>
    </row>
    <row r="5394" spans="2:5" ht="15.75" thickBot="1">
      <c r="B5394" s="225" t="s">
        <v>8696</v>
      </c>
      <c r="C5394" s="226">
        <v>543460</v>
      </c>
      <c r="D5394" s="225" t="s">
        <v>8697</v>
      </c>
      <c r="E5394" s="225" t="s">
        <v>605</v>
      </c>
    </row>
    <row r="5395" spans="2:5" ht="15.75" thickBot="1">
      <c r="B5395" s="225" t="s">
        <v>8698</v>
      </c>
      <c r="C5395" s="226">
        <v>543461</v>
      </c>
      <c r="D5395" s="225" t="s">
        <v>8699</v>
      </c>
      <c r="E5395" s="225" t="s">
        <v>8328</v>
      </c>
    </row>
    <row r="5396" spans="2:5" ht="15.75" thickBot="1">
      <c r="B5396" s="225" t="s">
        <v>8700</v>
      </c>
      <c r="C5396" s="226">
        <v>543462</v>
      </c>
      <c r="D5396" s="225" t="s">
        <v>2128</v>
      </c>
      <c r="E5396" s="225" t="s">
        <v>8701</v>
      </c>
    </row>
    <row r="5397" spans="2:5" ht="15.75" thickBot="1">
      <c r="B5397" s="225" t="s">
        <v>8702</v>
      </c>
      <c r="C5397" s="226">
        <v>543463</v>
      </c>
      <c r="D5397" s="225" t="s">
        <v>8703</v>
      </c>
      <c r="E5397" s="225" t="s">
        <v>8627</v>
      </c>
    </row>
    <row r="5398" spans="2:5" ht="15.75" thickBot="1">
      <c r="B5398" s="225" t="s">
        <v>8704</v>
      </c>
      <c r="C5398" s="226">
        <v>543464</v>
      </c>
      <c r="D5398" s="225" t="s">
        <v>8705</v>
      </c>
      <c r="E5398" s="225" t="s">
        <v>1643</v>
      </c>
    </row>
    <row r="5399" spans="2:5" ht="15.75" thickBot="1">
      <c r="B5399" s="225" t="s">
        <v>8706</v>
      </c>
      <c r="C5399" s="226">
        <v>543465</v>
      </c>
      <c r="D5399" s="225" t="s">
        <v>8707</v>
      </c>
      <c r="E5399" s="225"/>
    </row>
    <row r="5400" spans="2:5" ht="15.75" thickBot="1">
      <c r="B5400" s="225" t="s">
        <v>8708</v>
      </c>
      <c r="C5400" s="226">
        <v>543470</v>
      </c>
      <c r="D5400" s="225" t="s">
        <v>6251</v>
      </c>
      <c r="E5400" s="225" t="s">
        <v>8423</v>
      </c>
    </row>
    <row r="5401" spans="2:5" ht="15.75" thickBot="1">
      <c r="B5401" s="225" t="s">
        <v>8709</v>
      </c>
      <c r="C5401" s="226">
        <v>543471</v>
      </c>
      <c r="D5401" s="225" t="s">
        <v>8710</v>
      </c>
      <c r="E5401" s="225"/>
    </row>
    <row r="5402" spans="2:5" ht="15.75" thickBot="1">
      <c r="B5402" s="225" t="s">
        <v>8711</v>
      </c>
      <c r="C5402" s="226">
        <v>543472</v>
      </c>
      <c r="D5402" s="225" t="s">
        <v>8712</v>
      </c>
      <c r="E5402" s="225"/>
    </row>
    <row r="5403" spans="2:5" ht="15.75" thickBot="1">
      <c r="B5403" s="225" t="s">
        <v>8713</v>
      </c>
      <c r="C5403" s="226">
        <v>543473</v>
      </c>
      <c r="D5403" s="225" t="s">
        <v>8714</v>
      </c>
      <c r="E5403" s="225"/>
    </row>
    <row r="5404" spans="2:5" ht="15.75" thickBot="1">
      <c r="B5404" s="225" t="s">
        <v>8715</v>
      </c>
      <c r="C5404" s="226">
        <v>543474</v>
      </c>
      <c r="D5404" s="225" t="s">
        <v>8716</v>
      </c>
      <c r="E5404" s="225"/>
    </row>
    <row r="5405" spans="2:5" ht="15.75" thickBot="1">
      <c r="B5405" s="225" t="s">
        <v>8717</v>
      </c>
      <c r="C5405" s="226">
        <v>543475</v>
      </c>
      <c r="D5405" s="225" t="s">
        <v>8718</v>
      </c>
      <c r="E5405" s="225" t="s">
        <v>8701</v>
      </c>
    </row>
    <row r="5406" spans="2:5" ht="15.75" thickBot="1">
      <c r="B5406" s="225" t="s">
        <v>8719</v>
      </c>
      <c r="C5406" s="226">
        <v>543481</v>
      </c>
      <c r="D5406" s="225" t="s">
        <v>8720</v>
      </c>
      <c r="E5406" s="225"/>
    </row>
    <row r="5407" spans="2:5" ht="15.75" thickBot="1">
      <c r="B5407" s="225" t="s">
        <v>8721</v>
      </c>
      <c r="C5407" s="226">
        <v>543482</v>
      </c>
      <c r="D5407" s="225" t="s">
        <v>8722</v>
      </c>
      <c r="E5407" s="225" t="s">
        <v>1362</v>
      </c>
    </row>
    <row r="5408" spans="2:5" ht="15.75" thickBot="1">
      <c r="B5408" s="225" t="s">
        <v>8723</v>
      </c>
      <c r="C5408" s="226">
        <v>543489</v>
      </c>
      <c r="D5408" s="225" t="s">
        <v>8724</v>
      </c>
      <c r="E5408" s="225" t="s">
        <v>8647</v>
      </c>
    </row>
    <row r="5409" spans="2:5" ht="15.75" thickBot="1">
      <c r="B5409" s="225" t="s">
        <v>8725</v>
      </c>
      <c r="C5409" s="226">
        <v>543490</v>
      </c>
      <c r="D5409" s="225" t="s">
        <v>8726</v>
      </c>
      <c r="E5409" s="225" t="s">
        <v>8589</v>
      </c>
    </row>
    <row r="5410" spans="2:5" ht="15.75" thickBot="1">
      <c r="B5410" s="225" t="s">
        <v>8727</v>
      </c>
      <c r="C5410" s="226">
        <v>543497</v>
      </c>
      <c r="D5410" s="225" t="s">
        <v>8728</v>
      </c>
      <c r="E5410" s="225" t="s">
        <v>757</v>
      </c>
    </row>
    <row r="5411" spans="2:5" ht="15.75" thickBot="1">
      <c r="B5411" s="225" t="s">
        <v>8729</v>
      </c>
      <c r="C5411" s="226">
        <v>543498</v>
      </c>
      <c r="D5411" s="225" t="s">
        <v>8730</v>
      </c>
      <c r="E5411" s="225" t="s">
        <v>8311</v>
      </c>
    </row>
    <row r="5412" spans="2:5" ht="15.75" thickBot="1">
      <c r="B5412" s="225" t="s">
        <v>8731</v>
      </c>
      <c r="C5412" s="226">
        <v>543499</v>
      </c>
      <c r="D5412" s="225" t="s">
        <v>8732</v>
      </c>
      <c r="E5412" s="225" t="s">
        <v>635</v>
      </c>
    </row>
    <row r="5413" spans="2:5" ht="15.75" thickBot="1">
      <c r="B5413" s="225" t="s">
        <v>8733</v>
      </c>
      <c r="C5413" s="226">
        <v>543500</v>
      </c>
      <c r="D5413" s="225" t="s">
        <v>8734</v>
      </c>
      <c r="E5413" s="225" t="s">
        <v>8328</v>
      </c>
    </row>
    <row r="5414" spans="2:5" ht="15.75" thickBot="1">
      <c r="B5414" s="225" t="s">
        <v>8735</v>
      </c>
      <c r="C5414" s="226">
        <v>543501</v>
      </c>
      <c r="D5414" s="225" t="s">
        <v>8736</v>
      </c>
      <c r="E5414" s="225"/>
    </row>
    <row r="5415" spans="2:5" ht="15.75" thickBot="1">
      <c r="B5415" s="225" t="s">
        <v>8737</v>
      </c>
      <c r="C5415" s="226">
        <v>543512</v>
      </c>
      <c r="D5415" s="225" t="s">
        <v>8738</v>
      </c>
      <c r="E5415" s="225" t="s">
        <v>8739</v>
      </c>
    </row>
    <row r="5416" spans="2:5" ht="15.75" thickBot="1">
      <c r="B5416" s="225" t="s">
        <v>8740</v>
      </c>
      <c r="C5416" s="226">
        <v>543513</v>
      </c>
      <c r="D5416" s="225" t="s">
        <v>8741</v>
      </c>
      <c r="E5416" s="225" t="s">
        <v>8328</v>
      </c>
    </row>
    <row r="5417" spans="2:5" ht="15.75" thickBot="1">
      <c r="B5417" s="225" t="s">
        <v>8742</v>
      </c>
      <c r="C5417" s="226">
        <v>543514</v>
      </c>
      <c r="D5417" s="225" t="s">
        <v>8743</v>
      </c>
      <c r="E5417" s="225" t="s">
        <v>8360</v>
      </c>
    </row>
    <row r="5418" spans="2:5" ht="15.75" thickBot="1">
      <c r="B5418" s="225" t="s">
        <v>8744</v>
      </c>
      <c r="C5418" s="226">
        <v>543515</v>
      </c>
      <c r="D5418" s="225" t="s">
        <v>8745</v>
      </c>
      <c r="E5418" s="225" t="s">
        <v>8328</v>
      </c>
    </row>
    <row r="5419" spans="2:5" ht="15.75" thickBot="1">
      <c r="B5419" s="225" t="s">
        <v>8746</v>
      </c>
      <c r="C5419" s="226">
        <v>543516</v>
      </c>
      <c r="D5419" s="225" t="s">
        <v>8747</v>
      </c>
      <c r="E5419" s="225" t="s">
        <v>8328</v>
      </c>
    </row>
    <row r="5420" spans="2:5" ht="15.75" thickBot="1">
      <c r="B5420" s="225" t="s">
        <v>8748</v>
      </c>
      <c r="C5420" s="226">
        <v>543517</v>
      </c>
      <c r="D5420" s="225" t="s">
        <v>8749</v>
      </c>
      <c r="E5420" s="225" t="s">
        <v>920</v>
      </c>
    </row>
    <row r="5421" spans="2:5" ht="15.75" thickBot="1">
      <c r="B5421" s="225" t="s">
        <v>8750</v>
      </c>
      <c r="C5421" s="226">
        <v>543518</v>
      </c>
      <c r="D5421" s="225" t="s">
        <v>8751</v>
      </c>
      <c r="E5421" s="225" t="s">
        <v>8345</v>
      </c>
    </row>
    <row r="5422" spans="2:5" ht="15.75" thickBot="1">
      <c r="B5422" s="225" t="s">
        <v>8752</v>
      </c>
      <c r="C5422" s="226">
        <v>543519</v>
      </c>
      <c r="D5422" s="225" t="s">
        <v>8753</v>
      </c>
      <c r="E5422" s="225" t="s">
        <v>8527</v>
      </c>
    </row>
    <row r="5423" spans="2:5" ht="15.75" thickBot="1">
      <c r="B5423" s="225" t="s">
        <v>8754</v>
      </c>
      <c r="C5423" s="226">
        <v>543520</v>
      </c>
      <c r="D5423" s="225" t="s">
        <v>8755</v>
      </c>
      <c r="E5423" s="225" t="s">
        <v>8493</v>
      </c>
    </row>
    <row r="5424" spans="2:5" ht="15.75" thickBot="1">
      <c r="B5424" s="225" t="s">
        <v>8756</v>
      </c>
      <c r="C5424" s="226">
        <v>543521</v>
      </c>
      <c r="D5424" s="225" t="s">
        <v>8757</v>
      </c>
      <c r="E5424" s="225" t="s">
        <v>8511</v>
      </c>
    </row>
    <row r="5425" spans="2:5" ht="15.75" thickBot="1">
      <c r="B5425" s="225" t="s">
        <v>8758</v>
      </c>
      <c r="C5425" s="226">
        <v>543522</v>
      </c>
      <c r="D5425" s="225" t="s">
        <v>8759</v>
      </c>
      <c r="E5425" s="225" t="s">
        <v>8760</v>
      </c>
    </row>
    <row r="5426" spans="2:5" ht="15.75" thickBot="1">
      <c r="B5426" s="225" t="s">
        <v>8761</v>
      </c>
      <c r="C5426" s="226">
        <v>543523</v>
      </c>
      <c r="D5426" s="225" t="s">
        <v>8762</v>
      </c>
      <c r="E5426" s="225" t="s">
        <v>1023</v>
      </c>
    </row>
    <row r="5427" spans="2:5" ht="15.75" thickBot="1">
      <c r="B5427" s="225" t="s">
        <v>8763</v>
      </c>
      <c r="C5427" s="226">
        <v>543524</v>
      </c>
      <c r="D5427" s="225" t="s">
        <v>8764</v>
      </c>
      <c r="E5427" s="225" t="s">
        <v>8493</v>
      </c>
    </row>
    <row r="5428" spans="2:5" ht="15.75" thickBot="1">
      <c r="B5428" s="225" t="s">
        <v>8765</v>
      </c>
      <c r="C5428" s="226">
        <v>543525</v>
      </c>
      <c r="D5428" s="225" t="s">
        <v>6165</v>
      </c>
      <c r="E5428" s="225" t="s">
        <v>8701</v>
      </c>
    </row>
    <row r="5429" spans="2:5" ht="15.75" thickBot="1">
      <c r="B5429" s="225" t="s">
        <v>8766</v>
      </c>
      <c r="C5429" s="226">
        <v>543526</v>
      </c>
      <c r="D5429" s="225" t="s">
        <v>8767</v>
      </c>
      <c r="E5429" s="225" t="s">
        <v>3009</v>
      </c>
    </row>
    <row r="5430" spans="2:5" ht="15.75" thickBot="1">
      <c r="B5430" s="225" t="s">
        <v>8768</v>
      </c>
      <c r="C5430" s="226">
        <v>543527</v>
      </c>
      <c r="D5430" s="225" t="s">
        <v>8769</v>
      </c>
      <c r="E5430" s="225" t="s">
        <v>8640</v>
      </c>
    </row>
    <row r="5431" spans="2:5" ht="15.75" thickBot="1">
      <c r="B5431" s="225" t="s">
        <v>8770</v>
      </c>
      <c r="C5431" s="226">
        <v>543528</v>
      </c>
      <c r="D5431" s="225" t="s">
        <v>8771</v>
      </c>
      <c r="E5431" s="225" t="s">
        <v>920</v>
      </c>
    </row>
    <row r="5432" spans="2:5" ht="15.75" thickBot="1">
      <c r="B5432" s="225" t="s">
        <v>8772</v>
      </c>
      <c r="C5432" s="226">
        <v>543529</v>
      </c>
      <c r="D5432" s="225" t="s">
        <v>8773</v>
      </c>
      <c r="E5432" s="225" t="s">
        <v>8647</v>
      </c>
    </row>
    <row r="5433" spans="2:5" ht="15.75" thickBot="1">
      <c r="B5433" s="225" t="s">
        <v>8774</v>
      </c>
      <c r="C5433" s="226">
        <v>543530</v>
      </c>
      <c r="D5433" s="225" t="s">
        <v>8775</v>
      </c>
      <c r="E5433" s="225" t="s">
        <v>1105</v>
      </c>
    </row>
    <row r="5434" spans="2:5" ht="15.75" thickBot="1">
      <c r="B5434" s="225" t="s">
        <v>8776</v>
      </c>
      <c r="C5434" s="226">
        <v>543531</v>
      </c>
      <c r="D5434" s="225" t="s">
        <v>8777</v>
      </c>
      <c r="E5434" s="225" t="s">
        <v>795</v>
      </c>
    </row>
    <row r="5435" spans="2:5" ht="15.75" thickBot="1">
      <c r="B5435" s="225" t="s">
        <v>8778</v>
      </c>
      <c r="C5435" s="226">
        <v>543532</v>
      </c>
      <c r="D5435" s="225" t="s">
        <v>8779</v>
      </c>
      <c r="E5435" s="225" t="s">
        <v>8345</v>
      </c>
    </row>
    <row r="5436" spans="2:5" ht="15.75" thickBot="1">
      <c r="B5436" s="225" t="s">
        <v>8780</v>
      </c>
      <c r="C5436" s="226">
        <v>543533</v>
      </c>
      <c r="D5436" s="225" t="s">
        <v>8781</v>
      </c>
      <c r="E5436" s="225" t="s">
        <v>8701</v>
      </c>
    </row>
    <row r="5437" spans="2:5" ht="15.75" thickBot="1">
      <c r="B5437" s="225" t="s">
        <v>8782</v>
      </c>
      <c r="C5437" s="226">
        <v>543534</v>
      </c>
      <c r="D5437" s="225" t="s">
        <v>8783</v>
      </c>
      <c r="E5437" s="225" t="s">
        <v>757</v>
      </c>
    </row>
    <row r="5438" spans="2:5" ht="15.75" thickBot="1">
      <c r="B5438" s="225" t="s">
        <v>8784</v>
      </c>
      <c r="C5438" s="226">
        <v>543535</v>
      </c>
      <c r="D5438" s="225" t="s">
        <v>8785</v>
      </c>
      <c r="E5438" s="225" t="s">
        <v>8564</v>
      </c>
    </row>
    <row r="5439" spans="2:5" ht="15.75" thickBot="1">
      <c r="B5439" s="225" t="s">
        <v>8786</v>
      </c>
      <c r="C5439" s="226">
        <v>543536</v>
      </c>
      <c r="D5439" s="225" t="s">
        <v>8787</v>
      </c>
      <c r="E5439" s="225" t="s">
        <v>8320</v>
      </c>
    </row>
    <row r="5440" spans="2:5" ht="15.75" thickBot="1">
      <c r="B5440" s="225" t="s">
        <v>8788</v>
      </c>
      <c r="C5440" s="226">
        <v>590136</v>
      </c>
      <c r="D5440" s="225" t="s">
        <v>8789</v>
      </c>
      <c r="E5440" s="225"/>
    </row>
    <row r="5441" spans="2:5" ht="15.75" thickBot="1">
      <c r="B5441" s="225" t="s">
        <v>8790</v>
      </c>
      <c r="C5441" s="226">
        <v>590137</v>
      </c>
      <c r="D5441" s="225" t="s">
        <v>8791</v>
      </c>
      <c r="E5441" s="225"/>
    </row>
    <row r="5442" spans="2:5" ht="15.75" thickBot="1">
      <c r="B5442" s="225" t="s">
        <v>8792</v>
      </c>
      <c r="C5442" s="226">
        <v>590138</v>
      </c>
      <c r="D5442" s="225" t="s">
        <v>8793</v>
      </c>
      <c r="E5442" s="225"/>
    </row>
    <row r="5443" spans="2:5" ht="16.5" thickBot="1">
      <c r="B5443" s="227" t="s">
        <v>259</v>
      </c>
      <c r="C5443" s="226">
        <v>540376</v>
      </c>
      <c r="D5443" s="225" t="s">
        <v>8794</v>
      </c>
      <c r="E5443" s="225" t="s">
        <v>677</v>
      </c>
    </row>
  </sheetData>
  <autoFilter ref="B2:E5443" xr:uid="{862FFDE7-5830-4825-BA67-C1FCFD1BFE9F}"/>
  <hyperlinks>
    <hyperlink ref="B5443" r:id="rId1" display="https://www.google.com/search?q=Avenue+Supermarts+Limited&amp;rlz=1C1CHBF_enIN1050IN1050&amp;oq=avenue+supermarts+nse+c&amp;gs_lcrp=EgZjaHJvbWUqCAgBEAAYFhgeMgYIABBFGDkyCAgBEAAYFhgeMg0IAhAAGIYDGIAEGIoFMg0IAxAAGIYDGIAEGIoFMg0IBBAAGIYDGIAEGIoFMg0IBRAAGIYDGIAEGIoFMgcIBhAAGO8FMgoIBxAAGKIEGIkFMgoICBAAGIAEGKIE0gEIOTM1MmowajeoAgCwAgA&amp;sourceid=chrome&amp;ie=UTF-8&amp;ved=2ahUKEwjQkOXxzteTAxW1RWwGHcOpJSgQgK4QegYIAQgAEAM" xr:uid="{45FDCEBF-39E0-47BB-97DC-1C391F25EF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sheetPr>
  <dimension ref="A21:A1000"/>
  <sheetViews>
    <sheetView showGridLines="0" workbookViewId="0">
      <selection activeCell="L29" sqref="L29"/>
    </sheetView>
  </sheetViews>
  <sheetFormatPr defaultColWidth="14.42578125" defaultRowHeight="15" customHeight="1"/>
  <cols>
    <col min="1" max="26" width="8.71093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2060"/>
  </sheetPr>
  <dimension ref="A1:Y1022"/>
  <sheetViews>
    <sheetView topLeftCell="A111" workbookViewId="0">
      <selection activeCell="C78" sqref="C78"/>
    </sheetView>
  </sheetViews>
  <sheetFormatPr defaultColWidth="14.42578125" defaultRowHeight="15" customHeight="1"/>
  <cols>
    <col min="1" max="1" width="2" customWidth="1"/>
    <col min="2" max="2" width="28" bestFit="1" customWidth="1"/>
    <col min="3" max="3" width="12.5703125" bestFit="1" customWidth="1"/>
    <col min="4" max="7" width="12.42578125" bestFit="1" customWidth="1"/>
    <col min="8" max="12" width="14" bestFit="1" customWidth="1"/>
    <col min="13" max="13" width="11.28515625" bestFit="1" customWidth="1"/>
    <col min="14" max="18" width="14" bestFit="1" customWidth="1"/>
    <col min="19" max="25" width="8.7109375" customWidth="1"/>
  </cols>
  <sheetData>
    <row r="1" spans="1:25">
      <c r="A1" s="26"/>
      <c r="B1" s="26"/>
      <c r="C1" s="26"/>
      <c r="D1" s="26"/>
      <c r="E1" s="26"/>
      <c r="F1" s="26"/>
      <c r="G1" s="26"/>
      <c r="H1" s="26"/>
      <c r="I1" s="26"/>
      <c r="J1" s="26"/>
      <c r="K1" s="26"/>
      <c r="L1" s="26"/>
      <c r="M1" s="27"/>
      <c r="N1" s="26"/>
      <c r="O1" s="26"/>
      <c r="P1" s="26"/>
      <c r="Q1" s="26"/>
      <c r="R1" s="26"/>
      <c r="S1" s="26"/>
      <c r="T1" s="26"/>
      <c r="U1" s="26"/>
      <c r="V1" s="26"/>
      <c r="W1" s="26"/>
      <c r="X1" s="26"/>
      <c r="Y1" s="26"/>
    </row>
    <row r="2" spans="1:25">
      <c r="A2" s="26"/>
      <c r="B2" s="419" t="str">
        <f>"Historical Financial Statement - "&amp;'Data Sheet'!B1</f>
        <v>Historical Financial Statement - TATA POWER COMPANY LTD</v>
      </c>
      <c r="C2" s="420"/>
      <c r="D2" s="420"/>
      <c r="E2" s="420"/>
      <c r="F2" s="420"/>
      <c r="G2" s="420"/>
      <c r="H2" s="420"/>
      <c r="I2" s="420"/>
      <c r="J2" s="420"/>
      <c r="K2" s="420"/>
      <c r="L2" s="420"/>
      <c r="M2" s="421" t="s">
        <v>93</v>
      </c>
      <c r="N2" s="419" t="s">
        <v>94</v>
      </c>
      <c r="O2" s="420"/>
      <c r="P2" s="420"/>
      <c r="Q2" s="420"/>
      <c r="R2" s="420"/>
      <c r="S2" s="26"/>
      <c r="T2" s="26"/>
      <c r="U2" s="26"/>
      <c r="V2" s="26"/>
      <c r="W2" s="26"/>
      <c r="X2" s="26"/>
      <c r="Y2" s="26"/>
    </row>
    <row r="3" spans="1:25">
      <c r="A3" s="26"/>
      <c r="B3" s="28" t="s">
        <v>95</v>
      </c>
      <c r="C3" s="29">
        <f>'Data Sheet'!B16</f>
        <v>42825</v>
      </c>
      <c r="D3" s="29">
        <f>'Data Sheet'!C16</f>
        <v>43190</v>
      </c>
      <c r="E3" s="29">
        <f>'Data Sheet'!D16</f>
        <v>43555</v>
      </c>
      <c r="F3" s="29">
        <f>'Data Sheet'!E16</f>
        <v>43921</v>
      </c>
      <c r="G3" s="29">
        <f>'Data Sheet'!F16</f>
        <v>44286</v>
      </c>
      <c r="H3" s="29">
        <f>'Data Sheet'!G16</f>
        <v>44651</v>
      </c>
      <c r="I3" s="29">
        <f>'Data Sheet'!H16</f>
        <v>45016</v>
      </c>
      <c r="J3" s="29">
        <f>'Data Sheet'!I16</f>
        <v>45382</v>
      </c>
      <c r="K3" s="29">
        <f>'Data Sheet'!J16</f>
        <v>45747</v>
      </c>
      <c r="L3" s="29">
        <f>'Data Sheet'!K16</f>
        <v>46112</v>
      </c>
      <c r="M3" s="420"/>
      <c r="N3" s="31">
        <f>L3+365</f>
        <v>46477</v>
      </c>
      <c r="O3" s="31">
        <f t="shared" ref="O3:R3" si="0">N3+365</f>
        <v>46842</v>
      </c>
      <c r="P3" s="31">
        <f t="shared" si="0"/>
        <v>47207</v>
      </c>
      <c r="Q3" s="31">
        <f t="shared" si="0"/>
        <v>47572</v>
      </c>
      <c r="R3" s="31">
        <f t="shared" si="0"/>
        <v>47937</v>
      </c>
      <c r="S3" s="26"/>
      <c r="T3" s="26"/>
      <c r="U3" s="26"/>
      <c r="V3" s="26"/>
      <c r="W3" s="26"/>
      <c r="X3" s="26"/>
      <c r="Y3" s="26"/>
    </row>
    <row r="4" spans="1:25">
      <c r="A4" s="26"/>
      <c r="B4" s="26"/>
      <c r="C4" s="26"/>
      <c r="D4" s="26"/>
      <c r="E4" s="26"/>
      <c r="F4" s="26"/>
      <c r="G4" s="26"/>
      <c r="H4" s="26"/>
      <c r="I4" s="26"/>
      <c r="J4" s="26"/>
      <c r="K4" s="26"/>
      <c r="L4" s="26"/>
      <c r="M4" s="27"/>
      <c r="N4" s="26"/>
      <c r="O4" s="26"/>
      <c r="P4" s="26"/>
      <c r="Q4" s="26"/>
      <c r="R4" s="26"/>
      <c r="S4" s="26"/>
      <c r="T4" s="26"/>
      <c r="U4" s="26"/>
      <c r="V4" s="26"/>
      <c r="W4" s="26"/>
      <c r="X4" s="26"/>
      <c r="Y4" s="26"/>
    </row>
    <row r="5" spans="1:25">
      <c r="A5" s="26" t="s">
        <v>96</v>
      </c>
      <c r="B5" s="32" t="s">
        <v>97</v>
      </c>
      <c r="C5" s="33"/>
      <c r="D5" s="33"/>
      <c r="E5" s="33"/>
      <c r="F5" s="33"/>
      <c r="G5" s="33"/>
      <c r="H5" s="33"/>
      <c r="I5" s="33"/>
      <c r="J5" s="33"/>
      <c r="K5" s="33"/>
      <c r="L5" s="33"/>
      <c r="M5" s="33"/>
      <c r="N5" s="33"/>
      <c r="O5" s="33"/>
      <c r="P5" s="33"/>
      <c r="Q5" s="33"/>
      <c r="R5" s="33"/>
      <c r="S5" s="26"/>
      <c r="T5" s="26"/>
      <c r="U5" s="26"/>
      <c r="V5" s="26"/>
      <c r="W5" s="26"/>
      <c r="X5" s="26"/>
      <c r="Y5" s="26"/>
    </row>
    <row r="6" spans="1:25">
      <c r="A6" s="26"/>
      <c r="B6" s="233" t="s">
        <v>6</v>
      </c>
      <c r="C6" s="34">
        <f>'Data Sheet'!B17</f>
        <v>27587.59</v>
      </c>
      <c r="D6" s="34">
        <f>'Data Sheet'!C17</f>
        <v>26840.27</v>
      </c>
      <c r="E6" s="34">
        <f>'Data Sheet'!D17</f>
        <v>29881.06</v>
      </c>
      <c r="F6" s="34">
        <f>'Data Sheet'!E17</f>
        <v>29136.37</v>
      </c>
      <c r="G6" s="34">
        <f>'Data Sheet'!F17</f>
        <v>32703.31</v>
      </c>
      <c r="H6" s="34">
        <f>'Data Sheet'!G17</f>
        <v>42815.67</v>
      </c>
      <c r="I6" s="34">
        <f>'Data Sheet'!H17</f>
        <v>55109.08</v>
      </c>
      <c r="J6" s="34">
        <f>'Data Sheet'!I17</f>
        <v>61448.9</v>
      </c>
      <c r="K6" s="34">
        <f>'Data Sheet'!J17</f>
        <v>65478.239999999998</v>
      </c>
      <c r="L6" s="34">
        <f>'Data Sheet'!K17</f>
        <v>62428.59</v>
      </c>
      <c r="M6" s="27">
        <f t="shared" ref="M6:M8" si="1">IFERROR(_xlfn.FORECAST.ETS.SEASONALITY($C6:$L6,$C$3:$L$3),"")</f>
        <v>0</v>
      </c>
      <c r="N6" s="34">
        <f>IFERROR(_xlfn.FORECAST.ETS(N$3,$C6:$L6,$C$3:$L$3,$M$6),"")</f>
        <v>67458.314121212112</v>
      </c>
      <c r="O6" s="34">
        <f>IFERROR(_xlfn.FORECAST.ETS(O$3,$C6:$L6,$C$3:$L$3,$M$6),"")</f>
        <v>72474.295826792484</v>
      </c>
      <c r="P6" s="34">
        <f>IFERROR(_xlfn.FORECAST.ETS(P$3,$C6:$L6,$C$3:$L$3,$M$6),"")</f>
        <v>77503.982297550814</v>
      </c>
      <c r="Q6" s="34">
        <f>IFERROR(_xlfn.FORECAST.ETS(Q$3,$C6:$L6,$C$3:$L$3,$M$6),"")</f>
        <v>82533.706418762929</v>
      </c>
      <c r="R6" s="34">
        <f>IFERROR(_xlfn.FORECAST.ETS(R$3,$C6:$L6,$C$3:$L$3,$M$6),"")</f>
        <v>87563.43053997503</v>
      </c>
      <c r="S6" s="26"/>
      <c r="T6" s="26"/>
      <c r="U6" s="26"/>
      <c r="V6" s="26"/>
      <c r="W6" s="26"/>
      <c r="X6" s="26"/>
      <c r="Y6" s="26"/>
    </row>
    <row r="7" spans="1:25">
      <c r="A7" s="26"/>
      <c r="B7" s="35" t="s">
        <v>98</v>
      </c>
      <c r="C7" s="35">
        <v>0</v>
      </c>
      <c r="D7" s="35">
        <f>D6/C6-1</f>
        <v>-2.7088991825672371E-2</v>
      </c>
      <c r="E7" s="35">
        <f t="shared" ref="E7:L7" si="2">E6/D6-1</f>
        <v>0.1132920794015857</v>
      </c>
      <c r="F7" s="35">
        <f t="shared" si="2"/>
        <v>-2.4921806656122758E-2</v>
      </c>
      <c r="G7" s="35">
        <f t="shared" si="2"/>
        <v>0.12242225095301862</v>
      </c>
      <c r="H7" s="35">
        <f t="shared" si="2"/>
        <v>0.30921518341721366</v>
      </c>
      <c r="I7" s="35">
        <f t="shared" si="2"/>
        <v>0.28712408330875139</v>
      </c>
      <c r="J7" s="35">
        <f t="shared" si="2"/>
        <v>0.11504129628003223</v>
      </c>
      <c r="K7" s="35">
        <f t="shared" si="2"/>
        <v>6.5572207150982331E-2</v>
      </c>
      <c r="L7" s="35">
        <f t="shared" si="2"/>
        <v>-4.6575014844626228E-2</v>
      </c>
      <c r="M7" s="27">
        <f t="shared" si="1"/>
        <v>0</v>
      </c>
      <c r="N7" s="35">
        <f>N6/L6-1</f>
        <v>8.056763930135391E-2</v>
      </c>
      <c r="O7" s="35">
        <f t="shared" ref="O7:R7" si="3">O6/N6-1</f>
        <v>7.4356760481257167E-2</v>
      </c>
      <c r="P7" s="35">
        <f t="shared" si="3"/>
        <v>6.9399590756685114E-2</v>
      </c>
      <c r="Q7" s="35">
        <f t="shared" si="3"/>
        <v>6.4896331415618791E-2</v>
      </c>
      <c r="R7" s="35">
        <f t="shared" si="3"/>
        <v>6.0941454582108312E-2</v>
      </c>
      <c r="S7" s="26"/>
      <c r="T7" s="26"/>
      <c r="U7" s="26"/>
      <c r="V7" s="26"/>
      <c r="W7" s="26"/>
      <c r="X7" s="26"/>
      <c r="Y7" s="26"/>
    </row>
    <row r="8" spans="1:25">
      <c r="A8" s="26"/>
      <c r="B8" s="26"/>
      <c r="C8" s="26"/>
      <c r="D8" s="26"/>
      <c r="E8" s="26"/>
      <c r="F8" s="26"/>
      <c r="G8" s="26"/>
      <c r="H8" s="26"/>
      <c r="I8" s="26"/>
      <c r="J8" s="26"/>
      <c r="K8" s="26"/>
      <c r="L8" s="26"/>
      <c r="M8" s="27" t="str">
        <f t="shared" si="1"/>
        <v/>
      </c>
      <c r="N8" s="26" t="str">
        <f>IFERROR(_xlfn.FORECAST.ETS(N$3,$C8:$L8,$C$3:$L$3,$M$6),"")</f>
        <v/>
      </c>
      <c r="O8" s="26" t="str">
        <f>IFERROR(_xlfn.FORECAST.ETS(O$3,$C8:$L8,$C$3:$L$3,$M$6),"")</f>
        <v/>
      </c>
      <c r="P8" s="26" t="str">
        <f>IFERROR(_xlfn.FORECAST.ETS(P$3,$C8:$L8,$C$3:$L$3,$M$6),"")</f>
        <v/>
      </c>
      <c r="Q8" s="26" t="str">
        <f>IFERROR(_xlfn.FORECAST.ETS(Q$3,$C8:$L8,$C$3:$L$3,$M$6),"")</f>
        <v/>
      </c>
      <c r="R8" s="26" t="str">
        <f>IFERROR(_xlfn.FORECAST.ETS(R$3,$C8:$L8,$C$3:$L$3,$M$6),"")</f>
        <v/>
      </c>
      <c r="S8" s="26"/>
      <c r="T8" s="26"/>
      <c r="U8" s="26"/>
      <c r="V8" s="26"/>
      <c r="W8" s="26"/>
      <c r="X8" s="26"/>
      <c r="Y8" s="26"/>
    </row>
    <row r="9" spans="1:25">
      <c r="A9" s="26"/>
      <c r="B9" s="26" t="s">
        <v>99</v>
      </c>
      <c r="C9" s="34">
        <f>IFERROR(SUM('Data Sheet'!B18,'Data Sheet'!B20:B22)-1*'Data Sheet'!B19,0)</f>
        <v>21013.06</v>
      </c>
      <c r="D9" s="34">
        <f>IFERROR(SUM('Data Sheet'!C18,'Data Sheet'!C20:C22)-1*'Data Sheet'!C19,0)</f>
        <v>19864.32</v>
      </c>
      <c r="E9" s="34">
        <f>IFERROR(SUM('Data Sheet'!D18,'Data Sheet'!D20:D22)-1*'Data Sheet'!D19,0)</f>
        <v>22496.969999999998</v>
      </c>
      <c r="F9" s="34">
        <f>IFERROR(SUM('Data Sheet'!E18,'Data Sheet'!E20:E22)-1*'Data Sheet'!E19,0)</f>
        <v>20639.12</v>
      </c>
      <c r="G9" s="34">
        <f>IFERROR(SUM('Data Sheet'!F18,'Data Sheet'!F20:F22)-1*'Data Sheet'!F19,0)</f>
        <v>24985.640000000003</v>
      </c>
      <c r="H9" s="34">
        <f>IFERROR(SUM('Data Sheet'!G18,'Data Sheet'!G20:G22)-1*'Data Sheet'!G19,0)</f>
        <v>34239.369999999995</v>
      </c>
      <c r="I9" s="34">
        <f>IFERROR(SUM('Data Sheet'!H18,'Data Sheet'!H20:H22)-1*'Data Sheet'!H19,0)</f>
        <v>45560.7</v>
      </c>
      <c r="J9" s="34">
        <f>IFERROR(SUM('Data Sheet'!I18,'Data Sheet'!I20:I22)-1*'Data Sheet'!I19,0)</f>
        <v>49070.77</v>
      </c>
      <c r="K9" s="34">
        <f>IFERROR(SUM('Data Sheet'!J18,'Data Sheet'!J20:J22)-1*'Data Sheet'!J19,0)</f>
        <v>49878.22</v>
      </c>
      <c r="L9" s="34">
        <f>IFERROR(SUM('Data Sheet'!K18,'Data Sheet'!K20:K22)-1*'Data Sheet'!K19,0)</f>
        <v>47522.909999999996</v>
      </c>
      <c r="M9" s="27"/>
      <c r="N9" s="34"/>
      <c r="O9" s="34"/>
      <c r="P9" s="34"/>
      <c r="Q9" s="34"/>
      <c r="R9" s="34"/>
      <c r="S9" s="26"/>
      <c r="T9" s="26"/>
      <c r="U9" s="26"/>
      <c r="V9" s="26"/>
      <c r="W9" s="26"/>
      <c r="X9" s="26"/>
      <c r="Y9" s="26"/>
    </row>
    <row r="10" spans="1:25">
      <c r="A10" s="26"/>
      <c r="B10" s="35" t="s">
        <v>100</v>
      </c>
      <c r="C10" s="35">
        <f t="shared" ref="C10" si="4">C9/C6</f>
        <v>0.76168523600647975</v>
      </c>
      <c r="D10" s="35">
        <f t="shared" ref="D10:L10" si="5">D9/D6</f>
        <v>0.74009389622384569</v>
      </c>
      <c r="E10" s="35">
        <f t="shared" si="5"/>
        <v>0.75288393383634977</v>
      </c>
      <c r="F10" s="35">
        <f t="shared" si="5"/>
        <v>0.7083627782046974</v>
      </c>
      <c r="G10" s="35">
        <f t="shared" si="5"/>
        <v>0.7640095146332283</v>
      </c>
      <c r="H10" s="35">
        <f t="shared" si="5"/>
        <v>0.7996924957614816</v>
      </c>
      <c r="I10" s="35">
        <f t="shared" si="5"/>
        <v>0.82673671924844316</v>
      </c>
      <c r="J10" s="35">
        <f t="shared" si="5"/>
        <v>0.79856221999091925</v>
      </c>
      <c r="K10" s="35">
        <f t="shared" si="5"/>
        <v>0.76175260666749756</v>
      </c>
      <c r="L10" s="35">
        <f t="shared" si="5"/>
        <v>0.76123631816768567</v>
      </c>
      <c r="M10" s="27"/>
      <c r="N10" s="35"/>
      <c r="O10" s="35"/>
      <c r="P10" s="35"/>
      <c r="Q10" s="35"/>
      <c r="R10" s="35"/>
      <c r="S10" s="26"/>
      <c r="T10" s="26"/>
      <c r="U10" s="26"/>
      <c r="V10" s="26"/>
      <c r="W10" s="26"/>
      <c r="X10" s="26"/>
      <c r="Y10" s="26"/>
    </row>
    <row r="11" spans="1:25">
      <c r="A11" s="26"/>
      <c r="B11" s="26"/>
      <c r="C11" s="26"/>
      <c r="D11" s="26"/>
      <c r="E11" s="26"/>
      <c r="F11" s="26"/>
      <c r="G11" s="26"/>
      <c r="H11" s="26"/>
      <c r="I11" s="26"/>
      <c r="J11" s="26"/>
      <c r="K11" s="26"/>
      <c r="L11" s="26"/>
      <c r="M11" s="27"/>
      <c r="N11" s="26"/>
      <c r="O11" s="26"/>
      <c r="P11" s="26"/>
      <c r="Q11" s="26"/>
      <c r="R11" s="26"/>
      <c r="S11" s="26"/>
      <c r="T11" s="26"/>
      <c r="U11" s="26"/>
      <c r="V11" s="26"/>
      <c r="W11" s="26"/>
      <c r="X11" s="26"/>
      <c r="Y11" s="26"/>
    </row>
    <row r="12" spans="1:25">
      <c r="A12" s="26"/>
      <c r="B12" s="36" t="s">
        <v>101</v>
      </c>
      <c r="C12" s="37">
        <f t="shared" ref="C12" si="6">C6-C9</f>
        <v>6574.5299999999988</v>
      </c>
      <c r="D12" s="37">
        <f t="shared" ref="D12:L12" si="7">D6-D9</f>
        <v>6975.9500000000007</v>
      </c>
      <c r="E12" s="37">
        <f t="shared" si="7"/>
        <v>7384.0900000000038</v>
      </c>
      <c r="F12" s="37">
        <f t="shared" si="7"/>
        <v>8497.25</v>
      </c>
      <c r="G12" s="37">
        <f t="shared" si="7"/>
        <v>7717.6699999999983</v>
      </c>
      <c r="H12" s="37">
        <f t="shared" si="7"/>
        <v>8576.3000000000029</v>
      </c>
      <c r="I12" s="37">
        <f t="shared" si="7"/>
        <v>9548.3800000000047</v>
      </c>
      <c r="J12" s="37">
        <f t="shared" si="7"/>
        <v>12378.130000000005</v>
      </c>
      <c r="K12" s="37">
        <f t="shared" si="7"/>
        <v>15600.019999999997</v>
      </c>
      <c r="L12" s="37">
        <f t="shared" si="7"/>
        <v>14905.68</v>
      </c>
      <c r="M12" s="27"/>
      <c r="N12" s="38"/>
      <c r="O12" s="38"/>
      <c r="P12" s="38"/>
      <c r="Q12" s="38"/>
      <c r="R12" s="38"/>
      <c r="S12" s="26"/>
      <c r="T12" s="26"/>
      <c r="U12" s="26"/>
      <c r="V12" s="26"/>
      <c r="W12" s="26"/>
      <c r="X12" s="26"/>
      <c r="Y12" s="26"/>
    </row>
    <row r="13" spans="1:25">
      <c r="A13" s="26"/>
      <c r="B13" s="35" t="s">
        <v>102</v>
      </c>
      <c r="C13" s="35">
        <f t="shared" ref="C13" si="8">C12/C6</f>
        <v>0.23831476399352022</v>
      </c>
      <c r="D13" s="35">
        <f t="shared" ref="D13:L13" si="9">D12/D6</f>
        <v>0.25990610377615431</v>
      </c>
      <c r="E13" s="35">
        <f t="shared" si="9"/>
        <v>0.24711606616365026</v>
      </c>
      <c r="F13" s="35">
        <f t="shared" si="9"/>
        <v>0.2916372217953026</v>
      </c>
      <c r="G13" s="35">
        <f t="shared" si="9"/>
        <v>0.23599048536677167</v>
      </c>
      <c r="H13" s="35">
        <f t="shared" si="9"/>
        <v>0.20030750423851837</v>
      </c>
      <c r="I13" s="35">
        <f t="shared" si="9"/>
        <v>0.17326328075155681</v>
      </c>
      <c r="J13" s="35">
        <f t="shared" si="9"/>
        <v>0.20143778000908077</v>
      </c>
      <c r="K13" s="35">
        <f t="shared" si="9"/>
        <v>0.23824739333250247</v>
      </c>
      <c r="L13" s="35">
        <f t="shared" si="9"/>
        <v>0.23876368183231433</v>
      </c>
      <c r="M13" s="27"/>
      <c r="N13" s="35"/>
      <c r="O13" s="35"/>
      <c r="P13" s="35"/>
      <c r="Q13" s="35"/>
      <c r="R13" s="35"/>
      <c r="S13" s="26"/>
      <c r="T13" s="26"/>
      <c r="U13" s="26"/>
      <c r="V13" s="26"/>
      <c r="W13" s="26"/>
      <c r="X13" s="26"/>
      <c r="Y13" s="26"/>
    </row>
    <row r="14" spans="1:25">
      <c r="A14" s="26"/>
      <c r="B14" s="26"/>
      <c r="C14" s="26"/>
      <c r="D14" s="26"/>
      <c r="E14" s="26"/>
      <c r="F14" s="26"/>
      <c r="G14" s="26"/>
      <c r="H14" s="26"/>
      <c r="I14" s="26"/>
      <c r="J14" s="26"/>
      <c r="K14" s="26"/>
      <c r="L14" s="26"/>
      <c r="M14" s="27"/>
      <c r="N14" s="26"/>
      <c r="O14" s="26"/>
      <c r="P14" s="26"/>
      <c r="Q14" s="26"/>
      <c r="R14" s="26"/>
      <c r="S14" s="26"/>
      <c r="T14" s="26"/>
      <c r="U14" s="26"/>
      <c r="V14" s="26"/>
      <c r="W14" s="26"/>
      <c r="X14" s="26"/>
      <c r="Y14" s="26"/>
    </row>
    <row r="15" spans="1:25">
      <c r="A15" s="26"/>
      <c r="B15" s="26" t="s">
        <v>103</v>
      </c>
      <c r="C15" s="34">
        <f>IFERROR('Data Sheet'!B23,0)</f>
        <v>481.89</v>
      </c>
      <c r="D15" s="34">
        <f>IFERROR('Data Sheet'!C23,0)</f>
        <v>511.78</v>
      </c>
      <c r="E15" s="34">
        <f>IFERROR('Data Sheet'!D23,0)</f>
        <v>466.39</v>
      </c>
      <c r="F15" s="34">
        <f>IFERROR('Data Sheet'!E23,0)</f>
        <v>401.51</v>
      </c>
      <c r="G15" s="34">
        <f>IFERROR('Data Sheet'!F23,0)</f>
        <v>523.94000000000005</v>
      </c>
      <c r="H15" s="34">
        <f>IFERROR('Data Sheet'!G23,0)</f>
        <v>730.58</v>
      </c>
      <c r="I15" s="34">
        <f>IFERROR('Data Sheet'!H23,0)</f>
        <v>1016.41</v>
      </c>
      <c r="J15" s="34">
        <f>IFERROR('Data Sheet'!I23,0)</f>
        <v>1017.98</v>
      </c>
      <c r="K15" s="34">
        <f>IFERROR('Data Sheet'!J23,0)</f>
        <v>1055.18</v>
      </c>
      <c r="L15" s="34">
        <f>IFERROR('Data Sheet'!K23,0)</f>
        <v>1213.3699999999999</v>
      </c>
      <c r="M15" s="27"/>
      <c r="N15" s="34"/>
      <c r="O15" s="34"/>
      <c r="P15" s="34"/>
      <c r="Q15" s="34"/>
      <c r="R15" s="34"/>
      <c r="S15" s="26"/>
      <c r="T15" s="26"/>
      <c r="U15" s="26"/>
      <c r="V15" s="26"/>
      <c r="W15" s="26"/>
      <c r="X15" s="26"/>
      <c r="Y15" s="26"/>
    </row>
    <row r="16" spans="1:25">
      <c r="A16" s="26"/>
      <c r="B16" s="35" t="s">
        <v>104</v>
      </c>
      <c r="C16" s="35">
        <f t="shared" ref="C16" si="10">C15/C6</f>
        <v>1.7467636716364133E-2</v>
      </c>
      <c r="D16" s="35">
        <f t="shared" ref="D16:L16" si="11">D15/D6</f>
        <v>1.9067617427097415E-2</v>
      </c>
      <c r="E16" s="35">
        <f t="shared" si="11"/>
        <v>1.5608214701888085E-2</v>
      </c>
      <c r="F16" s="35">
        <f t="shared" si="11"/>
        <v>1.3780371405223094E-2</v>
      </c>
      <c r="G16" s="35">
        <f t="shared" si="11"/>
        <v>1.6021008271028224E-2</v>
      </c>
      <c r="H16" s="35">
        <f t="shared" si="11"/>
        <v>1.7063378898426677E-2</v>
      </c>
      <c r="I16" s="35">
        <f t="shared" si="11"/>
        <v>1.8443603123115101E-2</v>
      </c>
      <c r="J16" s="35">
        <f t="shared" si="11"/>
        <v>1.656628515726075E-2</v>
      </c>
      <c r="K16" s="35">
        <f t="shared" si="11"/>
        <v>1.6114971935714827E-2</v>
      </c>
      <c r="L16" s="35">
        <f t="shared" si="11"/>
        <v>1.9436126941197934E-2</v>
      </c>
      <c r="M16" s="27"/>
      <c r="N16" s="35"/>
      <c r="O16" s="35"/>
      <c r="P16" s="35"/>
      <c r="Q16" s="35"/>
      <c r="R16" s="35"/>
      <c r="S16" s="26"/>
      <c r="T16" s="26"/>
      <c r="U16" s="26"/>
      <c r="V16" s="26"/>
      <c r="W16" s="26"/>
      <c r="X16" s="26"/>
      <c r="Y16" s="26"/>
    </row>
    <row r="17" spans="1:25">
      <c r="A17" s="26"/>
      <c r="B17" s="26"/>
      <c r="C17" s="26"/>
      <c r="D17" s="26"/>
      <c r="E17" s="26"/>
      <c r="F17" s="26"/>
      <c r="G17" s="26"/>
      <c r="H17" s="26"/>
      <c r="I17" s="26"/>
      <c r="J17" s="26"/>
      <c r="K17" s="26"/>
      <c r="L17" s="26"/>
      <c r="M17" s="27"/>
      <c r="N17" s="26"/>
      <c r="O17" s="26"/>
      <c r="P17" s="26"/>
      <c r="Q17" s="26"/>
      <c r="R17" s="26"/>
      <c r="S17" s="26"/>
      <c r="T17" s="26"/>
      <c r="U17" s="26"/>
      <c r="V17" s="26"/>
      <c r="W17" s="26"/>
      <c r="X17" s="26"/>
      <c r="Y17" s="26"/>
    </row>
    <row r="18" spans="1:25">
      <c r="A18" s="26"/>
      <c r="B18" s="39" t="s">
        <v>105</v>
      </c>
      <c r="C18" s="37">
        <f t="shared" ref="C18" si="12">C12-C15</f>
        <v>6092.6399999999985</v>
      </c>
      <c r="D18" s="37">
        <f t="shared" ref="D18:L18" si="13">D12-D15</f>
        <v>6464.170000000001</v>
      </c>
      <c r="E18" s="37">
        <f t="shared" si="13"/>
        <v>6917.7000000000035</v>
      </c>
      <c r="F18" s="37">
        <f t="shared" si="13"/>
        <v>8095.74</v>
      </c>
      <c r="G18" s="37">
        <f t="shared" si="13"/>
        <v>7193.7299999999977</v>
      </c>
      <c r="H18" s="37">
        <f t="shared" si="13"/>
        <v>7845.720000000003</v>
      </c>
      <c r="I18" s="37">
        <f t="shared" si="13"/>
        <v>8531.9700000000048</v>
      </c>
      <c r="J18" s="37">
        <f t="shared" si="13"/>
        <v>11360.150000000005</v>
      </c>
      <c r="K18" s="37">
        <f t="shared" si="13"/>
        <v>14544.839999999997</v>
      </c>
      <c r="L18" s="37">
        <f t="shared" si="13"/>
        <v>13692.310000000001</v>
      </c>
      <c r="M18" s="27"/>
      <c r="N18" s="38"/>
      <c r="O18" s="38"/>
      <c r="P18" s="38"/>
      <c r="Q18" s="38"/>
      <c r="R18" s="38"/>
      <c r="S18" s="26"/>
      <c r="T18" s="26"/>
      <c r="U18" s="26"/>
      <c r="V18" s="26"/>
      <c r="W18" s="26"/>
      <c r="X18" s="26"/>
      <c r="Y18" s="26"/>
    </row>
    <row r="19" spans="1:25">
      <c r="A19" s="26"/>
      <c r="B19" s="35" t="s">
        <v>106</v>
      </c>
      <c r="C19" s="35">
        <f t="shared" ref="C19" si="14">C18/C6</f>
        <v>0.22084712727715608</v>
      </c>
      <c r="D19" s="35">
        <f t="shared" ref="D19:L19" si="15">D18/D6</f>
        <v>0.24083848634905689</v>
      </c>
      <c r="E19" s="35">
        <f t="shared" si="15"/>
        <v>0.23150785146176217</v>
      </c>
      <c r="F19" s="35">
        <f t="shared" si="15"/>
        <v>0.27785685039007946</v>
      </c>
      <c r="G19" s="35">
        <f t="shared" si="15"/>
        <v>0.21996947709574344</v>
      </c>
      <c r="H19" s="35">
        <f t="shared" si="15"/>
        <v>0.18324412534009168</v>
      </c>
      <c r="I19" s="35">
        <f t="shared" si="15"/>
        <v>0.1548196776284417</v>
      </c>
      <c r="J19" s="35">
        <f t="shared" si="15"/>
        <v>0.18487149485182006</v>
      </c>
      <c r="K19" s="35">
        <f t="shared" si="15"/>
        <v>0.22213242139678765</v>
      </c>
      <c r="L19" s="35">
        <f t="shared" si="15"/>
        <v>0.21932755489111644</v>
      </c>
      <c r="M19" s="27"/>
      <c r="N19" s="35"/>
      <c r="O19" s="35"/>
      <c r="P19" s="35"/>
      <c r="Q19" s="35"/>
      <c r="R19" s="35"/>
      <c r="S19" s="26"/>
      <c r="T19" s="26"/>
      <c r="U19" s="26"/>
      <c r="V19" s="26"/>
      <c r="W19" s="26"/>
      <c r="X19" s="26"/>
      <c r="Y19" s="26"/>
    </row>
    <row r="20" spans="1:25">
      <c r="A20" s="26"/>
      <c r="B20" s="35"/>
      <c r="C20" s="35"/>
      <c r="D20" s="35"/>
      <c r="E20" s="35"/>
      <c r="F20" s="35"/>
      <c r="G20" s="35"/>
      <c r="H20" s="35"/>
      <c r="I20" s="35"/>
      <c r="J20" s="35"/>
      <c r="K20" s="35"/>
      <c r="L20" s="35"/>
      <c r="M20" s="27"/>
      <c r="N20" s="35"/>
      <c r="O20" s="35"/>
      <c r="P20" s="35"/>
      <c r="Q20" s="35"/>
      <c r="R20" s="35"/>
      <c r="S20" s="26"/>
      <c r="T20" s="26"/>
      <c r="U20" s="26"/>
      <c r="V20" s="26"/>
      <c r="W20" s="26"/>
      <c r="X20" s="26"/>
      <c r="Y20" s="26"/>
    </row>
    <row r="21" spans="1:25" ht="15.75" customHeight="1">
      <c r="A21" s="26"/>
      <c r="B21" s="26" t="s">
        <v>10</v>
      </c>
      <c r="C21" s="34">
        <f>'Data Sheet'!B26</f>
        <v>1955.59</v>
      </c>
      <c r="D21" s="34">
        <f>'Data Sheet'!C26</f>
        <v>2346.17</v>
      </c>
      <c r="E21" s="34">
        <f>'Data Sheet'!D26</f>
        <v>2393.13</v>
      </c>
      <c r="F21" s="34">
        <f>'Data Sheet'!E26</f>
        <v>2633.56</v>
      </c>
      <c r="G21" s="34">
        <f>'Data Sheet'!F26</f>
        <v>2744.94</v>
      </c>
      <c r="H21" s="34">
        <f>'Data Sheet'!G26</f>
        <v>3122.2</v>
      </c>
      <c r="I21" s="34">
        <f>'Data Sheet'!H26</f>
        <v>3439.2</v>
      </c>
      <c r="J21" s="34">
        <f>'Data Sheet'!I26</f>
        <v>3786.37</v>
      </c>
      <c r="K21" s="34">
        <f>'Data Sheet'!J26</f>
        <v>4116.8599999999997</v>
      </c>
      <c r="L21" s="34">
        <f>'Data Sheet'!K26</f>
        <v>4811.09</v>
      </c>
      <c r="M21" s="27"/>
      <c r="N21" s="34"/>
      <c r="O21" s="34"/>
      <c r="P21" s="34"/>
      <c r="Q21" s="34"/>
      <c r="R21" s="34"/>
      <c r="S21" s="26"/>
      <c r="T21" s="26"/>
      <c r="U21" s="26"/>
      <c r="V21" s="26"/>
      <c r="W21" s="26"/>
      <c r="X21" s="26"/>
      <c r="Y21" s="26"/>
    </row>
    <row r="22" spans="1:25" ht="15.75" customHeight="1">
      <c r="A22" s="26"/>
      <c r="B22" s="35" t="s">
        <v>107</v>
      </c>
      <c r="C22" s="35">
        <f t="shared" ref="C22" si="16">C21/C6</f>
        <v>7.088658342392358E-2</v>
      </c>
      <c r="D22" s="35">
        <f t="shared" ref="D22:L22" si="17">D21/D6</f>
        <v>8.7412309935779337E-2</v>
      </c>
      <c r="E22" s="35">
        <f t="shared" si="17"/>
        <v>8.0088524302685385E-2</v>
      </c>
      <c r="F22" s="35">
        <f t="shared" si="17"/>
        <v>9.0387374954395486E-2</v>
      </c>
      <c r="G22" s="35">
        <f t="shared" si="17"/>
        <v>8.3934623131420028E-2</v>
      </c>
      <c r="H22" s="35">
        <f t="shared" si="17"/>
        <v>7.2921899855823813E-2</v>
      </c>
      <c r="I22" s="35">
        <f t="shared" si="17"/>
        <v>6.2407138714709078E-2</v>
      </c>
      <c r="J22" s="35">
        <f t="shared" si="17"/>
        <v>6.1618190073378036E-2</v>
      </c>
      <c r="K22" s="35">
        <f t="shared" si="17"/>
        <v>6.2873711938500484E-2</v>
      </c>
      <c r="L22" s="35">
        <f t="shared" si="17"/>
        <v>7.7065491948480669E-2</v>
      </c>
      <c r="M22" s="27"/>
      <c r="N22" s="35"/>
      <c r="O22" s="35"/>
      <c r="P22" s="35"/>
      <c r="Q22" s="35"/>
      <c r="R22" s="35"/>
      <c r="S22" s="26"/>
      <c r="T22" s="26"/>
      <c r="U22" s="26"/>
      <c r="V22" s="26"/>
      <c r="W22" s="26"/>
      <c r="X22" s="26"/>
      <c r="Y22" s="26"/>
    </row>
    <row r="23" spans="1:25" ht="15.75" customHeight="1">
      <c r="A23" s="26"/>
      <c r="B23" s="35"/>
      <c r="C23" s="35"/>
      <c r="D23" s="35"/>
      <c r="E23" s="35"/>
      <c r="F23" s="35"/>
      <c r="G23" s="35"/>
      <c r="H23" s="35"/>
      <c r="I23" s="35"/>
      <c r="J23" s="35"/>
      <c r="K23" s="35"/>
      <c r="L23" s="35"/>
      <c r="M23" s="27"/>
      <c r="N23" s="35"/>
      <c r="O23" s="35"/>
      <c r="P23" s="35"/>
      <c r="Q23" s="35"/>
      <c r="R23" s="35"/>
      <c r="S23" s="26"/>
      <c r="T23" s="26"/>
      <c r="U23" s="26"/>
      <c r="V23" s="26"/>
      <c r="W23" s="26"/>
      <c r="X23" s="26"/>
      <c r="Y23" s="26"/>
    </row>
    <row r="24" spans="1:25" ht="15.75" customHeight="1">
      <c r="A24" s="26"/>
      <c r="B24" s="39" t="s">
        <v>108</v>
      </c>
      <c r="C24" s="37">
        <f t="shared" ref="C24" si="18">C18-C21</f>
        <v>4137.0499999999984</v>
      </c>
      <c r="D24" s="37">
        <f t="shared" ref="D24:L24" si="19">D18-D21</f>
        <v>4118.0000000000009</v>
      </c>
      <c r="E24" s="37">
        <f t="shared" si="19"/>
        <v>4524.5700000000033</v>
      </c>
      <c r="F24" s="37">
        <f t="shared" si="19"/>
        <v>5462.18</v>
      </c>
      <c r="G24" s="37">
        <f t="shared" si="19"/>
        <v>4448.7899999999972</v>
      </c>
      <c r="H24" s="37">
        <f t="shared" si="19"/>
        <v>4723.5200000000032</v>
      </c>
      <c r="I24" s="37">
        <f t="shared" si="19"/>
        <v>5092.770000000005</v>
      </c>
      <c r="J24" s="37">
        <f t="shared" si="19"/>
        <v>7573.7800000000052</v>
      </c>
      <c r="K24" s="37">
        <f t="shared" si="19"/>
        <v>10427.979999999996</v>
      </c>
      <c r="L24" s="37">
        <f t="shared" si="19"/>
        <v>8881.2200000000012</v>
      </c>
      <c r="M24" s="27"/>
      <c r="N24" s="38"/>
      <c r="O24" s="38"/>
      <c r="P24" s="38"/>
      <c r="Q24" s="38"/>
      <c r="R24" s="38"/>
      <c r="S24" s="26"/>
      <c r="T24" s="26"/>
      <c r="U24" s="26"/>
      <c r="V24" s="26"/>
      <c r="W24" s="26"/>
      <c r="X24" s="26"/>
      <c r="Y24" s="26"/>
    </row>
    <row r="25" spans="1:25" ht="15.75" customHeight="1">
      <c r="A25" s="26"/>
      <c r="B25" s="35" t="s">
        <v>109</v>
      </c>
      <c r="C25" s="35">
        <f t="shared" ref="C25" si="20">C24/C6</f>
        <v>0.14996054385323249</v>
      </c>
      <c r="D25" s="35">
        <f t="shared" ref="D25:L25" si="21">D24/D6</f>
        <v>0.15342617641327755</v>
      </c>
      <c r="E25" s="35">
        <f t="shared" si="21"/>
        <v>0.1514193271590768</v>
      </c>
      <c r="F25" s="35">
        <f t="shared" si="21"/>
        <v>0.18746947543568401</v>
      </c>
      <c r="G25" s="35">
        <f t="shared" si="21"/>
        <v>0.13603485396432341</v>
      </c>
      <c r="H25" s="35">
        <f t="shared" si="21"/>
        <v>0.11032222548426787</v>
      </c>
      <c r="I25" s="35">
        <f t="shared" si="21"/>
        <v>9.2412538913732634E-2</v>
      </c>
      <c r="J25" s="35">
        <f t="shared" si="21"/>
        <v>0.12325330477844201</v>
      </c>
      <c r="K25" s="35">
        <f t="shared" si="21"/>
        <v>0.15925870945828716</v>
      </c>
      <c r="L25" s="35">
        <f t="shared" si="21"/>
        <v>0.14226206294263577</v>
      </c>
      <c r="M25" s="27"/>
      <c r="N25" s="35"/>
      <c r="O25" s="35"/>
      <c r="P25" s="35"/>
      <c r="Q25" s="35"/>
      <c r="R25" s="35"/>
      <c r="S25" s="26"/>
      <c r="T25" s="26"/>
      <c r="U25" s="26"/>
      <c r="V25" s="26"/>
      <c r="W25" s="26"/>
      <c r="X25" s="26"/>
      <c r="Y25" s="26"/>
    </row>
    <row r="26" spans="1:25" ht="15.75" customHeight="1">
      <c r="A26" s="26"/>
      <c r="B26" s="26"/>
      <c r="C26" s="26"/>
      <c r="D26" s="26"/>
      <c r="E26" s="26"/>
      <c r="F26" s="26"/>
      <c r="G26" s="26"/>
      <c r="H26" s="26"/>
      <c r="I26" s="26"/>
      <c r="J26" s="26"/>
      <c r="K26" s="26"/>
      <c r="L26" s="26"/>
      <c r="M26" s="27"/>
      <c r="N26" s="26"/>
      <c r="O26" s="26"/>
      <c r="P26" s="26"/>
      <c r="Q26" s="26"/>
      <c r="R26" s="26"/>
      <c r="S26" s="26"/>
      <c r="T26" s="26"/>
      <c r="U26" s="26"/>
      <c r="V26" s="26"/>
      <c r="W26" s="26"/>
      <c r="X26" s="26"/>
      <c r="Y26" s="26"/>
    </row>
    <row r="27" spans="1:25" ht="15.75" customHeight="1">
      <c r="A27" s="26"/>
      <c r="B27" s="26" t="s">
        <v>110</v>
      </c>
      <c r="C27" s="34">
        <f>'Data Sheet'!B25-'Data Sheet'!B24</f>
        <v>677.99999999999989</v>
      </c>
      <c r="D27" s="34">
        <f>'Data Sheet'!C25-'Data Sheet'!C24</f>
        <v>2416.3000000000002</v>
      </c>
      <c r="E27" s="34">
        <f>'Data Sheet'!D25-'Data Sheet'!D24</f>
        <v>3338.68</v>
      </c>
      <c r="F27" s="34">
        <f>'Data Sheet'!E25-'Data Sheet'!E24</f>
        <v>989.48</v>
      </c>
      <c r="G27" s="34">
        <f>'Data Sheet'!F25-'Data Sheet'!F24</f>
        <v>1502.13</v>
      </c>
      <c r="H27" s="34">
        <f>'Data Sheet'!G25-'Data Sheet'!G24</f>
        <v>1670.67</v>
      </c>
      <c r="I27" s="34">
        <f>'Data Sheet'!H25-'Data Sheet'!H24</f>
        <v>4735.88</v>
      </c>
      <c r="J27" s="34">
        <f>'Data Sheet'!I25-'Data Sheet'!I24</f>
        <v>2791.46</v>
      </c>
      <c r="K27" s="34">
        <f>'Data Sheet'!J25-'Data Sheet'!J24</f>
        <v>594.07999999999993</v>
      </c>
      <c r="L27" s="34">
        <f>'Data Sheet'!K25-'Data Sheet'!K24</f>
        <v>3011.56</v>
      </c>
      <c r="M27" s="27"/>
      <c r="N27" s="34"/>
      <c r="O27" s="34"/>
      <c r="P27" s="34"/>
      <c r="Q27" s="34"/>
      <c r="R27" s="34"/>
      <c r="S27" s="26"/>
      <c r="T27" s="26"/>
      <c r="U27" s="26"/>
      <c r="V27" s="26"/>
      <c r="W27" s="26"/>
      <c r="X27" s="26"/>
      <c r="Y27" s="26"/>
    </row>
    <row r="28" spans="1:25" ht="15.75" customHeight="1">
      <c r="A28" s="26"/>
      <c r="B28" s="35" t="s">
        <v>111</v>
      </c>
      <c r="C28" s="35">
        <f t="shared" ref="C28" si="22">C27/C6</f>
        <v>2.4576267807372803E-2</v>
      </c>
      <c r="D28" s="35">
        <f t="shared" ref="D28:L28" si="23">D27/D6</f>
        <v>9.0025174858524154E-2</v>
      </c>
      <c r="E28" s="35">
        <f t="shared" si="23"/>
        <v>0.11173231471708164</v>
      </c>
      <c r="F28" s="35">
        <f t="shared" si="23"/>
        <v>3.3960304595253288E-2</v>
      </c>
      <c r="G28" s="35">
        <f t="shared" si="23"/>
        <v>4.5932047856929469E-2</v>
      </c>
      <c r="H28" s="35">
        <f t="shared" si="23"/>
        <v>3.9020059711783094E-2</v>
      </c>
      <c r="I28" s="35">
        <f t="shared" si="23"/>
        <v>8.5936473626487681E-2</v>
      </c>
      <c r="J28" s="35">
        <f t="shared" si="23"/>
        <v>4.5427338813225297E-2</v>
      </c>
      <c r="K28" s="35">
        <f t="shared" si="23"/>
        <v>9.0729378187318407E-3</v>
      </c>
      <c r="L28" s="35">
        <f t="shared" si="23"/>
        <v>4.8240077182585737E-2</v>
      </c>
      <c r="M28" s="27"/>
      <c r="N28" s="35"/>
      <c r="O28" s="35"/>
      <c r="P28" s="35"/>
      <c r="Q28" s="35"/>
      <c r="R28" s="35"/>
      <c r="S28" s="26"/>
      <c r="T28" s="26"/>
      <c r="U28" s="26"/>
      <c r="V28" s="26"/>
      <c r="W28" s="26"/>
      <c r="X28" s="26"/>
      <c r="Y28" s="26"/>
    </row>
    <row r="29" spans="1:25" ht="15.75" customHeight="1">
      <c r="A29" s="26"/>
      <c r="B29" s="26"/>
      <c r="C29" s="26"/>
      <c r="D29" s="26"/>
      <c r="E29" s="26"/>
      <c r="F29" s="26"/>
      <c r="G29" s="26"/>
      <c r="H29" s="26"/>
      <c r="I29" s="26"/>
      <c r="J29" s="26"/>
      <c r="K29" s="26"/>
      <c r="L29" s="26"/>
      <c r="M29" s="27"/>
      <c r="N29" s="26"/>
      <c r="O29" s="26"/>
      <c r="P29" s="26"/>
      <c r="Q29" s="26"/>
      <c r="R29" s="26"/>
      <c r="S29" s="26"/>
      <c r="T29" s="26"/>
      <c r="U29" s="26"/>
      <c r="V29" s="26"/>
      <c r="W29" s="26"/>
      <c r="X29" s="26"/>
      <c r="Y29" s="26"/>
    </row>
    <row r="30" spans="1:25" ht="15.75" customHeight="1">
      <c r="A30" s="26"/>
      <c r="B30" s="26" t="s">
        <v>11</v>
      </c>
      <c r="C30" s="34">
        <f>'Data Sheet'!B27</f>
        <v>3364.96</v>
      </c>
      <c r="D30" s="34">
        <f>'Data Sheet'!C27</f>
        <v>3761.48</v>
      </c>
      <c r="E30" s="34">
        <f>'Data Sheet'!D27</f>
        <v>4170</v>
      </c>
      <c r="F30" s="34">
        <f>'Data Sheet'!E27</f>
        <v>4493.7299999999996</v>
      </c>
      <c r="G30" s="34">
        <f>'Data Sheet'!F27</f>
        <v>4010.39</v>
      </c>
      <c r="H30" s="34">
        <f>'Data Sheet'!G27</f>
        <v>3859.02</v>
      </c>
      <c r="I30" s="34">
        <f>'Data Sheet'!H27</f>
        <v>4371.6499999999996</v>
      </c>
      <c r="J30" s="34">
        <f>'Data Sheet'!I27</f>
        <v>4633.22</v>
      </c>
      <c r="K30" s="34">
        <f>'Data Sheet'!J27</f>
        <v>4702.4399999999996</v>
      </c>
      <c r="L30" s="34">
        <f>'Data Sheet'!K27</f>
        <v>5256.79</v>
      </c>
      <c r="M30" s="27"/>
      <c r="N30" s="34"/>
      <c r="O30" s="34"/>
      <c r="P30" s="34"/>
      <c r="Q30" s="34"/>
      <c r="R30" s="34"/>
      <c r="S30" s="26"/>
      <c r="T30" s="26"/>
      <c r="U30" s="26"/>
      <c r="V30" s="26"/>
      <c r="W30" s="26"/>
      <c r="X30" s="26"/>
      <c r="Y30" s="26"/>
    </row>
    <row r="31" spans="1:25" ht="15.75" customHeight="1">
      <c r="A31" s="26"/>
      <c r="B31" s="35" t="s">
        <v>112</v>
      </c>
      <c r="C31" s="35">
        <f t="shared" ref="C31" si="24">C30/C6</f>
        <v>0.12197368454439116</v>
      </c>
      <c r="D31" s="35">
        <f t="shared" ref="D31:L31" si="25">D30/D6</f>
        <v>0.14014315057188323</v>
      </c>
      <c r="E31" s="35">
        <f t="shared" si="25"/>
        <v>0.139553282246346</v>
      </c>
      <c r="F31" s="35">
        <f t="shared" si="25"/>
        <v>0.15423094915392685</v>
      </c>
      <c r="G31" s="35">
        <f t="shared" si="25"/>
        <v>0.12262948307067388</v>
      </c>
      <c r="H31" s="35">
        <f t="shared" si="25"/>
        <v>9.013101978784871E-2</v>
      </c>
      <c r="I31" s="35">
        <f t="shared" si="25"/>
        <v>7.9327217946661407E-2</v>
      </c>
      <c r="J31" s="35">
        <f t="shared" si="25"/>
        <v>7.5399559634102484E-2</v>
      </c>
      <c r="K31" s="35">
        <f t="shared" si="25"/>
        <v>7.1816835638832066E-2</v>
      </c>
      <c r="L31" s="35">
        <f t="shared" si="25"/>
        <v>8.4204849092378992E-2</v>
      </c>
      <c r="M31" s="27"/>
      <c r="N31" s="35"/>
      <c r="O31" s="35"/>
      <c r="P31" s="35"/>
      <c r="Q31" s="35"/>
      <c r="R31" s="35"/>
      <c r="S31" s="26"/>
      <c r="T31" s="26"/>
      <c r="U31" s="26"/>
      <c r="V31" s="26"/>
      <c r="W31" s="26"/>
      <c r="X31" s="26"/>
      <c r="Y31" s="26"/>
    </row>
    <row r="32" spans="1:25" ht="15.75" customHeight="1">
      <c r="A32" s="26"/>
      <c r="B32" s="26"/>
      <c r="C32" s="26"/>
      <c r="D32" s="26"/>
      <c r="E32" s="26"/>
      <c r="F32" s="26"/>
      <c r="G32" s="26"/>
      <c r="H32" s="26"/>
      <c r="I32" s="26"/>
      <c r="J32" s="26"/>
      <c r="K32" s="26"/>
      <c r="L32" s="26"/>
      <c r="M32" s="27"/>
      <c r="N32" s="26"/>
      <c r="O32" s="26"/>
      <c r="P32" s="26"/>
      <c r="Q32" s="26"/>
      <c r="R32" s="26"/>
      <c r="S32" s="26"/>
      <c r="T32" s="26"/>
      <c r="U32" s="26"/>
      <c r="V32" s="26"/>
      <c r="W32" s="26"/>
      <c r="X32" s="26"/>
      <c r="Y32" s="26"/>
    </row>
    <row r="33" spans="1:25" ht="15.75" customHeight="1">
      <c r="A33" s="26"/>
      <c r="B33" s="39" t="s">
        <v>113</v>
      </c>
      <c r="C33" s="37">
        <f t="shared" ref="C33" si="26">C24+C27-C30</f>
        <v>1450.0899999999983</v>
      </c>
      <c r="D33" s="37">
        <f t="shared" ref="D33:L33" si="27">D24+D27-D30</f>
        <v>2772.8200000000011</v>
      </c>
      <c r="E33" s="37">
        <f t="shared" si="27"/>
        <v>3693.2500000000036</v>
      </c>
      <c r="F33" s="37">
        <f t="shared" si="27"/>
        <v>1957.9300000000003</v>
      </c>
      <c r="G33" s="37">
        <f t="shared" si="27"/>
        <v>1940.5299999999975</v>
      </c>
      <c r="H33" s="37">
        <f t="shared" si="27"/>
        <v>2535.1700000000033</v>
      </c>
      <c r="I33" s="37">
        <f t="shared" si="27"/>
        <v>5457.0000000000055</v>
      </c>
      <c r="J33" s="37">
        <f t="shared" si="27"/>
        <v>5732.020000000005</v>
      </c>
      <c r="K33" s="37">
        <f t="shared" si="27"/>
        <v>6319.6199999999963</v>
      </c>
      <c r="L33" s="37">
        <f t="shared" si="27"/>
        <v>6635.9900000000007</v>
      </c>
      <c r="M33" s="27"/>
      <c r="N33" s="38"/>
      <c r="O33" s="38"/>
      <c r="P33" s="38"/>
      <c r="Q33" s="38"/>
      <c r="R33" s="38"/>
      <c r="S33" s="26"/>
      <c r="T33" s="26"/>
      <c r="U33" s="26"/>
      <c r="V33" s="26"/>
      <c r="W33" s="26"/>
      <c r="X33" s="26"/>
      <c r="Y33" s="26"/>
    </row>
    <row r="34" spans="1:25" ht="15.75" customHeight="1">
      <c r="A34" s="26"/>
      <c r="B34" s="35" t="s">
        <v>114</v>
      </c>
      <c r="C34" s="35">
        <f t="shared" ref="C34" si="28">C33/C6</f>
        <v>5.2563127116214151E-2</v>
      </c>
      <c r="D34" s="35">
        <f t="shared" ref="D34:L34" si="29">D33/D6</f>
        <v>0.10330820069991849</v>
      </c>
      <c r="E34" s="35">
        <f t="shared" si="29"/>
        <v>0.12359835962981244</v>
      </c>
      <c r="F34" s="35">
        <f t="shared" si="29"/>
        <v>6.7198830877010424E-2</v>
      </c>
      <c r="G34" s="35">
        <f t="shared" si="29"/>
        <v>5.9337418750578991E-2</v>
      </c>
      <c r="H34" s="35">
        <f t="shared" si="29"/>
        <v>5.9211265408202263E-2</v>
      </c>
      <c r="I34" s="35">
        <f t="shared" si="29"/>
        <v>9.9021794593558907E-2</v>
      </c>
      <c r="J34" s="35">
        <f t="shared" si="29"/>
        <v>9.328108395756482E-2</v>
      </c>
      <c r="K34" s="35">
        <f t="shared" si="29"/>
        <v>9.6514811638186926E-2</v>
      </c>
      <c r="L34" s="35">
        <f t="shared" si="29"/>
        <v>0.10629729103284249</v>
      </c>
      <c r="M34" s="27"/>
      <c r="N34" s="35"/>
      <c r="O34" s="35"/>
      <c r="P34" s="35"/>
      <c r="Q34" s="35"/>
      <c r="R34" s="35"/>
      <c r="S34" s="26"/>
      <c r="T34" s="26"/>
      <c r="U34" s="26"/>
      <c r="V34" s="26"/>
      <c r="W34" s="26"/>
      <c r="X34" s="26"/>
      <c r="Y34" s="26"/>
    </row>
    <row r="35" spans="1:25" ht="15.75" customHeight="1">
      <c r="A35" s="26"/>
      <c r="B35" s="26"/>
      <c r="C35" s="26"/>
      <c r="D35" s="26"/>
      <c r="E35" s="26"/>
      <c r="F35" s="26"/>
      <c r="G35" s="26"/>
      <c r="H35" s="26"/>
      <c r="I35" s="26"/>
      <c r="J35" s="26"/>
      <c r="K35" s="26"/>
      <c r="L35" s="26"/>
      <c r="M35" s="27"/>
      <c r="N35" s="26"/>
      <c r="O35" s="26"/>
      <c r="P35" s="26"/>
      <c r="Q35" s="26"/>
      <c r="R35" s="26"/>
      <c r="S35" s="26"/>
      <c r="T35" s="26"/>
      <c r="U35" s="26"/>
      <c r="V35" s="26"/>
      <c r="W35" s="26"/>
      <c r="X35" s="26"/>
      <c r="Y35" s="26"/>
    </row>
    <row r="36" spans="1:25" ht="15.75" customHeight="1">
      <c r="A36" s="26"/>
      <c r="B36" s="26" t="s">
        <v>13</v>
      </c>
      <c r="C36" s="34">
        <f>'Data Sheet'!B29</f>
        <v>350.46</v>
      </c>
      <c r="D36" s="34">
        <f>'Data Sheet'!C29</f>
        <v>161.97</v>
      </c>
      <c r="E36" s="34">
        <f>'Data Sheet'!D29</f>
        <v>1087.5899999999999</v>
      </c>
      <c r="F36" s="34">
        <f>'Data Sheet'!E29</f>
        <v>641.49</v>
      </c>
      <c r="G36" s="34">
        <f>'Data Sheet'!F29</f>
        <v>501.88</v>
      </c>
      <c r="H36" s="34">
        <f>'Data Sheet'!G29</f>
        <v>379.56</v>
      </c>
      <c r="I36" s="34">
        <f>'Data Sheet'!H29</f>
        <v>1647.33</v>
      </c>
      <c r="J36" s="34">
        <f>'Data Sheet'!I29</f>
        <v>1451.92</v>
      </c>
      <c r="K36" s="34">
        <f>'Data Sheet'!J29</f>
        <v>1544.25</v>
      </c>
      <c r="L36" s="34">
        <f>'Data Sheet'!K29</f>
        <v>1518.43</v>
      </c>
      <c r="M36" s="27"/>
      <c r="N36" s="34"/>
      <c r="O36" s="34"/>
      <c r="P36" s="34"/>
      <c r="Q36" s="34"/>
      <c r="R36" s="34"/>
      <c r="S36" s="26"/>
      <c r="T36" s="26"/>
      <c r="U36" s="26"/>
      <c r="V36" s="26"/>
      <c r="W36" s="26"/>
      <c r="X36" s="26"/>
      <c r="Y36" s="26"/>
    </row>
    <row r="37" spans="1:25" ht="15.75" customHeight="1">
      <c r="A37" s="26"/>
      <c r="B37" s="35" t="s">
        <v>115</v>
      </c>
      <c r="C37" s="35">
        <f>C36/C33</f>
        <v>0.24168155080029541</v>
      </c>
      <c r="D37" s="35">
        <f t="shared" ref="D37:L37" si="30">D36/D33</f>
        <v>5.841345633687002E-2</v>
      </c>
      <c r="E37" s="35">
        <f t="shared" si="30"/>
        <v>0.29448047112976344</v>
      </c>
      <c r="F37" s="35">
        <f t="shared" si="30"/>
        <v>0.32763684094936996</v>
      </c>
      <c r="G37" s="35">
        <f t="shared" si="30"/>
        <v>0.2586303741761275</v>
      </c>
      <c r="H37" s="35">
        <f t="shared" si="30"/>
        <v>0.14971777040592921</v>
      </c>
      <c r="I37" s="35">
        <f t="shared" si="30"/>
        <v>0.30187465640461758</v>
      </c>
      <c r="J37" s="35">
        <f t="shared" si="30"/>
        <v>0.2532998838105936</v>
      </c>
      <c r="K37" s="35">
        <f t="shared" si="30"/>
        <v>0.24435804684458889</v>
      </c>
      <c r="L37" s="35">
        <f t="shared" si="30"/>
        <v>0.22881740328119843</v>
      </c>
      <c r="M37" s="27"/>
      <c r="N37" s="35"/>
      <c r="O37" s="35"/>
      <c r="P37" s="35"/>
      <c r="Q37" s="35"/>
      <c r="R37" s="35"/>
      <c r="S37" s="26"/>
      <c r="T37" s="26"/>
      <c r="U37" s="26"/>
      <c r="V37" s="26"/>
      <c r="W37" s="26"/>
      <c r="X37" s="26"/>
      <c r="Y37" s="26"/>
    </row>
    <row r="38" spans="1:25" ht="15.75" customHeight="1">
      <c r="A38" s="26"/>
      <c r="B38" s="26"/>
      <c r="C38" s="26"/>
      <c r="D38" s="26"/>
      <c r="E38" s="26"/>
      <c r="F38" s="26"/>
      <c r="G38" s="26"/>
      <c r="H38" s="26"/>
      <c r="I38" s="26"/>
      <c r="J38" s="26"/>
      <c r="K38" s="26"/>
      <c r="L38" s="26"/>
      <c r="M38" s="27"/>
      <c r="N38" s="26"/>
      <c r="O38" s="26"/>
      <c r="P38" s="26"/>
      <c r="Q38" s="26"/>
      <c r="R38" s="26"/>
      <c r="S38" s="26"/>
      <c r="T38" s="26"/>
      <c r="U38" s="26"/>
      <c r="V38" s="26"/>
      <c r="W38" s="26"/>
      <c r="X38" s="26"/>
      <c r="Y38" s="26"/>
    </row>
    <row r="39" spans="1:25" ht="15.75" customHeight="1">
      <c r="A39" s="26"/>
      <c r="B39" s="39" t="s">
        <v>116</v>
      </c>
      <c r="C39" s="37">
        <f t="shared" ref="C39" si="31">C33-C36</f>
        <v>1099.6299999999983</v>
      </c>
      <c r="D39" s="37">
        <f t="shared" ref="D39:L39" si="32">D33-D36</f>
        <v>2610.8500000000013</v>
      </c>
      <c r="E39" s="37">
        <f t="shared" si="32"/>
        <v>2605.6600000000035</v>
      </c>
      <c r="F39" s="37">
        <f t="shared" si="32"/>
        <v>1316.4400000000003</v>
      </c>
      <c r="G39" s="37">
        <f t="shared" si="32"/>
        <v>1438.6499999999974</v>
      </c>
      <c r="H39" s="37">
        <f t="shared" si="32"/>
        <v>2155.6100000000033</v>
      </c>
      <c r="I39" s="37">
        <f t="shared" si="32"/>
        <v>3809.6700000000055</v>
      </c>
      <c r="J39" s="37">
        <f t="shared" si="32"/>
        <v>4280.1000000000049</v>
      </c>
      <c r="K39" s="37">
        <f t="shared" si="32"/>
        <v>4775.3699999999963</v>
      </c>
      <c r="L39" s="37">
        <f t="shared" si="32"/>
        <v>5117.5600000000004</v>
      </c>
      <c r="M39" s="27"/>
      <c r="N39" s="38"/>
      <c r="O39" s="38"/>
      <c r="P39" s="38"/>
      <c r="Q39" s="38"/>
      <c r="R39" s="38"/>
      <c r="S39" s="26"/>
      <c r="T39" s="26"/>
      <c r="U39" s="26"/>
      <c r="V39" s="26"/>
      <c r="W39" s="26"/>
      <c r="X39" s="26"/>
      <c r="Y39" s="26"/>
    </row>
    <row r="40" spans="1:25" ht="15.75" customHeight="1">
      <c r="A40" s="26"/>
      <c r="B40" s="35" t="s">
        <v>8856</v>
      </c>
      <c r="C40" s="35">
        <f t="shared" ref="C40" si="33">C39/C6</f>
        <v>3.9859589039854454E-2</v>
      </c>
      <c r="D40" s="35">
        <f t="shared" ref="D40:L40" si="34">D39/D6</f>
        <v>9.727361162909319E-2</v>
      </c>
      <c r="E40" s="35">
        <f t="shared" si="34"/>
        <v>8.720105645515934E-2</v>
      </c>
      <c r="F40" s="35">
        <f t="shared" si="34"/>
        <v>4.5182018212975752E-2</v>
      </c>
      <c r="G40" s="35">
        <f t="shared" si="34"/>
        <v>4.3990959936471181E-2</v>
      </c>
      <c r="H40" s="35">
        <f t="shared" si="34"/>
        <v>5.0346286768372502E-2</v>
      </c>
      <c r="I40" s="35">
        <f t="shared" si="34"/>
        <v>6.9129624374059687E-2</v>
      </c>
      <c r="J40" s="35">
        <f t="shared" si="34"/>
        <v>6.9652996229387421E-2</v>
      </c>
      <c r="K40" s="35">
        <f t="shared" si="34"/>
        <v>7.2930640774706165E-2</v>
      </c>
      <c r="L40" s="35">
        <f t="shared" si="34"/>
        <v>8.1974620922881658E-2</v>
      </c>
      <c r="M40" s="27"/>
      <c r="N40" s="35"/>
      <c r="O40" s="35"/>
      <c r="P40" s="35"/>
      <c r="Q40" s="35"/>
      <c r="R40" s="35"/>
      <c r="S40" s="26"/>
      <c r="T40" s="26"/>
      <c r="U40" s="26"/>
      <c r="V40" s="26"/>
      <c r="W40" s="26"/>
      <c r="X40" s="26"/>
      <c r="Y40" s="26"/>
    </row>
    <row r="41" spans="1:25" ht="15.75" customHeight="1">
      <c r="A41" s="26"/>
      <c r="B41" s="26"/>
      <c r="C41" s="26"/>
      <c r="D41" s="26"/>
      <c r="E41" s="26"/>
      <c r="F41" s="26"/>
      <c r="G41" s="26"/>
      <c r="H41" s="26"/>
      <c r="I41" s="26"/>
      <c r="J41" s="26"/>
      <c r="K41" s="26"/>
      <c r="L41" s="26"/>
      <c r="M41" s="27"/>
      <c r="N41" s="26"/>
      <c r="O41" s="26"/>
      <c r="P41" s="26"/>
      <c r="Q41" s="26"/>
      <c r="R41" s="26"/>
      <c r="S41" s="26"/>
      <c r="T41" s="26"/>
      <c r="U41" s="26"/>
      <c r="V41" s="26"/>
      <c r="W41" s="26"/>
      <c r="X41" s="26"/>
      <c r="Y41" s="26"/>
    </row>
    <row r="42" spans="1:25" ht="15.75" customHeight="1">
      <c r="A42" s="26"/>
      <c r="B42" s="26" t="s">
        <v>74</v>
      </c>
      <c r="C42" s="40">
        <f>'Data Sheet'!B93</f>
        <v>270.48</v>
      </c>
      <c r="D42" s="40">
        <f>'Data Sheet'!C93</f>
        <v>270.48</v>
      </c>
      <c r="E42" s="40">
        <f>'Data Sheet'!D93</f>
        <v>270.48</v>
      </c>
      <c r="F42" s="40">
        <f>'Data Sheet'!E93</f>
        <v>270.48</v>
      </c>
      <c r="G42" s="40">
        <f>'Data Sheet'!F93</f>
        <v>319.52999999999997</v>
      </c>
      <c r="H42" s="40">
        <f>'Data Sheet'!G93</f>
        <v>319.52999999999997</v>
      </c>
      <c r="I42" s="40">
        <f>'Data Sheet'!H93</f>
        <v>319.52999999999997</v>
      </c>
      <c r="J42" s="40">
        <f>'Data Sheet'!I93</f>
        <v>319.52999999999997</v>
      </c>
      <c r="K42" s="40">
        <f>'Data Sheet'!J93</f>
        <v>319.52999999999997</v>
      </c>
      <c r="L42" s="40">
        <f>'Data Sheet'!K93</f>
        <v>319.52999999999997</v>
      </c>
      <c r="M42" s="27"/>
      <c r="N42" s="41"/>
      <c r="O42" s="41"/>
      <c r="P42" s="41"/>
      <c r="Q42" s="41"/>
      <c r="R42" s="41"/>
      <c r="S42" s="26"/>
      <c r="T42" s="26"/>
      <c r="U42" s="26"/>
      <c r="V42" s="26"/>
      <c r="W42" s="26"/>
      <c r="X42" s="26"/>
      <c r="Y42" s="26"/>
    </row>
    <row r="43" spans="1:25" ht="15.75" customHeight="1">
      <c r="A43" s="26"/>
      <c r="B43" s="26"/>
      <c r="C43" s="26"/>
      <c r="D43" s="26"/>
      <c r="E43" s="26"/>
      <c r="F43" s="26"/>
      <c r="G43" s="26"/>
      <c r="H43" s="26"/>
      <c r="I43" s="26"/>
      <c r="J43" s="26"/>
      <c r="K43" s="26"/>
      <c r="L43" s="26"/>
      <c r="M43" s="27"/>
      <c r="N43" s="26"/>
      <c r="O43" s="26"/>
      <c r="P43" s="26"/>
      <c r="Q43" s="26"/>
      <c r="R43" s="26"/>
      <c r="S43" s="26"/>
      <c r="T43" s="26"/>
      <c r="U43" s="26"/>
      <c r="V43" s="26"/>
      <c r="W43" s="26"/>
      <c r="X43" s="26"/>
      <c r="Y43" s="26"/>
    </row>
    <row r="44" spans="1:25" ht="15.75" customHeight="1">
      <c r="A44" s="26"/>
      <c r="B44" s="42" t="s">
        <v>117</v>
      </c>
      <c r="C44" s="43">
        <f>'Data Sheet'!B90</f>
        <v>90.35</v>
      </c>
      <c r="D44" s="43">
        <f>'Data Sheet'!C90</f>
        <v>79</v>
      </c>
      <c r="E44" s="43">
        <f>'Data Sheet'!D90</f>
        <v>73.8</v>
      </c>
      <c r="F44" s="43">
        <f>'Data Sheet'!E90</f>
        <v>32.85</v>
      </c>
      <c r="G44" s="43">
        <f>'Data Sheet'!F90</f>
        <v>103.25</v>
      </c>
      <c r="H44" s="43">
        <f>'Data Sheet'!G90</f>
        <v>238.65</v>
      </c>
      <c r="I44" s="43">
        <f>'Data Sheet'!H90</f>
        <v>190.25</v>
      </c>
      <c r="J44" s="43">
        <f>'Data Sheet'!I90</f>
        <v>394.2</v>
      </c>
      <c r="K44" s="43">
        <f>'Data Sheet'!J90</f>
        <v>375.4</v>
      </c>
      <c r="L44" s="43">
        <f>'Data Sheet'!K90</f>
        <v>378.75</v>
      </c>
      <c r="M44" s="27"/>
      <c r="N44" s="44"/>
      <c r="O44" s="44"/>
      <c r="P44" s="44"/>
      <c r="Q44" s="44"/>
      <c r="R44" s="44"/>
      <c r="S44" s="26"/>
      <c r="T44" s="26"/>
      <c r="U44" s="26"/>
      <c r="V44" s="26"/>
      <c r="W44" s="26"/>
      <c r="X44" s="26"/>
      <c r="Y44" s="26"/>
    </row>
    <row r="45" spans="1:25" ht="15.75" customHeight="1">
      <c r="A45" s="26"/>
      <c r="B45" s="45" t="s">
        <v>118</v>
      </c>
      <c r="C45" s="45">
        <v>0</v>
      </c>
      <c r="D45" s="45">
        <f>D44/C44-1</f>
        <v>-0.12562257885998884</v>
      </c>
      <c r="E45" s="45">
        <f t="shared" ref="E45:L45" si="35">E44/D44-1</f>
        <v>-6.58227848101266E-2</v>
      </c>
      <c r="F45" s="45">
        <f t="shared" si="35"/>
        <v>-0.55487804878048774</v>
      </c>
      <c r="G45" s="45">
        <f t="shared" si="35"/>
        <v>2.1430745814307457</v>
      </c>
      <c r="H45" s="45">
        <f t="shared" si="35"/>
        <v>1.3113801452784504</v>
      </c>
      <c r="I45" s="45">
        <f t="shared" si="35"/>
        <v>-0.20280745862141214</v>
      </c>
      <c r="J45" s="45">
        <f t="shared" si="35"/>
        <v>1.0720105124835744</v>
      </c>
      <c r="K45" s="45">
        <f t="shared" si="35"/>
        <v>-4.7691527143581935E-2</v>
      </c>
      <c r="L45" s="45">
        <f t="shared" si="35"/>
        <v>8.9238145977623695E-3</v>
      </c>
      <c r="M45" s="27"/>
      <c r="N45" s="46"/>
      <c r="O45" s="46"/>
      <c r="P45" s="46"/>
      <c r="Q45" s="46"/>
      <c r="R45" s="46"/>
      <c r="S45" s="26"/>
      <c r="T45" s="26"/>
      <c r="U45" s="26"/>
      <c r="V45" s="26"/>
      <c r="W45" s="26"/>
      <c r="X45" s="26"/>
      <c r="Y45" s="26"/>
    </row>
    <row r="46" spans="1:25" ht="15.75" customHeight="1">
      <c r="A46" s="26"/>
      <c r="B46" s="26"/>
      <c r="C46" s="26"/>
      <c r="D46" s="26"/>
      <c r="E46" s="26"/>
      <c r="F46" s="26"/>
      <c r="G46" s="26"/>
      <c r="H46" s="26"/>
      <c r="I46" s="26"/>
      <c r="J46" s="26"/>
      <c r="K46" s="26"/>
      <c r="L46" s="26"/>
      <c r="M46" s="27"/>
      <c r="N46" s="26"/>
      <c r="O46" s="26"/>
      <c r="P46" s="26"/>
      <c r="Q46" s="26"/>
      <c r="R46" s="26"/>
      <c r="S46" s="26"/>
      <c r="T46" s="26"/>
      <c r="U46" s="26"/>
      <c r="V46" s="26"/>
      <c r="W46" s="26"/>
      <c r="X46" s="26"/>
      <c r="Y46" s="26"/>
    </row>
    <row r="47" spans="1:25" ht="15.75" customHeight="1">
      <c r="A47" s="26"/>
      <c r="B47" s="26" t="s">
        <v>119</v>
      </c>
      <c r="C47" s="34">
        <f>IFERROR(C39/C42,0)</f>
        <v>4.0654761904761836</v>
      </c>
      <c r="D47" s="34">
        <f t="shared" ref="D47:L47" si="36">IFERROR(D39/D42,0)</f>
        <v>9.6526545400769042</v>
      </c>
      <c r="E47" s="34">
        <f t="shared" si="36"/>
        <v>9.6334664300502926</v>
      </c>
      <c r="F47" s="34">
        <f t="shared" si="36"/>
        <v>4.867051168293405</v>
      </c>
      <c r="G47" s="34">
        <f t="shared" si="36"/>
        <v>4.5023941413951665</v>
      </c>
      <c r="H47" s="34">
        <f t="shared" si="36"/>
        <v>6.7461897161455999</v>
      </c>
      <c r="I47" s="34">
        <f t="shared" si="36"/>
        <v>11.922730260069496</v>
      </c>
      <c r="J47" s="34">
        <f t="shared" si="36"/>
        <v>13.394986386254828</v>
      </c>
      <c r="K47" s="34">
        <f t="shared" si="36"/>
        <v>14.944981691859908</v>
      </c>
      <c r="L47" s="34">
        <f t="shared" si="36"/>
        <v>16.015898350702596</v>
      </c>
      <c r="M47" s="27"/>
      <c r="N47" s="34"/>
      <c r="O47" s="34"/>
      <c r="P47" s="34"/>
      <c r="Q47" s="34"/>
      <c r="R47" s="34"/>
      <c r="S47" s="26"/>
      <c r="T47" s="26"/>
      <c r="U47" s="26"/>
      <c r="V47" s="26"/>
      <c r="W47" s="26"/>
      <c r="X47" s="26"/>
      <c r="Y47" s="26"/>
    </row>
    <row r="48" spans="1:25" ht="15.75" customHeight="1">
      <c r="A48" s="26"/>
      <c r="B48" s="35" t="s">
        <v>120</v>
      </c>
      <c r="C48" s="35">
        <v>0</v>
      </c>
      <c r="D48" s="35">
        <f>D47/C47-1</f>
        <v>1.374298627720238</v>
      </c>
      <c r="E48" s="35">
        <f t="shared" ref="E48:L48" si="37">E47/D47-1</f>
        <v>-1.9878583603033517E-3</v>
      </c>
      <c r="F48" s="35">
        <f t="shared" si="37"/>
        <v>-0.49477675521748865</v>
      </c>
      <c r="G48" s="35">
        <f t="shared" si="37"/>
        <v>-7.4923606571841939E-2</v>
      </c>
      <c r="H48" s="35">
        <f t="shared" si="37"/>
        <v>0.49835609773051637</v>
      </c>
      <c r="I48" s="35">
        <f t="shared" si="37"/>
        <v>0.76732804171441016</v>
      </c>
      <c r="J48" s="35">
        <f t="shared" si="37"/>
        <v>0.1234831363346427</v>
      </c>
      <c r="K48" s="35">
        <f t="shared" si="37"/>
        <v>0.11571458610779906</v>
      </c>
      <c r="L48" s="35">
        <f t="shared" si="37"/>
        <v>7.1657274724262976E-2</v>
      </c>
      <c r="M48" s="27"/>
      <c r="N48" s="35"/>
      <c r="O48" s="35"/>
      <c r="P48" s="35"/>
      <c r="Q48" s="35"/>
      <c r="R48" s="35"/>
      <c r="S48" s="26"/>
      <c r="T48" s="26"/>
      <c r="U48" s="26"/>
      <c r="V48" s="26"/>
      <c r="W48" s="26"/>
      <c r="X48" s="26"/>
      <c r="Y48" s="26"/>
    </row>
    <row r="49" spans="1:25" ht="15.75" customHeight="1">
      <c r="A49" s="26"/>
      <c r="B49" s="26"/>
      <c r="C49" s="26"/>
      <c r="D49" s="26"/>
      <c r="E49" s="26"/>
      <c r="F49" s="26"/>
      <c r="G49" s="26"/>
      <c r="H49" s="26"/>
      <c r="I49" s="26"/>
      <c r="J49" s="26"/>
      <c r="K49" s="26"/>
      <c r="L49" s="26"/>
      <c r="M49" s="27"/>
      <c r="N49" s="26"/>
      <c r="O49" s="26"/>
      <c r="P49" s="26"/>
      <c r="Q49" s="26"/>
      <c r="R49" s="26"/>
      <c r="S49" s="26"/>
      <c r="T49" s="26"/>
      <c r="U49" s="26"/>
      <c r="V49" s="26"/>
      <c r="W49" s="26"/>
      <c r="X49" s="26"/>
      <c r="Y49" s="26"/>
    </row>
    <row r="50" spans="1:25" ht="15.75" customHeight="1">
      <c r="A50" s="26"/>
      <c r="B50" s="26" t="s">
        <v>184</v>
      </c>
      <c r="C50" s="26">
        <f>'Data Sheet'!B31</f>
        <v>351.65</v>
      </c>
      <c r="D50" s="26">
        <f>'Data Sheet'!C31</f>
        <v>351.65</v>
      </c>
      <c r="E50" s="26">
        <f>'Data Sheet'!D31</f>
        <v>351.65</v>
      </c>
      <c r="F50" s="26">
        <f>'Data Sheet'!E31</f>
        <v>419.28</v>
      </c>
      <c r="G50" s="26">
        <f>'Data Sheet'!F31</f>
        <v>495.32</v>
      </c>
      <c r="H50" s="26">
        <f>'Data Sheet'!G31</f>
        <v>559.23</v>
      </c>
      <c r="I50" s="26">
        <f>'Data Sheet'!H31</f>
        <v>639.12</v>
      </c>
      <c r="J50" s="26">
        <f>'Data Sheet'!I31</f>
        <v>639.12</v>
      </c>
      <c r="K50" s="26">
        <f>'Data Sheet'!J31</f>
        <v>719.01</v>
      </c>
      <c r="L50" s="26">
        <f>'Data Sheet'!K31</f>
        <v>798.9</v>
      </c>
      <c r="M50" s="27"/>
      <c r="N50" s="26"/>
      <c r="O50" s="26"/>
      <c r="P50" s="26"/>
      <c r="Q50" s="26"/>
      <c r="R50" s="26"/>
      <c r="S50" s="26"/>
      <c r="T50" s="26"/>
      <c r="U50" s="26"/>
      <c r="V50" s="26"/>
      <c r="W50" s="26"/>
      <c r="X50" s="26"/>
      <c r="Y50" s="26"/>
    </row>
    <row r="51" spans="1:25" ht="15.75" customHeight="1">
      <c r="A51" s="26"/>
      <c r="B51" s="26" t="s">
        <v>121</v>
      </c>
      <c r="C51" s="34">
        <f>IFERROR(C50/C42,0)</f>
        <v>1.3000961254066843</v>
      </c>
      <c r="D51" s="34">
        <f t="shared" ref="D51:L51" si="38">IFERROR(D50/D42,0)</f>
        <v>1.3000961254066843</v>
      </c>
      <c r="E51" s="34">
        <f t="shared" si="38"/>
        <v>1.3000961254066843</v>
      </c>
      <c r="F51" s="34">
        <f t="shared" si="38"/>
        <v>1.5501330967169475</v>
      </c>
      <c r="G51" s="34">
        <f t="shared" si="38"/>
        <v>1.5501517854348577</v>
      </c>
      <c r="H51" s="34">
        <f t="shared" si="38"/>
        <v>1.7501643038212376</v>
      </c>
      <c r="I51" s="34">
        <f t="shared" si="38"/>
        <v>2.0001877757957001</v>
      </c>
      <c r="J51" s="34">
        <f t="shared" si="38"/>
        <v>2.0001877757957001</v>
      </c>
      <c r="K51" s="34">
        <f t="shared" si="38"/>
        <v>2.2502112477701628</v>
      </c>
      <c r="L51" s="34">
        <f t="shared" si="38"/>
        <v>2.5002347197446251</v>
      </c>
      <c r="M51" s="27"/>
      <c r="N51" s="34"/>
      <c r="O51" s="34"/>
      <c r="P51" s="34"/>
      <c r="Q51" s="34"/>
      <c r="R51" s="34"/>
      <c r="S51" s="26"/>
      <c r="T51" s="26"/>
      <c r="U51" s="26"/>
      <c r="V51" s="26"/>
      <c r="W51" s="26"/>
      <c r="X51" s="26"/>
      <c r="Y51" s="26"/>
    </row>
    <row r="52" spans="1:25" ht="15.75" customHeight="1">
      <c r="A52" s="26"/>
      <c r="B52" s="35" t="s">
        <v>122</v>
      </c>
      <c r="C52" s="35">
        <f>IFERROR(C51/C47,0)</f>
        <v>0.31978938370179111</v>
      </c>
      <c r="D52" s="35">
        <f t="shared" ref="D52:L52" si="39">IFERROR(D51/D47,0)</f>
        <v>0.13468793687879418</v>
      </c>
      <c r="E52" s="35">
        <f t="shared" si="39"/>
        <v>0.13495621071052999</v>
      </c>
      <c r="F52" s="35">
        <f t="shared" si="39"/>
        <v>0.31849533590592805</v>
      </c>
      <c r="G52" s="35">
        <f t="shared" si="39"/>
        <v>0.34429499878358244</v>
      </c>
      <c r="H52" s="35">
        <f t="shared" si="39"/>
        <v>0.25943004532359709</v>
      </c>
      <c r="I52" s="35">
        <f t="shared" si="39"/>
        <v>0.1677625621116787</v>
      </c>
      <c r="J52" s="35">
        <f t="shared" si="39"/>
        <v>0.1493236139342537</v>
      </c>
      <c r="K52" s="35">
        <f t="shared" si="39"/>
        <v>0.15056634355034282</v>
      </c>
      <c r="L52" s="35">
        <f t="shared" si="39"/>
        <v>0.15610955220847436</v>
      </c>
      <c r="M52" s="27"/>
      <c r="N52" s="35"/>
      <c r="O52" s="35"/>
      <c r="P52" s="35"/>
      <c r="Q52" s="35"/>
      <c r="R52" s="35"/>
      <c r="S52" s="26"/>
      <c r="T52" s="26"/>
      <c r="U52" s="26"/>
      <c r="V52" s="26"/>
      <c r="W52" s="26"/>
      <c r="X52" s="26"/>
      <c r="Y52" s="26"/>
    </row>
    <row r="53" spans="1:25" ht="15.75" customHeight="1">
      <c r="A53" s="26"/>
      <c r="B53" s="26"/>
      <c r="C53" s="26"/>
      <c r="D53" s="26"/>
      <c r="E53" s="26"/>
      <c r="F53" s="26"/>
      <c r="G53" s="26"/>
      <c r="H53" s="26"/>
      <c r="I53" s="26"/>
      <c r="J53" s="26"/>
      <c r="K53" s="26"/>
      <c r="L53" s="26"/>
      <c r="M53" s="27"/>
      <c r="N53" s="26"/>
      <c r="O53" s="26"/>
      <c r="P53" s="26"/>
      <c r="Q53" s="26"/>
      <c r="R53" s="26"/>
      <c r="S53" s="26"/>
      <c r="T53" s="26"/>
      <c r="U53" s="26"/>
      <c r="V53" s="26"/>
      <c r="W53" s="26"/>
      <c r="X53" s="26"/>
      <c r="Y53" s="26"/>
    </row>
    <row r="54" spans="1:25" ht="15.75" customHeight="1">
      <c r="A54" s="26"/>
      <c r="B54" s="26" t="s">
        <v>123</v>
      </c>
      <c r="C54" s="47">
        <f>IFERROR(IF(C47&gt;C51,1-C52,0),0)</f>
        <v>0.68021061629820889</v>
      </c>
      <c r="D54" s="47">
        <f t="shared" ref="D54:L54" si="40">IFERROR(IF(D47&gt;D51,1-D52,0),0)</f>
        <v>0.86531206312120579</v>
      </c>
      <c r="E54" s="47">
        <f t="shared" si="40"/>
        <v>0.86504378928947001</v>
      </c>
      <c r="F54" s="47">
        <f t="shared" si="40"/>
        <v>0.68150466409407195</v>
      </c>
      <c r="G54" s="47">
        <f t="shared" si="40"/>
        <v>0.65570500121641762</v>
      </c>
      <c r="H54" s="47">
        <f t="shared" si="40"/>
        <v>0.74056995467640285</v>
      </c>
      <c r="I54" s="47">
        <f t="shared" si="40"/>
        <v>0.83223743788832127</v>
      </c>
      <c r="J54" s="47">
        <f t="shared" si="40"/>
        <v>0.85067638606574625</v>
      </c>
      <c r="K54" s="47">
        <f t="shared" si="40"/>
        <v>0.84943365644965718</v>
      </c>
      <c r="L54" s="47">
        <f t="shared" si="40"/>
        <v>0.84389044779152567</v>
      </c>
      <c r="M54" s="27"/>
      <c r="N54" s="47"/>
      <c r="O54" s="47"/>
      <c r="P54" s="47"/>
      <c r="Q54" s="47"/>
      <c r="R54" s="47"/>
      <c r="S54" s="26"/>
      <c r="T54" s="26"/>
      <c r="U54" s="26"/>
      <c r="V54" s="26"/>
      <c r="W54" s="26"/>
      <c r="X54" s="26"/>
      <c r="Y54" s="26"/>
    </row>
    <row r="55" spans="1:25" ht="15.75" customHeight="1">
      <c r="A55" s="26"/>
      <c r="B55" s="26"/>
      <c r="C55" s="26"/>
      <c r="D55" s="26"/>
      <c r="E55" s="26"/>
      <c r="F55" s="26"/>
      <c r="G55" s="26"/>
      <c r="H55" s="26"/>
      <c r="I55" s="26"/>
      <c r="J55" s="26"/>
      <c r="K55" s="26"/>
      <c r="L55" s="26"/>
      <c r="M55" s="27"/>
      <c r="N55" s="26"/>
      <c r="O55" s="26"/>
      <c r="P55" s="26"/>
      <c r="Q55" s="26"/>
      <c r="R55" s="26"/>
      <c r="S55" s="26"/>
      <c r="T55" s="26"/>
      <c r="U55" s="26"/>
      <c r="V55" s="26"/>
      <c r="W55" s="26"/>
      <c r="X55" s="26"/>
      <c r="Y55" s="26"/>
    </row>
    <row r="56" spans="1:25" ht="15.75" customHeight="1">
      <c r="A56" s="33" t="s">
        <v>96</v>
      </c>
      <c r="B56" s="32" t="s">
        <v>124</v>
      </c>
      <c r="C56" s="33"/>
      <c r="D56" s="33"/>
      <c r="E56" s="33"/>
      <c r="F56" s="33"/>
      <c r="G56" s="33"/>
      <c r="H56" s="33"/>
      <c r="I56" s="33"/>
      <c r="J56" s="33"/>
      <c r="K56" s="33"/>
      <c r="L56" s="33"/>
      <c r="M56" s="48"/>
      <c r="N56" s="48"/>
      <c r="O56" s="48"/>
      <c r="P56" s="48"/>
      <c r="Q56" s="48"/>
      <c r="R56" s="48"/>
      <c r="S56" s="26"/>
      <c r="T56" s="26"/>
      <c r="U56" s="26"/>
      <c r="V56" s="26"/>
      <c r="W56" s="26"/>
      <c r="X56" s="26"/>
      <c r="Y56" s="26"/>
    </row>
    <row r="57" spans="1:25" ht="15.75" customHeight="1">
      <c r="A57" s="48"/>
      <c r="B57" s="48"/>
      <c r="C57" s="48"/>
      <c r="D57" s="48"/>
      <c r="E57" s="48"/>
      <c r="F57" s="48"/>
      <c r="G57" s="48"/>
      <c r="H57" s="48"/>
      <c r="I57" s="48"/>
      <c r="J57" s="48"/>
      <c r="K57" s="48"/>
      <c r="L57" s="48"/>
      <c r="M57" s="48"/>
      <c r="N57" s="48"/>
      <c r="O57" s="48"/>
      <c r="P57" s="48"/>
      <c r="Q57" s="48"/>
      <c r="R57" s="48"/>
      <c r="S57" s="26"/>
      <c r="T57" s="26"/>
      <c r="U57" s="26"/>
      <c r="V57" s="26"/>
      <c r="W57" s="26"/>
      <c r="X57" s="26"/>
      <c r="Y57" s="26"/>
    </row>
    <row r="58" spans="1:25" ht="15.75" customHeight="1">
      <c r="A58" s="48"/>
      <c r="B58" t="s">
        <v>533</v>
      </c>
      <c r="C58" s="52">
        <v>270</v>
      </c>
      <c r="D58" s="52">
        <v>270</v>
      </c>
      <c r="E58" s="52">
        <v>270</v>
      </c>
      <c r="F58" s="52">
        <v>270</v>
      </c>
      <c r="G58" s="52">
        <v>320</v>
      </c>
      <c r="H58" s="52">
        <v>320</v>
      </c>
      <c r="I58" s="52">
        <v>320</v>
      </c>
      <c r="J58" s="52">
        <v>320</v>
      </c>
      <c r="K58" s="52">
        <v>320</v>
      </c>
      <c r="L58" s="52">
        <v>320</v>
      </c>
      <c r="M58" s="48"/>
      <c r="N58" s="48"/>
      <c r="O58" s="48"/>
      <c r="P58" s="48"/>
      <c r="Q58" s="48"/>
      <c r="R58" s="48"/>
      <c r="S58" s="26"/>
      <c r="T58" s="26"/>
      <c r="U58" s="26"/>
      <c r="V58" s="26"/>
      <c r="W58" s="26"/>
      <c r="X58" s="26"/>
      <c r="Y58" s="26"/>
    </row>
    <row r="59" spans="1:25" ht="15.75" customHeight="1">
      <c r="A59" s="48"/>
      <c r="B59" t="s">
        <v>534</v>
      </c>
      <c r="C59" s="52">
        <v>12944</v>
      </c>
      <c r="D59" s="52">
        <v>16130</v>
      </c>
      <c r="E59" s="52">
        <v>18035</v>
      </c>
      <c r="F59" s="52">
        <v>19297</v>
      </c>
      <c r="G59" s="52">
        <v>22003</v>
      </c>
      <c r="H59" s="52">
        <v>22122</v>
      </c>
      <c r="I59" s="52">
        <v>28468</v>
      </c>
      <c r="J59" s="52">
        <v>32037</v>
      </c>
      <c r="K59" s="52">
        <v>35521</v>
      </c>
      <c r="L59" s="52">
        <v>39148</v>
      </c>
      <c r="M59" s="48"/>
      <c r="N59" s="48"/>
      <c r="O59" s="48"/>
      <c r="P59" s="48"/>
      <c r="Q59" s="48"/>
      <c r="R59" s="48"/>
      <c r="S59" s="26"/>
      <c r="T59" s="26"/>
      <c r="U59" s="26"/>
      <c r="V59" s="26"/>
      <c r="W59" s="26"/>
      <c r="X59" s="26"/>
      <c r="Y59" s="26"/>
    </row>
    <row r="60" spans="1:25" ht="15.75" customHeight="1">
      <c r="A60" s="48"/>
      <c r="B60" s="91" t="s">
        <v>532</v>
      </c>
      <c r="C60" s="52"/>
      <c r="D60" s="52"/>
      <c r="E60" s="52"/>
      <c r="F60" s="52"/>
      <c r="G60" s="52"/>
      <c r="H60" s="52"/>
      <c r="I60" s="52"/>
      <c r="J60" s="52"/>
      <c r="K60" s="52"/>
      <c r="L60" s="52"/>
      <c r="M60" s="48"/>
      <c r="N60" s="48"/>
      <c r="O60" s="48"/>
      <c r="P60" s="48"/>
      <c r="Q60" s="48"/>
      <c r="R60" s="48"/>
      <c r="S60" s="26"/>
      <c r="T60" s="26"/>
      <c r="U60" s="26"/>
      <c r="V60" s="26"/>
      <c r="W60" s="26"/>
      <c r="X60" s="26"/>
      <c r="Y60" s="26"/>
    </row>
    <row r="61" spans="1:25" ht="15.75" customHeight="1">
      <c r="A61" s="48"/>
      <c r="B61" t="s">
        <v>71</v>
      </c>
      <c r="C61" s="52">
        <v>48815</v>
      </c>
      <c r="D61" s="52">
        <v>48589</v>
      </c>
      <c r="E61" s="52">
        <v>48506</v>
      </c>
      <c r="F61" s="52">
        <v>51936</v>
      </c>
      <c r="G61" s="52">
        <v>46708</v>
      </c>
      <c r="H61" s="52">
        <v>51195</v>
      </c>
      <c r="I61" s="52">
        <v>52923</v>
      </c>
      <c r="J61" s="52">
        <v>53689</v>
      </c>
      <c r="K61" s="52">
        <v>62866</v>
      </c>
      <c r="L61" s="52">
        <v>76141</v>
      </c>
      <c r="M61" s="48"/>
      <c r="N61" s="48"/>
      <c r="O61" s="48"/>
      <c r="P61" s="48"/>
      <c r="Q61" s="48"/>
      <c r="R61" s="48"/>
      <c r="S61" s="26"/>
      <c r="T61" s="26"/>
      <c r="U61" s="26"/>
      <c r="V61" s="26"/>
      <c r="W61" s="26"/>
      <c r="X61" s="26"/>
      <c r="Y61" s="26"/>
    </row>
    <row r="62" spans="1:25" ht="15.75" customHeight="1">
      <c r="A62" s="48"/>
      <c r="B62" t="s">
        <v>535</v>
      </c>
      <c r="C62" s="52">
        <v>1869</v>
      </c>
      <c r="D62" s="52">
        <v>2015</v>
      </c>
      <c r="E62" s="52">
        <v>2167</v>
      </c>
      <c r="F62" s="52">
        <v>2332</v>
      </c>
      <c r="G62" s="52">
        <v>2927</v>
      </c>
      <c r="H62" s="52">
        <v>3587</v>
      </c>
      <c r="I62" s="52">
        <v>5417</v>
      </c>
      <c r="J62" s="52">
        <v>5977</v>
      </c>
      <c r="K62" s="52">
        <v>6765</v>
      </c>
      <c r="L62" s="52">
        <v>8071</v>
      </c>
      <c r="M62" s="48"/>
      <c r="N62" s="48"/>
      <c r="O62" s="48"/>
      <c r="P62" s="48"/>
      <c r="Q62" s="48"/>
      <c r="R62" s="48"/>
      <c r="S62" s="26"/>
      <c r="T62" s="26"/>
      <c r="U62" s="26"/>
      <c r="V62" s="26"/>
      <c r="W62" s="26"/>
      <c r="X62" s="26"/>
      <c r="Y62" s="26"/>
    </row>
    <row r="63" spans="1:25" ht="15.75" customHeight="1">
      <c r="A63" s="48"/>
      <c r="B63" s="96" t="s">
        <v>536</v>
      </c>
      <c r="C63" s="54">
        <f>SUM(C61:C62)</f>
        <v>50684</v>
      </c>
      <c r="D63" s="54">
        <f t="shared" ref="D63:L63" si="41">SUM(D61:D62)</f>
        <v>50604</v>
      </c>
      <c r="E63" s="54">
        <f t="shared" si="41"/>
        <v>50673</v>
      </c>
      <c r="F63" s="54">
        <f t="shared" si="41"/>
        <v>54268</v>
      </c>
      <c r="G63" s="54">
        <f t="shared" si="41"/>
        <v>49635</v>
      </c>
      <c r="H63" s="54">
        <f t="shared" si="41"/>
        <v>54782</v>
      </c>
      <c r="I63" s="54">
        <f t="shared" si="41"/>
        <v>58340</v>
      </c>
      <c r="J63" s="54">
        <f t="shared" si="41"/>
        <v>59666</v>
      </c>
      <c r="K63" s="54">
        <f t="shared" si="41"/>
        <v>69631</v>
      </c>
      <c r="L63" s="54">
        <f t="shared" si="41"/>
        <v>84212</v>
      </c>
      <c r="M63" s="48"/>
      <c r="N63" s="48"/>
      <c r="O63" s="48"/>
      <c r="P63" s="48"/>
      <c r="Q63" s="48"/>
      <c r="R63" s="48"/>
      <c r="S63" s="26"/>
      <c r="T63" s="26"/>
      <c r="U63" s="26"/>
      <c r="V63" s="26"/>
      <c r="W63" s="26"/>
      <c r="X63" s="26"/>
      <c r="Y63" s="26"/>
    </row>
    <row r="64" spans="1:25" ht="15.75" customHeight="1">
      <c r="A64" s="48"/>
      <c r="B64" s="48"/>
      <c r="C64" s="52"/>
      <c r="D64" s="52"/>
      <c r="E64" s="52"/>
      <c r="F64" s="52"/>
      <c r="G64" s="52"/>
      <c r="H64" s="52"/>
      <c r="I64" s="52"/>
      <c r="J64" s="52"/>
      <c r="K64" s="52"/>
      <c r="L64" s="52"/>
      <c r="M64" s="48"/>
      <c r="N64" s="48"/>
      <c r="O64" s="48"/>
      <c r="P64" s="48"/>
      <c r="Q64" s="48"/>
      <c r="R64" s="48"/>
      <c r="S64" s="26"/>
      <c r="T64" s="26"/>
      <c r="U64" s="26"/>
      <c r="V64" s="26"/>
      <c r="W64" s="26"/>
      <c r="X64" s="26"/>
      <c r="Y64" s="26"/>
    </row>
    <row r="65" spans="1:25" ht="15.75" customHeight="1">
      <c r="A65" s="48"/>
      <c r="B65" s="91" t="s">
        <v>220</v>
      </c>
      <c r="C65" s="52"/>
      <c r="D65" s="52"/>
      <c r="E65" s="52"/>
      <c r="F65" s="52"/>
      <c r="G65" s="52"/>
      <c r="H65" s="52"/>
      <c r="I65" s="52"/>
      <c r="J65" s="52"/>
      <c r="K65" s="52"/>
      <c r="L65" s="52"/>
      <c r="M65" s="48"/>
      <c r="N65" s="48"/>
      <c r="O65" s="48"/>
      <c r="P65" s="48"/>
      <c r="Q65" s="48"/>
      <c r="R65" s="48"/>
      <c r="S65" s="26"/>
      <c r="T65" s="26"/>
      <c r="U65" s="26"/>
      <c r="V65" s="26"/>
      <c r="W65" s="26"/>
      <c r="X65" s="26"/>
      <c r="Y65" s="26"/>
    </row>
    <row r="66" spans="1:25" ht="15.75" customHeight="1">
      <c r="A66" s="48"/>
      <c r="B66" s="190" t="s">
        <v>221</v>
      </c>
      <c r="C66" s="52">
        <v>5529</v>
      </c>
      <c r="D66" s="52">
        <v>5610</v>
      </c>
      <c r="E66" s="52">
        <v>5481</v>
      </c>
      <c r="F66" s="52">
        <v>5095</v>
      </c>
      <c r="G66" s="52">
        <v>7146</v>
      </c>
      <c r="H66" s="52">
        <v>10460</v>
      </c>
      <c r="I66" s="52">
        <v>7407</v>
      </c>
      <c r="J66" s="52">
        <v>14093</v>
      </c>
      <c r="K66" s="52">
        <v>13984</v>
      </c>
      <c r="L66" s="52">
        <v>10786</v>
      </c>
      <c r="M66" s="48"/>
      <c r="N66" s="48"/>
      <c r="O66" s="48"/>
      <c r="P66" s="48"/>
      <c r="Q66" s="48"/>
      <c r="R66" s="48"/>
      <c r="S66" s="26"/>
      <c r="T66" s="26"/>
      <c r="U66" s="26"/>
      <c r="V66" s="26"/>
      <c r="W66" s="26"/>
      <c r="X66" s="26"/>
      <c r="Y66" s="26"/>
    </row>
    <row r="67" spans="1:25" ht="15.75" customHeight="1">
      <c r="A67" s="48"/>
      <c r="B67" s="190" t="s">
        <v>222</v>
      </c>
      <c r="C67" s="52">
        <v>413</v>
      </c>
      <c r="D67" s="52">
        <v>559</v>
      </c>
      <c r="E67" s="52">
        <v>485</v>
      </c>
      <c r="F67" s="52">
        <v>782</v>
      </c>
      <c r="G67" s="52">
        <v>1209</v>
      </c>
      <c r="H67" s="52">
        <v>1180</v>
      </c>
      <c r="I67" s="52">
        <v>2458</v>
      </c>
      <c r="J67" s="52">
        <v>2197</v>
      </c>
      <c r="K67" s="52">
        <v>1579</v>
      </c>
      <c r="L67" s="52">
        <v>1580</v>
      </c>
      <c r="M67" s="48"/>
      <c r="N67" s="48"/>
      <c r="O67" s="48"/>
      <c r="P67" s="48"/>
      <c r="Q67" s="48"/>
      <c r="R67" s="48"/>
      <c r="S67" s="26"/>
      <c r="T67" s="26"/>
      <c r="U67" s="26"/>
      <c r="V67" s="26"/>
      <c r="W67" s="26"/>
      <c r="X67" s="26"/>
      <c r="Y67" s="26"/>
    </row>
    <row r="68" spans="1:25" ht="15.75" customHeight="1">
      <c r="A68" s="48"/>
      <c r="B68" s="190" t="s">
        <v>223</v>
      </c>
      <c r="C68" s="52">
        <v>12989</v>
      </c>
      <c r="D68" s="52">
        <v>8718</v>
      </c>
      <c r="E68" s="52">
        <v>9129</v>
      </c>
      <c r="F68" s="52">
        <v>9962</v>
      </c>
      <c r="G68" s="52">
        <v>18342</v>
      </c>
      <c r="H68" s="52">
        <v>23687</v>
      </c>
      <c r="I68" s="52">
        <v>31104</v>
      </c>
      <c r="J68" s="52">
        <v>30742</v>
      </c>
      <c r="K68" s="52">
        <v>35158</v>
      </c>
      <c r="L68" s="52">
        <v>38518</v>
      </c>
      <c r="M68" s="48"/>
      <c r="N68" s="48"/>
      <c r="O68" s="48"/>
      <c r="P68" s="48"/>
      <c r="Q68" s="48"/>
      <c r="R68" s="48"/>
      <c r="S68" s="26"/>
      <c r="T68" s="26"/>
      <c r="U68" s="26"/>
      <c r="V68" s="26"/>
      <c r="W68" s="26"/>
      <c r="X68" s="26"/>
      <c r="Y68" s="26"/>
    </row>
    <row r="69" spans="1:25" ht="15.75" customHeight="1">
      <c r="A69" s="48"/>
      <c r="B69" s="95" t="s">
        <v>224</v>
      </c>
      <c r="C69" s="54">
        <f>SUM(C66:C68)</f>
        <v>18931</v>
      </c>
      <c r="D69" s="54">
        <f t="shared" ref="D69:L69" si="42">SUM(D66:D68)</f>
        <v>14887</v>
      </c>
      <c r="E69" s="54">
        <f t="shared" si="42"/>
        <v>15095</v>
      </c>
      <c r="F69" s="54">
        <f t="shared" si="42"/>
        <v>15839</v>
      </c>
      <c r="G69" s="54">
        <f t="shared" si="42"/>
        <v>26697</v>
      </c>
      <c r="H69" s="54">
        <f t="shared" si="42"/>
        <v>35327</v>
      </c>
      <c r="I69" s="54">
        <f t="shared" si="42"/>
        <v>40969</v>
      </c>
      <c r="J69" s="54">
        <f t="shared" si="42"/>
        <v>47032</v>
      </c>
      <c r="K69" s="54">
        <f t="shared" si="42"/>
        <v>50721</v>
      </c>
      <c r="L69" s="54">
        <f t="shared" si="42"/>
        <v>50884</v>
      </c>
      <c r="M69" s="48"/>
      <c r="N69" s="48"/>
      <c r="O69" s="48"/>
      <c r="P69" s="48"/>
      <c r="Q69" s="48"/>
      <c r="R69" s="48"/>
      <c r="S69" s="26"/>
      <c r="T69" s="26"/>
      <c r="U69" s="26"/>
      <c r="V69" s="26"/>
      <c r="W69" s="26"/>
      <c r="X69" s="26"/>
      <c r="Y69" s="26"/>
    </row>
    <row r="70" spans="1:25" ht="15.75" customHeight="1">
      <c r="A70" s="48"/>
      <c r="B70" s="48"/>
      <c r="C70" s="52"/>
      <c r="D70" s="52"/>
      <c r="E70" s="52"/>
      <c r="F70" s="52"/>
      <c r="G70" s="52"/>
      <c r="I70" s="52"/>
      <c r="J70" s="52"/>
      <c r="K70" s="52"/>
      <c r="L70" s="52"/>
      <c r="M70" s="48"/>
      <c r="N70" s="48"/>
      <c r="O70" s="48"/>
      <c r="P70" s="48"/>
      <c r="Q70" s="48"/>
      <c r="R70" s="48"/>
      <c r="S70" s="26"/>
      <c r="T70" s="26"/>
      <c r="U70" s="26"/>
      <c r="V70" s="26"/>
      <c r="W70" s="26"/>
      <c r="X70" s="26"/>
      <c r="Y70" s="26"/>
    </row>
    <row r="71" spans="1:25" ht="15.75" customHeight="1">
      <c r="A71" s="48"/>
      <c r="B71" s="193" t="s">
        <v>538</v>
      </c>
      <c r="C71" s="192">
        <f>C69+C63+C59+C58</f>
        <v>82829</v>
      </c>
      <c r="D71" s="192">
        <f t="shared" ref="D71:L71" si="43">D69+D63+SUM(D58:D59)</f>
        <v>81891</v>
      </c>
      <c r="E71" s="192">
        <f t="shared" si="43"/>
        <v>84073</v>
      </c>
      <c r="F71" s="192">
        <f t="shared" si="43"/>
        <v>89674</v>
      </c>
      <c r="G71" s="192">
        <f t="shared" si="43"/>
        <v>98655</v>
      </c>
      <c r="H71" s="192">
        <f t="shared" si="43"/>
        <v>112551</v>
      </c>
      <c r="I71" s="192">
        <f t="shared" si="43"/>
        <v>128097</v>
      </c>
      <c r="J71" s="192">
        <f t="shared" si="43"/>
        <v>139055</v>
      </c>
      <c r="K71" s="192">
        <f t="shared" si="43"/>
        <v>156193</v>
      </c>
      <c r="L71" s="192">
        <f t="shared" si="43"/>
        <v>174564</v>
      </c>
      <c r="M71" s="48"/>
      <c r="N71" s="48"/>
      <c r="O71" s="48"/>
      <c r="P71" s="48"/>
      <c r="Q71" s="48"/>
      <c r="R71" s="48"/>
      <c r="S71" s="26"/>
      <c r="T71" s="26"/>
      <c r="U71" s="26"/>
      <c r="V71" s="26"/>
      <c r="W71" s="26"/>
      <c r="X71" s="26"/>
      <c r="Y71" s="26"/>
    </row>
    <row r="72" spans="1:25" ht="15.75" customHeight="1">
      <c r="A72" s="48"/>
      <c r="B72" s="48"/>
      <c r="C72" s="52"/>
      <c r="D72" s="52"/>
      <c r="E72" s="52"/>
      <c r="F72" s="52"/>
      <c r="G72" s="52"/>
      <c r="H72" s="52"/>
      <c r="I72" s="52"/>
      <c r="J72" s="52"/>
      <c r="K72" s="52"/>
      <c r="L72" s="52"/>
      <c r="M72" s="48"/>
      <c r="N72" s="48"/>
      <c r="O72" s="48"/>
      <c r="P72" s="48"/>
      <c r="Q72" s="48"/>
      <c r="R72" s="48"/>
      <c r="S72" s="26"/>
      <c r="T72" s="26"/>
      <c r="U72" s="26"/>
      <c r="V72" s="26"/>
      <c r="W72" s="26"/>
      <c r="X72" s="26"/>
      <c r="Y72" s="26"/>
    </row>
    <row r="73" spans="1:25" ht="15.75" customHeight="1">
      <c r="A73" s="48"/>
      <c r="B73" s="91" t="s">
        <v>218</v>
      </c>
      <c r="C73" s="52"/>
      <c r="D73" s="52"/>
      <c r="E73" s="52"/>
      <c r="F73" s="52"/>
      <c r="G73" s="52"/>
      <c r="H73" s="52"/>
      <c r="I73" s="52"/>
      <c r="J73" s="52"/>
      <c r="K73" s="52"/>
      <c r="L73" s="52"/>
      <c r="M73" s="48"/>
      <c r="N73" s="48"/>
      <c r="O73" s="48"/>
      <c r="P73" s="48"/>
      <c r="Q73" s="48"/>
      <c r="R73" s="48"/>
      <c r="S73" s="26"/>
      <c r="T73" s="26"/>
      <c r="U73" s="26"/>
      <c r="V73" s="26"/>
      <c r="W73" s="26"/>
      <c r="X73" s="26"/>
      <c r="Y73" s="26"/>
    </row>
    <row r="74" spans="1:25" ht="15.75" customHeight="1">
      <c r="A74" s="48"/>
      <c r="B74" s="92" t="s">
        <v>525</v>
      </c>
      <c r="C74" s="52">
        <v>1600</v>
      </c>
      <c r="D74" s="52">
        <v>1623</v>
      </c>
      <c r="E74" s="52">
        <v>1706</v>
      </c>
      <c r="F74" s="52">
        <v>1752</v>
      </c>
      <c r="G74" s="52">
        <v>1886</v>
      </c>
      <c r="H74" s="52">
        <v>4232</v>
      </c>
      <c r="I74" s="52">
        <v>3943</v>
      </c>
      <c r="J74" s="52">
        <v>4420</v>
      </c>
      <c r="K74" s="52">
        <v>4572</v>
      </c>
      <c r="L74" s="52">
        <v>5108</v>
      </c>
      <c r="M74" s="48"/>
      <c r="N74" s="48"/>
      <c r="O74" s="48"/>
      <c r="P74" s="48"/>
      <c r="Q74" s="48"/>
      <c r="R74" s="48"/>
      <c r="S74" s="26"/>
      <c r="T74" s="26"/>
      <c r="U74" s="26"/>
      <c r="V74" s="26"/>
      <c r="W74" s="26"/>
      <c r="X74" s="26"/>
      <c r="Y74" s="26"/>
    </row>
    <row r="75" spans="1:25" ht="15.75" customHeight="1">
      <c r="A75" s="48"/>
      <c r="B75" s="92" t="s">
        <v>529</v>
      </c>
      <c r="C75" s="52">
        <v>3832</v>
      </c>
      <c r="D75" s="52">
        <v>2789</v>
      </c>
      <c r="E75" s="52">
        <v>4445</v>
      </c>
      <c r="F75" s="52">
        <v>4426</v>
      </c>
      <c r="G75" s="52">
        <v>5200</v>
      </c>
      <c r="H75" s="52">
        <v>5980</v>
      </c>
      <c r="I75" s="52">
        <v>6952</v>
      </c>
      <c r="J75" s="52">
        <v>7402</v>
      </c>
      <c r="K75" s="52">
        <v>5710</v>
      </c>
      <c r="L75" s="52">
        <v>4424</v>
      </c>
      <c r="M75" s="48"/>
      <c r="N75" s="48"/>
      <c r="O75" s="48"/>
      <c r="P75" s="48"/>
      <c r="Q75" s="48"/>
      <c r="R75" s="48"/>
      <c r="S75" s="26"/>
      <c r="T75" s="26"/>
      <c r="U75" s="26"/>
      <c r="V75" s="26"/>
      <c r="W75" s="26"/>
      <c r="X75" s="26"/>
      <c r="Y75" s="26"/>
    </row>
    <row r="76" spans="1:25" ht="15.75" customHeight="1">
      <c r="A76" s="48"/>
      <c r="B76" s="92" t="s">
        <v>527</v>
      </c>
      <c r="C76" s="52">
        <v>395</v>
      </c>
      <c r="D76" s="52">
        <v>490</v>
      </c>
      <c r="E76" s="52">
        <v>501</v>
      </c>
      <c r="F76" s="52">
        <v>552</v>
      </c>
      <c r="G76" s="52">
        <v>609</v>
      </c>
      <c r="H76" s="52">
        <v>887</v>
      </c>
      <c r="I76" s="52">
        <v>1079</v>
      </c>
      <c r="J76" s="52">
        <v>1134</v>
      </c>
      <c r="K76" s="52">
        <v>994</v>
      </c>
      <c r="L76" s="52">
        <v>461</v>
      </c>
      <c r="M76" s="48"/>
      <c r="N76" s="48"/>
      <c r="O76" s="48"/>
      <c r="P76" s="48"/>
      <c r="Q76" s="48"/>
      <c r="R76" s="48"/>
      <c r="S76" s="26"/>
      <c r="T76" s="26"/>
      <c r="U76" s="26"/>
      <c r="V76" s="26"/>
      <c r="W76" s="26"/>
      <c r="X76" s="26"/>
      <c r="Y76" s="26"/>
    </row>
    <row r="77" spans="1:25" ht="15.75" customHeight="1">
      <c r="A77" s="48"/>
      <c r="B77" s="92" t="s">
        <v>528</v>
      </c>
      <c r="C77" s="52">
        <v>15402</v>
      </c>
      <c r="D77" s="52">
        <v>17066</v>
      </c>
      <c r="E77" s="52">
        <v>16211</v>
      </c>
      <c r="F77" s="52">
        <v>17037</v>
      </c>
      <c r="G77" s="52">
        <v>16491</v>
      </c>
      <c r="H77" s="52">
        <v>18627</v>
      </c>
      <c r="I77" s="52">
        <v>21123</v>
      </c>
      <c r="J77" s="52">
        <v>21861</v>
      </c>
      <c r="K77" s="52">
        <v>25797</v>
      </c>
      <c r="L77" s="52">
        <v>32465</v>
      </c>
      <c r="M77" s="48"/>
      <c r="N77" s="48"/>
      <c r="O77" s="48"/>
      <c r="P77" s="48"/>
      <c r="Q77" s="48"/>
      <c r="R77" s="48"/>
      <c r="S77" s="26"/>
      <c r="T77" s="26"/>
      <c r="U77" s="26"/>
      <c r="V77" s="26"/>
      <c r="W77" s="26"/>
      <c r="X77" s="26"/>
      <c r="Y77" s="26"/>
    </row>
    <row r="78" spans="1:25" ht="15.75" customHeight="1">
      <c r="A78" s="48"/>
      <c r="B78" s="92" t="s">
        <v>526</v>
      </c>
      <c r="C78" s="52">
        <v>954</v>
      </c>
      <c r="D78" s="52">
        <v>1186</v>
      </c>
      <c r="E78" s="52">
        <v>787</v>
      </c>
      <c r="F78" s="52">
        <v>2094</v>
      </c>
      <c r="G78" s="52">
        <v>5871</v>
      </c>
      <c r="H78" s="52">
        <v>6641</v>
      </c>
      <c r="I78" s="52">
        <v>11207</v>
      </c>
      <c r="J78" s="52">
        <v>9152</v>
      </c>
      <c r="K78" s="52">
        <v>11751</v>
      </c>
      <c r="L78" s="52">
        <v>13644</v>
      </c>
      <c r="M78" s="48"/>
      <c r="N78" s="48"/>
      <c r="O78" s="48"/>
      <c r="P78" s="48"/>
      <c r="Q78" s="48"/>
      <c r="R78" s="48"/>
      <c r="S78" s="26"/>
      <c r="T78" s="26"/>
      <c r="U78" s="26"/>
      <c r="V78" s="26"/>
      <c r="W78" s="26"/>
      <c r="X78" s="26"/>
      <c r="Y78" s="26"/>
    </row>
    <row r="79" spans="1:25" ht="15.75" customHeight="1">
      <c r="A79" s="48"/>
      <c r="B79" s="95" t="s">
        <v>219</v>
      </c>
      <c r="C79" s="54">
        <f>SUM(C74:C78)</f>
        <v>22183</v>
      </c>
      <c r="D79" s="54">
        <f t="shared" ref="D79:L79" si="44">SUM(D74:D78)</f>
        <v>23154</v>
      </c>
      <c r="E79" s="54">
        <f t="shared" si="44"/>
        <v>23650</v>
      </c>
      <c r="F79" s="54">
        <f t="shared" si="44"/>
        <v>25861</v>
      </c>
      <c r="G79" s="54">
        <f t="shared" si="44"/>
        <v>30057</v>
      </c>
      <c r="H79" s="54">
        <f t="shared" si="44"/>
        <v>36367</v>
      </c>
      <c r="I79" s="54">
        <f t="shared" si="44"/>
        <v>44304</v>
      </c>
      <c r="J79" s="54">
        <f t="shared" si="44"/>
        <v>43969</v>
      </c>
      <c r="K79" s="54">
        <f t="shared" si="44"/>
        <v>48824</v>
      </c>
      <c r="L79" s="54">
        <f t="shared" si="44"/>
        <v>56102</v>
      </c>
      <c r="M79" s="48"/>
      <c r="N79" s="48"/>
      <c r="O79" s="48"/>
      <c r="P79" s="48"/>
      <c r="Q79" s="48"/>
      <c r="R79" s="48"/>
      <c r="S79" s="26"/>
      <c r="T79" s="26"/>
      <c r="U79" s="26"/>
      <c r="V79" s="26"/>
      <c r="W79" s="26"/>
      <c r="X79" s="26"/>
      <c r="Y79" s="26"/>
    </row>
    <row r="80" spans="1:25" ht="15.75" customHeight="1">
      <c r="A80" s="48"/>
      <c r="B80" s="48"/>
      <c r="C80" s="52"/>
      <c r="D80" s="52"/>
      <c r="E80" s="52"/>
      <c r="F80" s="52"/>
      <c r="G80" s="52"/>
      <c r="H80" s="52"/>
      <c r="I80" s="52"/>
      <c r="J80" s="52"/>
      <c r="K80" s="52"/>
      <c r="L80" s="52"/>
      <c r="M80" s="48"/>
      <c r="N80" s="48"/>
      <c r="O80" s="48"/>
      <c r="P80" s="48"/>
      <c r="Q80" s="48"/>
      <c r="R80" s="48"/>
      <c r="S80" s="26"/>
      <c r="T80" s="26"/>
      <c r="U80" s="26"/>
      <c r="V80" s="26"/>
      <c r="W80" s="26"/>
      <c r="X80" s="26"/>
      <c r="Y80" s="26"/>
    </row>
    <row r="81" spans="1:25" ht="15.75" customHeight="1">
      <c r="A81" s="48"/>
      <c r="B81" s="91" t="s">
        <v>226</v>
      </c>
      <c r="C81" s="52"/>
      <c r="D81" s="52"/>
      <c r="E81" s="52"/>
      <c r="F81" s="52"/>
      <c r="G81" s="52"/>
      <c r="H81" s="52"/>
      <c r="I81" s="52"/>
      <c r="J81" s="52"/>
      <c r="K81" s="52"/>
      <c r="L81" s="52"/>
      <c r="M81" s="48"/>
      <c r="N81" s="48"/>
      <c r="O81" s="48"/>
      <c r="P81" s="48"/>
      <c r="Q81" s="48"/>
      <c r="R81" s="48"/>
      <c r="S81" s="26"/>
      <c r="T81" s="26"/>
      <c r="U81" s="26"/>
      <c r="V81" s="26"/>
      <c r="W81" s="26"/>
      <c r="X81" s="26"/>
      <c r="Y81" s="26"/>
    </row>
    <row r="82" spans="1:25" ht="15.75" customHeight="1">
      <c r="A82" s="48"/>
      <c r="B82" s="97" t="s">
        <v>513</v>
      </c>
      <c r="C82" s="52">
        <v>1079</v>
      </c>
      <c r="D82" s="52">
        <v>974</v>
      </c>
      <c r="E82" s="52">
        <v>1032</v>
      </c>
      <c r="F82" s="52">
        <v>2071</v>
      </c>
      <c r="G82" s="52">
        <v>2186</v>
      </c>
      <c r="H82" s="52">
        <v>2284</v>
      </c>
      <c r="I82" s="52">
        <v>2672</v>
      </c>
      <c r="J82" s="52">
        <v>3352</v>
      </c>
      <c r="K82" s="52">
        <v>4087</v>
      </c>
      <c r="L82" s="52">
        <v>4798</v>
      </c>
      <c r="M82" s="48"/>
      <c r="N82" s="48"/>
      <c r="O82" s="48"/>
      <c r="P82" s="48"/>
      <c r="Q82" s="48"/>
      <c r="R82" s="48"/>
      <c r="S82" s="26"/>
      <c r="T82" s="26"/>
      <c r="U82" s="26"/>
      <c r="V82" s="26"/>
      <c r="W82" s="26"/>
      <c r="X82" s="26"/>
      <c r="Y82" s="26"/>
    </row>
    <row r="83" spans="1:25" ht="15.75" customHeight="1">
      <c r="A83" s="48"/>
      <c r="B83" s="97" t="s">
        <v>514</v>
      </c>
      <c r="C83" s="52">
        <v>2792</v>
      </c>
      <c r="D83" s="52">
        <v>2906</v>
      </c>
      <c r="E83" s="52">
        <v>2938</v>
      </c>
      <c r="F83" s="52">
        <v>3058</v>
      </c>
      <c r="G83" s="52">
        <v>3826</v>
      </c>
      <c r="H83" s="52">
        <v>4043</v>
      </c>
      <c r="I83" s="52">
        <v>4432</v>
      </c>
      <c r="J83" s="52">
        <v>4503</v>
      </c>
      <c r="K83" s="52">
        <v>5615</v>
      </c>
      <c r="L83" s="52">
        <v>6228</v>
      </c>
      <c r="M83" s="48"/>
      <c r="N83" s="48"/>
      <c r="O83" s="48"/>
      <c r="P83" s="48"/>
      <c r="Q83" s="48"/>
      <c r="R83" s="48"/>
      <c r="S83" s="26"/>
      <c r="T83" s="26"/>
      <c r="U83" s="26"/>
      <c r="V83" s="26"/>
      <c r="W83" s="26"/>
      <c r="X83" s="26"/>
      <c r="Y83" s="26"/>
    </row>
    <row r="84" spans="1:25" ht="15.75" customHeight="1">
      <c r="A84" s="48"/>
      <c r="B84" s="97" t="s">
        <v>515</v>
      </c>
      <c r="C84" s="52">
        <v>44014</v>
      </c>
      <c r="D84" s="52">
        <v>43914</v>
      </c>
      <c r="E84" s="52">
        <v>44924</v>
      </c>
      <c r="F84" s="52">
        <v>47425</v>
      </c>
      <c r="G84" s="52">
        <v>48607</v>
      </c>
      <c r="H84" s="52">
        <v>52664</v>
      </c>
      <c r="I84" s="52">
        <v>55799</v>
      </c>
      <c r="J84" s="52">
        <v>59919</v>
      </c>
      <c r="K84" s="52">
        <v>68397</v>
      </c>
      <c r="L84" s="52">
        <v>74140</v>
      </c>
      <c r="M84" s="48"/>
      <c r="N84" s="48"/>
      <c r="O84" s="48"/>
      <c r="P84" s="48"/>
      <c r="Q84" s="48"/>
      <c r="R84" s="48"/>
      <c r="S84" s="26"/>
      <c r="T84" s="26"/>
      <c r="U84" s="26"/>
      <c r="V84" s="26"/>
      <c r="W84" s="26"/>
      <c r="X84" s="26"/>
      <c r="Y84" s="26"/>
    </row>
    <row r="85" spans="1:25" ht="15.75" customHeight="1">
      <c r="A85" s="48"/>
      <c r="B85" s="97" t="s">
        <v>516</v>
      </c>
      <c r="C85" s="52">
        <v>5317</v>
      </c>
      <c r="D85" s="52">
        <v>5812</v>
      </c>
      <c r="E85" s="52">
        <v>6364</v>
      </c>
      <c r="F85" s="52">
        <v>6967</v>
      </c>
      <c r="G85" s="52">
        <v>11790</v>
      </c>
      <c r="H85" s="52">
        <v>15200</v>
      </c>
      <c r="I85" s="52">
        <v>18485</v>
      </c>
      <c r="J85" s="52">
        <v>22097</v>
      </c>
      <c r="K85" s="52">
        <v>26523</v>
      </c>
      <c r="L85" s="52">
        <v>32524</v>
      </c>
      <c r="M85" s="48"/>
      <c r="N85" s="48"/>
      <c r="O85" s="48"/>
      <c r="P85" s="48"/>
      <c r="Q85" s="48"/>
      <c r="R85" s="48"/>
      <c r="S85" s="26"/>
      <c r="T85" s="26"/>
      <c r="U85" s="26"/>
      <c r="V85" s="26"/>
      <c r="W85" s="26"/>
      <c r="X85" s="26"/>
      <c r="Y85" s="26"/>
    </row>
    <row r="86" spans="1:25" ht="18" customHeight="1">
      <c r="A86" s="26"/>
      <c r="B86" s="97" t="s">
        <v>517</v>
      </c>
      <c r="C86" s="52">
        <v>137</v>
      </c>
      <c r="D86" s="52">
        <v>122</v>
      </c>
      <c r="E86" s="52">
        <v>120</v>
      </c>
      <c r="F86" s="52">
        <v>118</v>
      </c>
      <c r="G86" s="52">
        <v>134</v>
      </c>
      <c r="H86" s="52">
        <v>144</v>
      </c>
      <c r="I86" s="52">
        <v>167</v>
      </c>
      <c r="J86" s="52">
        <v>187</v>
      </c>
      <c r="K86" s="52">
        <v>207</v>
      </c>
      <c r="L86" s="52">
        <v>212</v>
      </c>
      <c r="M86" s="27"/>
      <c r="N86" s="34"/>
      <c r="O86" s="34"/>
      <c r="P86" s="34"/>
      <c r="Q86" s="34"/>
      <c r="R86" s="34"/>
      <c r="S86" s="26"/>
      <c r="T86" s="26"/>
      <c r="U86" s="26"/>
      <c r="V86" s="26"/>
      <c r="W86" s="26"/>
      <c r="X86" s="26"/>
      <c r="Y86" s="26"/>
    </row>
    <row r="87" spans="1:25" ht="18" customHeight="1">
      <c r="A87" s="26"/>
      <c r="B87" s="97" t="s">
        <v>518</v>
      </c>
      <c r="C87" s="52">
        <v>96</v>
      </c>
      <c r="D87" s="52">
        <v>99</v>
      </c>
      <c r="E87" s="52">
        <v>103</v>
      </c>
      <c r="F87" s="52">
        <v>104</v>
      </c>
      <c r="G87" s="52">
        <v>0</v>
      </c>
      <c r="H87" s="52">
        <v>0</v>
      </c>
      <c r="I87" s="52">
        <v>0</v>
      </c>
      <c r="J87" s="52">
        <v>0</v>
      </c>
      <c r="K87" s="52">
        <v>0</v>
      </c>
      <c r="L87" s="52">
        <v>0</v>
      </c>
      <c r="M87" s="27"/>
      <c r="N87" s="34"/>
      <c r="O87" s="34"/>
      <c r="P87" s="34"/>
      <c r="Q87" s="34"/>
      <c r="R87" s="34"/>
      <c r="S87" s="26"/>
      <c r="T87" s="26"/>
      <c r="U87" s="26"/>
      <c r="V87" s="26"/>
      <c r="W87" s="26"/>
      <c r="X87" s="26"/>
      <c r="Y87" s="26"/>
    </row>
    <row r="88" spans="1:25" ht="18" customHeight="1">
      <c r="A88" s="26"/>
      <c r="B88" s="97" t="s">
        <v>519</v>
      </c>
      <c r="C88" s="52">
        <v>220</v>
      </c>
      <c r="D88" s="52">
        <v>250</v>
      </c>
      <c r="E88" s="52">
        <v>245</v>
      </c>
      <c r="F88" s="52">
        <v>235</v>
      </c>
      <c r="G88" s="52">
        <v>228</v>
      </c>
      <c r="H88" s="52">
        <v>225</v>
      </c>
      <c r="I88" s="52">
        <v>247</v>
      </c>
      <c r="J88" s="52">
        <v>300</v>
      </c>
      <c r="K88" s="52">
        <v>327</v>
      </c>
      <c r="L88" s="52">
        <v>353</v>
      </c>
      <c r="M88" s="27"/>
      <c r="N88" s="34"/>
      <c r="O88" s="34"/>
      <c r="P88" s="34"/>
      <c r="Q88" s="34"/>
      <c r="R88" s="34"/>
      <c r="S88" s="26"/>
      <c r="T88" s="26"/>
      <c r="U88" s="26"/>
      <c r="V88" s="26"/>
      <c r="W88" s="26"/>
      <c r="X88" s="26"/>
      <c r="Y88" s="26"/>
    </row>
    <row r="89" spans="1:25" ht="18" customHeight="1">
      <c r="A89" s="26"/>
      <c r="B89" s="97" t="s">
        <v>520</v>
      </c>
      <c r="C89" s="52">
        <v>1768</v>
      </c>
      <c r="D89" s="52">
        <v>1666</v>
      </c>
      <c r="E89" s="52">
        <v>1654</v>
      </c>
      <c r="F89" s="52">
        <v>1646</v>
      </c>
      <c r="G89" s="52">
        <v>1800</v>
      </c>
      <c r="H89" s="52">
        <v>1864</v>
      </c>
      <c r="I89" s="52">
        <v>1865</v>
      </c>
      <c r="J89" s="52">
        <v>1903</v>
      </c>
      <c r="K89" s="52">
        <v>1807</v>
      </c>
      <c r="L89" s="52">
        <v>1698</v>
      </c>
      <c r="M89" s="27"/>
      <c r="N89" s="34"/>
      <c r="O89" s="34"/>
      <c r="P89" s="34"/>
      <c r="Q89" s="34"/>
      <c r="R89" s="34"/>
      <c r="S89" s="26"/>
      <c r="T89" s="26"/>
      <c r="U89" s="26"/>
      <c r="V89" s="26"/>
      <c r="W89" s="26"/>
      <c r="X89" s="26"/>
      <c r="Y89" s="26"/>
    </row>
    <row r="90" spans="1:25" ht="18" customHeight="1">
      <c r="A90" s="26"/>
      <c r="B90" s="97" t="s">
        <v>521</v>
      </c>
      <c r="C90" s="52">
        <v>4211</v>
      </c>
      <c r="D90" s="52">
        <v>4265</v>
      </c>
      <c r="E90" s="52">
        <v>4233</v>
      </c>
      <c r="F90" s="52">
        <v>5441</v>
      </c>
      <c r="G90" s="52">
        <v>5584</v>
      </c>
      <c r="H90" s="52">
        <v>5876</v>
      </c>
      <c r="I90" s="52">
        <v>6229</v>
      </c>
      <c r="J90" s="52">
        <v>6519</v>
      </c>
      <c r="K90" s="52">
        <v>6722</v>
      </c>
      <c r="L90" s="52">
        <v>6959</v>
      </c>
      <c r="M90" s="27"/>
      <c r="N90" s="38"/>
      <c r="O90" s="38"/>
      <c r="P90" s="38"/>
      <c r="Q90" s="38"/>
      <c r="R90" s="38"/>
      <c r="S90" s="26"/>
      <c r="T90" s="26"/>
      <c r="U90" s="26"/>
      <c r="V90" s="26"/>
      <c r="W90" s="26"/>
      <c r="X90" s="26"/>
      <c r="Y90" s="26"/>
    </row>
    <row r="91" spans="1:25" ht="18" customHeight="1">
      <c r="A91" s="26"/>
      <c r="B91" s="96" t="s">
        <v>522</v>
      </c>
      <c r="C91" s="54">
        <f>SUM(C82:C90)</f>
        <v>59634</v>
      </c>
      <c r="D91" s="54">
        <f t="shared" ref="D91:L91" si="45">SUM(D82:D90)</f>
        <v>60008</v>
      </c>
      <c r="E91" s="54">
        <f t="shared" si="45"/>
        <v>61613</v>
      </c>
      <c r="F91" s="54">
        <f t="shared" si="45"/>
        <v>67065</v>
      </c>
      <c r="G91" s="54">
        <f t="shared" si="45"/>
        <v>74155</v>
      </c>
      <c r="H91" s="54">
        <f t="shared" si="45"/>
        <v>82300</v>
      </c>
      <c r="I91" s="54">
        <f t="shared" si="45"/>
        <v>89896</v>
      </c>
      <c r="J91" s="54">
        <f t="shared" si="45"/>
        <v>98780</v>
      </c>
      <c r="K91" s="54">
        <f t="shared" si="45"/>
        <v>113685</v>
      </c>
      <c r="L91" s="54">
        <f t="shared" si="45"/>
        <v>126912</v>
      </c>
      <c r="M91" s="27"/>
      <c r="N91" s="34"/>
      <c r="O91" s="34"/>
      <c r="P91" s="34"/>
      <c r="Q91" s="34"/>
      <c r="R91" s="34"/>
      <c r="S91" s="26"/>
      <c r="T91" s="26"/>
      <c r="U91" s="26"/>
      <c r="V91" s="26"/>
      <c r="W91" s="26"/>
      <c r="X91" s="26"/>
      <c r="Y91" s="26"/>
    </row>
    <row r="92" spans="1:25" ht="18" customHeight="1">
      <c r="A92" s="26"/>
      <c r="B92" s="97" t="s">
        <v>523</v>
      </c>
      <c r="C92" s="52">
        <v>13040</v>
      </c>
      <c r="D92" s="52">
        <v>15352</v>
      </c>
      <c r="E92" s="52">
        <v>17308</v>
      </c>
      <c r="F92" s="52">
        <v>19398</v>
      </c>
      <c r="G92" s="52">
        <v>21976</v>
      </c>
      <c r="H92" s="52">
        <v>24911</v>
      </c>
      <c r="I92" s="52">
        <v>28150</v>
      </c>
      <c r="J92" s="52">
        <v>31571</v>
      </c>
      <c r="K92" s="52">
        <v>35311</v>
      </c>
      <c r="L92" s="52">
        <v>39620</v>
      </c>
      <c r="M92" s="27"/>
      <c r="N92" s="34"/>
      <c r="O92" s="34"/>
      <c r="P92" s="34"/>
      <c r="Q92" s="34"/>
      <c r="R92" s="34"/>
      <c r="S92" s="26"/>
      <c r="T92" s="26"/>
      <c r="U92" s="26"/>
      <c r="V92" s="26"/>
      <c r="W92" s="26"/>
      <c r="X92" s="26"/>
      <c r="Y92" s="26"/>
    </row>
    <row r="93" spans="1:25" ht="18" customHeight="1">
      <c r="A93" s="26"/>
      <c r="B93" s="95" t="s">
        <v>539</v>
      </c>
      <c r="C93" s="54">
        <f>C91-C92</f>
        <v>46594</v>
      </c>
      <c r="D93" s="54">
        <f t="shared" ref="D93:L93" si="46">D91-D92</f>
        <v>44656</v>
      </c>
      <c r="E93" s="54">
        <f t="shared" si="46"/>
        <v>44305</v>
      </c>
      <c r="F93" s="54">
        <f t="shared" si="46"/>
        <v>47667</v>
      </c>
      <c r="G93" s="54">
        <f t="shared" si="46"/>
        <v>52179</v>
      </c>
      <c r="H93" s="54">
        <f t="shared" si="46"/>
        <v>57389</v>
      </c>
      <c r="I93" s="54">
        <f t="shared" si="46"/>
        <v>61746</v>
      </c>
      <c r="J93" s="54">
        <f t="shared" si="46"/>
        <v>67209</v>
      </c>
      <c r="K93" s="54">
        <f t="shared" si="46"/>
        <v>78374</v>
      </c>
      <c r="L93" s="54">
        <f t="shared" si="46"/>
        <v>87292</v>
      </c>
      <c r="M93" s="27"/>
      <c r="N93" s="34"/>
      <c r="O93" s="34"/>
      <c r="P93" s="34"/>
      <c r="Q93" s="34"/>
      <c r="R93" s="34"/>
      <c r="S93" s="26"/>
      <c r="T93" s="26"/>
      <c r="U93" s="26"/>
      <c r="V93" s="26"/>
      <c r="W93" s="26"/>
      <c r="X93" s="26"/>
      <c r="Y93" s="26"/>
    </row>
    <row r="94" spans="1:25" ht="18" customHeight="1">
      <c r="A94" s="26"/>
      <c r="B94" s="97" t="s">
        <v>524</v>
      </c>
      <c r="C94" s="52">
        <v>2179</v>
      </c>
      <c r="D94" s="52">
        <v>1652</v>
      </c>
      <c r="E94" s="52">
        <v>2576</v>
      </c>
      <c r="F94" s="52">
        <v>1611</v>
      </c>
      <c r="G94" s="52">
        <v>3270</v>
      </c>
      <c r="H94" s="52">
        <v>4635</v>
      </c>
      <c r="I94" s="52">
        <v>5377</v>
      </c>
      <c r="J94" s="52">
        <v>11561</v>
      </c>
      <c r="K94" s="52">
        <v>12679</v>
      </c>
      <c r="L94" s="52">
        <v>14595</v>
      </c>
      <c r="M94" s="27"/>
      <c r="N94" s="34"/>
      <c r="O94" s="34"/>
      <c r="P94" s="34"/>
      <c r="Q94" s="34"/>
      <c r="R94" s="34"/>
      <c r="S94" s="26"/>
      <c r="T94" s="26"/>
      <c r="U94" s="26"/>
      <c r="V94" s="26"/>
      <c r="W94" s="26"/>
      <c r="X94" s="26"/>
      <c r="Y94" s="26"/>
    </row>
    <row r="95" spans="1:25" ht="18" customHeight="1">
      <c r="A95" s="26"/>
      <c r="B95" s="97" t="s">
        <v>530</v>
      </c>
      <c r="C95" s="52">
        <v>11873</v>
      </c>
      <c r="D95" s="52">
        <v>12429</v>
      </c>
      <c r="E95" s="52">
        <v>13542</v>
      </c>
      <c r="F95" s="52">
        <v>14535</v>
      </c>
      <c r="G95" s="52">
        <v>13149</v>
      </c>
      <c r="H95" s="52">
        <v>14160</v>
      </c>
      <c r="I95" s="52">
        <v>16670</v>
      </c>
      <c r="J95" s="52">
        <v>16316</v>
      </c>
      <c r="K95" s="52">
        <v>16316</v>
      </c>
      <c r="L95" s="52">
        <v>16575</v>
      </c>
      <c r="M95" s="27"/>
      <c r="N95" s="34"/>
      <c r="O95" s="34"/>
      <c r="P95" s="34"/>
      <c r="Q95" s="34"/>
      <c r="R95" s="34"/>
      <c r="S95" s="26"/>
      <c r="T95" s="26"/>
      <c r="U95" s="26"/>
      <c r="V95" s="26"/>
      <c r="W95" s="26"/>
      <c r="X95" s="26"/>
      <c r="Y95" s="26"/>
    </row>
    <row r="96" spans="1:25" ht="18" customHeight="1">
      <c r="A96" s="26"/>
      <c r="B96" s="96" t="s">
        <v>531</v>
      </c>
      <c r="C96" s="54">
        <v>60646</v>
      </c>
      <c r="D96" s="54">
        <v>58737</v>
      </c>
      <c r="E96" s="54">
        <v>60423</v>
      </c>
      <c r="F96" s="54">
        <v>63813</v>
      </c>
      <c r="G96" s="54">
        <v>68598</v>
      </c>
      <c r="H96" s="54">
        <v>76184</v>
      </c>
      <c r="I96" s="54">
        <v>83793</v>
      </c>
      <c r="J96" s="54">
        <v>95086</v>
      </c>
      <c r="K96" s="54">
        <v>107369</v>
      </c>
      <c r="L96" s="54">
        <v>118462</v>
      </c>
      <c r="M96" s="27"/>
      <c r="N96" s="38"/>
      <c r="O96" s="38"/>
      <c r="P96" s="38"/>
      <c r="Q96" s="38"/>
      <c r="R96" s="38"/>
      <c r="S96" s="26"/>
      <c r="T96" s="26"/>
      <c r="U96" s="26"/>
      <c r="V96" s="26"/>
      <c r="W96" s="26"/>
      <c r="X96" s="26"/>
      <c r="Y96" s="26"/>
    </row>
    <row r="97" spans="1:25" ht="18" customHeight="1">
      <c r="A97" s="26"/>
      <c r="B97" s="191"/>
      <c r="C97" s="34"/>
      <c r="D97" s="34"/>
      <c r="E97" s="34"/>
      <c r="F97" s="34"/>
      <c r="G97" s="34"/>
      <c r="H97" s="34"/>
      <c r="I97" s="34"/>
      <c r="J97" s="34"/>
      <c r="K97" s="34"/>
      <c r="L97" s="34"/>
      <c r="M97" s="27"/>
      <c r="N97" s="34"/>
      <c r="O97" s="34"/>
      <c r="P97" s="34"/>
      <c r="Q97" s="34"/>
      <c r="R97" s="34"/>
      <c r="S97" s="26"/>
      <c r="T97" s="26"/>
      <c r="U97" s="26"/>
      <c r="V97" s="26"/>
      <c r="W97" s="26"/>
      <c r="X97" s="26"/>
      <c r="Y97" s="26"/>
    </row>
    <row r="98" spans="1:25" ht="18" customHeight="1">
      <c r="A98" s="26"/>
      <c r="B98" s="191" t="s">
        <v>125</v>
      </c>
      <c r="C98" s="38">
        <f>IFERROR(C79+C96,0)</f>
        <v>82829</v>
      </c>
      <c r="D98" s="38">
        <f t="shared" ref="D98:L98" si="47">IFERROR(D79+D96,0)</f>
        <v>81891</v>
      </c>
      <c r="E98" s="38">
        <f t="shared" si="47"/>
        <v>84073</v>
      </c>
      <c r="F98" s="38">
        <f t="shared" si="47"/>
        <v>89674</v>
      </c>
      <c r="G98" s="38">
        <f t="shared" si="47"/>
        <v>98655</v>
      </c>
      <c r="H98" s="38">
        <f t="shared" si="47"/>
        <v>112551</v>
      </c>
      <c r="I98" s="38">
        <f t="shared" si="47"/>
        <v>128097</v>
      </c>
      <c r="J98" s="38">
        <f t="shared" si="47"/>
        <v>139055</v>
      </c>
      <c r="K98" s="38">
        <f t="shared" si="47"/>
        <v>156193</v>
      </c>
      <c r="L98" s="38">
        <f t="shared" si="47"/>
        <v>174564</v>
      </c>
      <c r="M98" s="27"/>
      <c r="N98" s="38"/>
      <c r="O98" s="38"/>
      <c r="P98" s="38"/>
      <c r="Q98" s="38"/>
      <c r="R98" s="38"/>
      <c r="S98" s="26"/>
      <c r="T98" s="26"/>
      <c r="U98" s="26"/>
      <c r="V98" s="26"/>
      <c r="W98" s="26"/>
      <c r="X98" s="26"/>
      <c r="Y98" s="26"/>
    </row>
    <row r="99" spans="1:25" ht="15.75" customHeight="1">
      <c r="A99" s="26"/>
      <c r="B99" s="26"/>
      <c r="C99" s="26"/>
      <c r="D99" s="26"/>
      <c r="E99" s="26"/>
      <c r="F99" s="26"/>
      <c r="G99" s="26"/>
      <c r="H99" s="26"/>
      <c r="I99" s="26"/>
      <c r="J99" s="26"/>
      <c r="K99" s="26"/>
      <c r="L99" s="26"/>
      <c r="M99" s="27"/>
      <c r="N99" s="26"/>
      <c r="O99" s="26"/>
      <c r="P99" s="26"/>
      <c r="Q99" s="26"/>
      <c r="R99" s="26"/>
      <c r="S99" s="26"/>
      <c r="T99" s="26"/>
      <c r="U99" s="26"/>
      <c r="V99" s="26"/>
      <c r="W99" s="26"/>
      <c r="X99" s="26"/>
      <c r="Y99" s="26"/>
    </row>
    <row r="100" spans="1:25" ht="15.75" customHeight="1">
      <c r="A100" s="26"/>
      <c r="B100" s="26" t="s">
        <v>126</v>
      </c>
      <c r="C100" s="26" t="b">
        <f>C98=C71</f>
        <v>1</v>
      </c>
      <c r="D100" s="26" t="b">
        <f t="shared" ref="D100:L100" si="48">D98=D71</f>
        <v>1</v>
      </c>
      <c r="E100" s="26" t="b">
        <f t="shared" si="48"/>
        <v>1</v>
      </c>
      <c r="F100" s="26" t="b">
        <f t="shared" si="48"/>
        <v>1</v>
      </c>
      <c r="G100" s="26" t="b">
        <f t="shared" si="48"/>
        <v>1</v>
      </c>
      <c r="H100" s="26" t="b">
        <f t="shared" si="48"/>
        <v>1</v>
      </c>
      <c r="I100" s="26" t="b">
        <f t="shared" si="48"/>
        <v>1</v>
      </c>
      <c r="J100" s="26" t="b">
        <f t="shared" si="48"/>
        <v>1</v>
      </c>
      <c r="K100" s="26" t="b">
        <f t="shared" si="48"/>
        <v>1</v>
      </c>
      <c r="L100" s="26" t="b">
        <f t="shared" si="48"/>
        <v>1</v>
      </c>
      <c r="M100" s="27"/>
      <c r="N100" s="26"/>
      <c r="O100" s="26"/>
      <c r="P100" s="26"/>
      <c r="Q100" s="26"/>
      <c r="R100" s="26"/>
      <c r="S100" s="26"/>
      <c r="T100" s="26"/>
      <c r="U100" s="26"/>
      <c r="V100" s="26"/>
      <c r="W100" s="26"/>
      <c r="X100" s="26"/>
      <c r="Y100" s="26"/>
    </row>
    <row r="101" spans="1:25" ht="15.75" customHeight="1">
      <c r="A101" s="26"/>
      <c r="B101" s="26"/>
      <c r="C101" s="26"/>
      <c r="D101" s="26"/>
      <c r="E101" s="26"/>
      <c r="F101" s="26"/>
      <c r="G101" s="26"/>
      <c r="H101" s="26"/>
      <c r="I101" s="26"/>
      <c r="J101" s="26"/>
      <c r="K101" s="26"/>
      <c r="L101" s="26"/>
      <c r="M101" s="27"/>
      <c r="N101" s="26"/>
      <c r="O101" s="26"/>
      <c r="P101" s="26"/>
      <c r="Q101" s="26"/>
      <c r="R101" s="26"/>
      <c r="S101" s="26"/>
      <c r="T101" s="26"/>
      <c r="U101" s="26"/>
      <c r="V101" s="26"/>
      <c r="W101" s="26"/>
      <c r="X101" s="26"/>
      <c r="Y101" s="26"/>
    </row>
    <row r="102" spans="1:25" ht="15.75" customHeight="1">
      <c r="A102" s="33" t="s">
        <v>96</v>
      </c>
      <c r="B102" s="32" t="s">
        <v>127</v>
      </c>
      <c r="C102" s="33"/>
      <c r="D102" s="33"/>
      <c r="E102" s="33"/>
      <c r="F102" s="33"/>
      <c r="G102" s="33"/>
      <c r="H102" s="33"/>
      <c r="I102" s="33"/>
      <c r="J102" s="33"/>
      <c r="K102" s="33"/>
      <c r="L102" s="33"/>
      <c r="M102" s="48"/>
      <c r="N102" s="48"/>
      <c r="O102" s="48"/>
      <c r="P102" s="48"/>
      <c r="Q102" s="48"/>
      <c r="R102" s="48"/>
      <c r="S102" s="26"/>
      <c r="T102" s="26"/>
      <c r="U102" s="26"/>
      <c r="V102" s="26"/>
      <c r="W102" s="26"/>
      <c r="X102" s="26"/>
      <c r="Y102" s="26"/>
    </row>
    <row r="103" spans="1:25" ht="15.75" customHeight="1">
      <c r="A103" s="26"/>
      <c r="B103" s="26"/>
      <c r="C103" s="26"/>
      <c r="D103" s="26"/>
      <c r="E103" s="26"/>
      <c r="F103" s="26"/>
      <c r="G103" s="26"/>
      <c r="H103" s="26"/>
      <c r="I103" s="26"/>
      <c r="J103" s="26"/>
      <c r="K103" s="26"/>
      <c r="L103" s="26"/>
      <c r="M103" s="27"/>
      <c r="N103" s="26"/>
      <c r="O103" s="26"/>
      <c r="P103" s="26"/>
      <c r="Q103" s="26"/>
      <c r="R103" s="26"/>
      <c r="S103" s="26"/>
      <c r="T103" s="26"/>
      <c r="U103" s="26"/>
      <c r="V103" s="26"/>
      <c r="W103" s="26"/>
      <c r="X103" s="26"/>
      <c r="Y103" s="26"/>
    </row>
    <row r="104" spans="1:25" ht="15.75" customHeight="1">
      <c r="A104" s="26"/>
      <c r="B104" s="49" t="s">
        <v>185</v>
      </c>
      <c r="C104" s="50">
        <v>7014</v>
      </c>
      <c r="D104" s="50">
        <v>6364</v>
      </c>
      <c r="E104" s="50">
        <v>4574</v>
      </c>
      <c r="F104" s="50">
        <v>7375</v>
      </c>
      <c r="G104" s="50">
        <v>8345</v>
      </c>
      <c r="H104" s="50">
        <v>6693</v>
      </c>
      <c r="I104" s="50">
        <v>7166</v>
      </c>
      <c r="J104" s="50">
        <v>12504</v>
      </c>
      <c r="K104" s="50">
        <v>12680</v>
      </c>
      <c r="L104" s="50">
        <v>5993</v>
      </c>
      <c r="M104" s="27"/>
      <c r="N104" s="34"/>
      <c r="O104" s="34"/>
      <c r="P104" s="34"/>
      <c r="Q104" s="34"/>
      <c r="R104" s="34"/>
      <c r="S104" s="26"/>
      <c r="T104" s="26"/>
      <c r="U104" s="26"/>
      <c r="V104" s="26"/>
      <c r="W104" s="26"/>
      <c r="X104" s="26"/>
      <c r="Y104" s="26"/>
    </row>
    <row r="105" spans="1:25" ht="15.75" customHeight="1">
      <c r="A105" s="26"/>
      <c r="B105" s="51" t="s">
        <v>128</v>
      </c>
      <c r="C105" s="52">
        <v>5958</v>
      </c>
      <c r="D105" s="52">
        <v>6007</v>
      </c>
      <c r="E105" s="52">
        <v>6895</v>
      </c>
      <c r="F105" s="52">
        <v>7310</v>
      </c>
      <c r="G105" s="52">
        <v>7651</v>
      </c>
      <c r="H105" s="52">
        <v>7576</v>
      </c>
      <c r="I105" s="52">
        <v>9016</v>
      </c>
      <c r="J105" s="52">
        <v>11258</v>
      </c>
      <c r="K105" s="52">
        <v>13195</v>
      </c>
      <c r="L105" s="52">
        <v>13411</v>
      </c>
      <c r="M105" s="27"/>
      <c r="N105" s="34"/>
      <c r="O105" s="34"/>
      <c r="P105" s="34"/>
      <c r="Q105" s="34"/>
      <c r="R105" s="34"/>
      <c r="S105" s="26"/>
      <c r="T105" s="26"/>
      <c r="U105" s="26"/>
      <c r="V105" s="26"/>
      <c r="W105" s="26"/>
      <c r="X105" s="26"/>
      <c r="Y105" s="26"/>
    </row>
    <row r="106" spans="1:25" ht="15.75" customHeight="1">
      <c r="A106" s="26"/>
      <c r="B106" s="51" t="s">
        <v>78</v>
      </c>
      <c r="C106" s="52">
        <v>-52</v>
      </c>
      <c r="D106" s="52">
        <v>715</v>
      </c>
      <c r="E106" s="52">
        <v>-1649</v>
      </c>
      <c r="F106" s="52">
        <v>-97</v>
      </c>
      <c r="G106" s="52">
        <v>-1104</v>
      </c>
      <c r="H106" s="52">
        <v>-888</v>
      </c>
      <c r="I106" s="52">
        <v>-1070</v>
      </c>
      <c r="J106" s="52">
        <v>-859</v>
      </c>
      <c r="K106" s="52">
        <v>275</v>
      </c>
      <c r="L106" s="52">
        <v>751</v>
      </c>
      <c r="M106" s="27"/>
      <c r="N106" s="34"/>
      <c r="O106" s="34"/>
      <c r="P106" s="34"/>
      <c r="Q106" s="34"/>
      <c r="R106" s="34"/>
      <c r="S106" s="26"/>
      <c r="T106" s="26"/>
      <c r="U106" s="26"/>
      <c r="V106" s="26"/>
      <c r="W106" s="26"/>
      <c r="X106" s="26"/>
      <c r="Y106" s="26"/>
    </row>
    <row r="107" spans="1:25" ht="15.75" customHeight="1">
      <c r="A107" s="26"/>
      <c r="B107" s="51" t="s">
        <v>45</v>
      </c>
      <c r="C107" s="52">
        <v>-205</v>
      </c>
      <c r="D107" s="52">
        <v>-147</v>
      </c>
      <c r="E107" s="52">
        <v>-85</v>
      </c>
      <c r="F107" s="52">
        <v>-21</v>
      </c>
      <c r="G107" s="52">
        <v>-93</v>
      </c>
      <c r="H107" s="52">
        <v>-2308</v>
      </c>
      <c r="I107" s="52">
        <v>310</v>
      </c>
      <c r="J107" s="52">
        <v>-445</v>
      </c>
      <c r="K107" s="52">
        <v>-140</v>
      </c>
      <c r="L107" s="52">
        <v>-536</v>
      </c>
      <c r="M107" s="27"/>
      <c r="N107" s="34"/>
      <c r="O107" s="34"/>
      <c r="P107" s="34"/>
      <c r="Q107" s="34"/>
      <c r="R107" s="34"/>
      <c r="S107" s="26"/>
      <c r="T107" s="26"/>
      <c r="U107" s="26"/>
      <c r="V107" s="26"/>
      <c r="W107" s="26"/>
      <c r="X107" s="26"/>
      <c r="Y107" s="26"/>
    </row>
    <row r="108" spans="1:25" ht="15.75" customHeight="1">
      <c r="A108" s="26"/>
      <c r="B108" s="51" t="s">
        <v>129</v>
      </c>
      <c r="C108" s="52">
        <v>1108</v>
      </c>
      <c r="D108" s="52">
        <v>86</v>
      </c>
      <c r="E108" s="52">
        <v>-43</v>
      </c>
      <c r="F108" s="52">
        <v>-797</v>
      </c>
      <c r="G108" s="52">
        <v>1710</v>
      </c>
      <c r="H108" s="52">
        <v>3222</v>
      </c>
      <c r="I108" s="52">
        <v>-3018</v>
      </c>
      <c r="J108" s="52">
        <v>4022</v>
      </c>
      <c r="K108" s="52">
        <v>516</v>
      </c>
      <c r="L108" s="52">
        <v>-3153</v>
      </c>
      <c r="M108" s="27"/>
      <c r="N108" s="34"/>
      <c r="O108" s="34"/>
      <c r="P108" s="34"/>
      <c r="Q108" s="34"/>
      <c r="R108" s="34"/>
      <c r="S108" s="26"/>
      <c r="T108" s="26"/>
      <c r="U108" s="26"/>
      <c r="V108" s="26"/>
      <c r="W108" s="26"/>
      <c r="X108" s="26"/>
      <c r="Y108" s="26"/>
    </row>
    <row r="109" spans="1:25" ht="15.75" customHeight="1">
      <c r="A109" s="26"/>
      <c r="B109" s="51" t="s">
        <v>130</v>
      </c>
      <c r="C109" s="52">
        <v>54</v>
      </c>
      <c r="D109" s="52">
        <v>-32</v>
      </c>
      <c r="E109" s="52">
        <v>22</v>
      </c>
      <c r="F109" s="52">
        <v>-5</v>
      </c>
      <c r="G109" s="52">
        <v>-1</v>
      </c>
      <c r="H109" s="52">
        <v>-1</v>
      </c>
      <c r="I109" s="52">
        <v>0</v>
      </c>
      <c r="J109" s="52">
        <v>1</v>
      </c>
      <c r="K109" s="52">
        <v>0</v>
      </c>
      <c r="L109" s="52">
        <v>-43</v>
      </c>
      <c r="M109" s="27"/>
      <c r="N109" s="34"/>
      <c r="O109" s="34"/>
      <c r="P109" s="34"/>
      <c r="Q109" s="34"/>
      <c r="R109" s="34"/>
      <c r="S109" s="26"/>
      <c r="T109" s="26"/>
      <c r="U109" s="26"/>
      <c r="V109" s="26"/>
      <c r="W109" s="26"/>
      <c r="X109" s="26"/>
      <c r="Y109" s="26"/>
    </row>
    <row r="110" spans="1:25" ht="15.75" customHeight="1">
      <c r="A110" s="26"/>
      <c r="B110" s="51" t="s">
        <v>131</v>
      </c>
      <c r="C110" s="52">
        <v>147</v>
      </c>
      <c r="D110" s="52">
        <v>37</v>
      </c>
      <c r="E110" s="52">
        <v>117</v>
      </c>
      <c r="F110" s="52">
        <v>-136</v>
      </c>
      <c r="G110" s="52">
        <v>158</v>
      </c>
      <c r="H110" s="52">
        <v>0</v>
      </c>
      <c r="I110" s="52">
        <v>0</v>
      </c>
      <c r="J110" s="52">
        <v>0</v>
      </c>
      <c r="K110" s="52">
        <v>0</v>
      </c>
      <c r="L110" s="52">
        <v>0</v>
      </c>
      <c r="M110" s="27"/>
      <c r="N110" s="38"/>
      <c r="O110" s="38"/>
      <c r="P110" s="38"/>
      <c r="Q110" s="38"/>
      <c r="R110" s="38"/>
      <c r="S110" s="26"/>
      <c r="T110" s="26"/>
      <c r="U110" s="26"/>
      <c r="V110" s="26"/>
      <c r="W110" s="26"/>
      <c r="X110" s="26"/>
      <c r="Y110" s="26"/>
    </row>
    <row r="111" spans="1:25" ht="15.75" customHeight="1">
      <c r="A111" s="26"/>
      <c r="B111" s="51" t="s">
        <v>132</v>
      </c>
      <c r="C111" s="52">
        <v>584</v>
      </c>
      <c r="D111" s="52">
        <v>299</v>
      </c>
      <c r="E111" s="52">
        <v>-177</v>
      </c>
      <c r="F111" s="52">
        <v>1729</v>
      </c>
      <c r="G111" s="52">
        <v>472</v>
      </c>
      <c r="H111" s="52">
        <v>-214</v>
      </c>
      <c r="I111" s="52">
        <v>2799</v>
      </c>
      <c r="J111" s="52">
        <v>-884</v>
      </c>
      <c r="K111" s="52">
        <v>-579</v>
      </c>
      <c r="L111" s="52">
        <v>-3273</v>
      </c>
      <c r="M111" s="27"/>
      <c r="N111" s="26"/>
      <c r="O111" s="26"/>
      <c r="P111" s="26"/>
      <c r="Q111" s="26"/>
      <c r="R111" s="26"/>
      <c r="S111" s="26"/>
      <c r="T111" s="26"/>
      <c r="U111" s="26"/>
      <c r="V111" s="26"/>
      <c r="W111" s="26"/>
      <c r="X111" s="26"/>
      <c r="Y111" s="26"/>
    </row>
    <row r="112" spans="1:25" ht="15.75" customHeight="1">
      <c r="A112" s="26"/>
      <c r="B112" s="71" t="s">
        <v>133</v>
      </c>
      <c r="C112" s="54">
        <v>1636</v>
      </c>
      <c r="D112" s="54">
        <v>958</v>
      </c>
      <c r="E112" s="54">
        <v>-1815</v>
      </c>
      <c r="F112" s="54">
        <v>674</v>
      </c>
      <c r="G112" s="54">
        <v>1141</v>
      </c>
      <c r="H112" s="54">
        <v>-189</v>
      </c>
      <c r="I112" s="54">
        <v>-979</v>
      </c>
      <c r="J112" s="54">
        <v>1836</v>
      </c>
      <c r="K112" s="54">
        <v>72</v>
      </c>
      <c r="L112" s="54">
        <v>-6253</v>
      </c>
      <c r="M112" s="27"/>
      <c r="N112" s="26"/>
      <c r="O112" s="26"/>
      <c r="P112" s="26"/>
      <c r="Q112" s="26"/>
      <c r="R112" s="26"/>
      <c r="S112" s="26"/>
      <c r="T112" s="26"/>
      <c r="U112" s="26"/>
      <c r="V112" s="26"/>
      <c r="W112" s="26"/>
      <c r="X112" s="26"/>
      <c r="Y112" s="26"/>
    </row>
    <row r="113" spans="1:25" ht="15.75" customHeight="1">
      <c r="A113" s="26"/>
      <c r="B113" s="51" t="s">
        <v>134</v>
      </c>
      <c r="C113" s="52">
        <v>-580</v>
      </c>
      <c r="D113" s="52">
        <v>-602</v>
      </c>
      <c r="E113" s="52">
        <v>-506</v>
      </c>
      <c r="F113" s="52">
        <v>-609</v>
      </c>
      <c r="G113" s="52">
        <v>-447</v>
      </c>
      <c r="H113" s="52">
        <v>-695</v>
      </c>
      <c r="I113" s="52">
        <v>-871</v>
      </c>
      <c r="J113" s="52">
        <v>-589</v>
      </c>
      <c r="K113" s="52">
        <v>-587</v>
      </c>
      <c r="L113" s="52">
        <v>-1164</v>
      </c>
      <c r="M113" s="27"/>
      <c r="N113" s="26"/>
      <c r="O113" s="26"/>
      <c r="P113" s="26"/>
      <c r="Q113" s="26"/>
      <c r="R113" s="26"/>
      <c r="S113" s="26"/>
      <c r="T113" s="26"/>
      <c r="U113" s="26"/>
      <c r="V113" s="26"/>
      <c r="W113" s="26"/>
      <c r="X113" s="26"/>
      <c r="Y113" s="26"/>
    </row>
    <row r="114" spans="1:25" ht="25.5" customHeight="1">
      <c r="A114" s="26"/>
      <c r="B114" s="49" t="s">
        <v>186</v>
      </c>
      <c r="C114" s="50">
        <v>-7373</v>
      </c>
      <c r="D114" s="50">
        <v>-1512</v>
      </c>
      <c r="E114" s="50">
        <v>-272</v>
      </c>
      <c r="F114" s="50">
        <v>-493</v>
      </c>
      <c r="G114" s="50">
        <v>993</v>
      </c>
      <c r="H114" s="50">
        <v>-6250</v>
      </c>
      <c r="I114" s="50">
        <v>-7263</v>
      </c>
      <c r="J114" s="50">
        <v>-8935</v>
      </c>
      <c r="K114" s="50">
        <v>-15436</v>
      </c>
      <c r="L114" s="50">
        <v>-14129</v>
      </c>
      <c r="M114" s="27"/>
      <c r="N114" s="26"/>
      <c r="O114" s="26"/>
      <c r="P114" s="26"/>
      <c r="Q114" s="26"/>
      <c r="R114" s="26"/>
      <c r="S114" s="26"/>
      <c r="T114" s="26"/>
      <c r="U114" s="26"/>
      <c r="V114" s="26"/>
      <c r="W114" s="26"/>
      <c r="X114" s="26"/>
      <c r="Y114" s="26"/>
    </row>
    <row r="115" spans="1:25" ht="15.75" customHeight="1">
      <c r="A115" s="26"/>
      <c r="B115" s="51" t="s">
        <v>135</v>
      </c>
      <c r="C115" s="52">
        <v>-3322</v>
      </c>
      <c r="D115" s="52">
        <v>-3560</v>
      </c>
      <c r="E115" s="52">
        <v>-3576</v>
      </c>
      <c r="F115" s="52">
        <v>-2226</v>
      </c>
      <c r="G115" s="52">
        <v>-3336</v>
      </c>
      <c r="H115" s="52">
        <v>-7268</v>
      </c>
      <c r="I115" s="52">
        <v>-7656</v>
      </c>
      <c r="J115" s="52">
        <v>-13241</v>
      </c>
      <c r="K115" s="52">
        <v>-17273</v>
      </c>
      <c r="L115" s="52">
        <v>0</v>
      </c>
      <c r="M115" s="27"/>
      <c r="N115" s="26"/>
      <c r="O115" s="26"/>
      <c r="P115" s="26"/>
      <c r="Q115" s="26"/>
      <c r="R115" s="26"/>
      <c r="S115" s="26"/>
      <c r="T115" s="26"/>
      <c r="U115" s="26"/>
      <c r="V115" s="26"/>
      <c r="W115" s="26"/>
      <c r="X115" s="26"/>
      <c r="Y115" s="26"/>
    </row>
    <row r="116" spans="1:25" ht="15.75" customHeight="1">
      <c r="A116" s="26"/>
      <c r="B116" s="51" t="s">
        <v>136</v>
      </c>
      <c r="C116" s="52">
        <v>16</v>
      </c>
      <c r="D116" s="52">
        <v>56</v>
      </c>
      <c r="E116" s="52">
        <v>43</v>
      </c>
      <c r="F116" s="52">
        <v>36</v>
      </c>
      <c r="G116" s="52">
        <v>1549</v>
      </c>
      <c r="H116" s="52">
        <v>35</v>
      </c>
      <c r="I116" s="52">
        <v>50</v>
      </c>
      <c r="J116" s="52">
        <v>146</v>
      </c>
      <c r="K116" s="52">
        <v>235</v>
      </c>
      <c r="L116" s="52">
        <v>0</v>
      </c>
      <c r="M116" s="27"/>
      <c r="N116" s="26"/>
      <c r="O116" s="26"/>
      <c r="P116" s="26"/>
      <c r="Q116" s="26"/>
      <c r="R116" s="26"/>
      <c r="S116" s="26"/>
      <c r="T116" s="26"/>
      <c r="U116" s="26"/>
      <c r="V116" s="26"/>
      <c r="W116" s="26"/>
      <c r="X116" s="26"/>
      <c r="Y116" s="26"/>
    </row>
    <row r="117" spans="1:25" ht="15.75" customHeight="1">
      <c r="A117" s="26"/>
      <c r="B117" s="51" t="s">
        <v>137</v>
      </c>
      <c r="C117" s="52">
        <v>-39462</v>
      </c>
      <c r="D117" s="52">
        <v>-20055</v>
      </c>
      <c r="E117" s="52">
        <v>-20777</v>
      </c>
      <c r="F117" s="52">
        <v>-15594</v>
      </c>
      <c r="G117" s="52">
        <v>-80</v>
      </c>
      <c r="H117" s="52">
        <v>-585</v>
      </c>
      <c r="I117" s="52">
        <v>-973</v>
      </c>
      <c r="J117" s="52">
        <v>-344</v>
      </c>
      <c r="K117" s="52">
        <v>-15</v>
      </c>
      <c r="L117" s="52">
        <v>-18</v>
      </c>
      <c r="M117" s="27"/>
      <c r="N117" s="26"/>
      <c r="O117" s="26"/>
      <c r="P117" s="26"/>
      <c r="Q117" s="26"/>
      <c r="R117" s="26"/>
      <c r="S117" s="26"/>
      <c r="T117" s="26"/>
      <c r="U117" s="26"/>
      <c r="V117" s="26"/>
      <c r="W117" s="26"/>
      <c r="X117" s="26"/>
      <c r="Y117" s="26"/>
    </row>
    <row r="118" spans="1:25" ht="15.75" customHeight="1">
      <c r="A118" s="26"/>
      <c r="B118" s="51" t="s">
        <v>138</v>
      </c>
      <c r="C118" s="52">
        <v>38913</v>
      </c>
      <c r="D118" s="52">
        <v>20948</v>
      </c>
      <c r="E118" s="52">
        <v>23444</v>
      </c>
      <c r="F118" s="52">
        <v>15251</v>
      </c>
      <c r="G118" s="52">
        <v>928</v>
      </c>
      <c r="H118" s="52">
        <v>360</v>
      </c>
      <c r="I118" s="52">
        <v>879</v>
      </c>
      <c r="J118" s="52">
        <v>386</v>
      </c>
      <c r="K118" s="52">
        <v>290</v>
      </c>
      <c r="L118" s="52">
        <v>68</v>
      </c>
      <c r="M118" s="27"/>
      <c r="N118" s="26"/>
      <c r="O118" s="26"/>
      <c r="P118" s="26"/>
      <c r="Q118" s="26"/>
      <c r="R118" s="26"/>
      <c r="S118" s="26"/>
      <c r="T118" s="26"/>
      <c r="U118" s="26"/>
      <c r="V118" s="26"/>
      <c r="W118" s="26"/>
      <c r="X118" s="26"/>
      <c r="Y118" s="26"/>
    </row>
    <row r="119" spans="1:25" ht="15.75" customHeight="1">
      <c r="A119" s="26"/>
      <c r="B119" s="51" t="s">
        <v>139</v>
      </c>
      <c r="C119" s="52">
        <v>110</v>
      </c>
      <c r="D119" s="52">
        <v>124</v>
      </c>
      <c r="E119" s="52">
        <v>139</v>
      </c>
      <c r="F119" s="52">
        <v>165</v>
      </c>
      <c r="G119" s="52">
        <v>161</v>
      </c>
      <c r="H119" s="52">
        <v>151</v>
      </c>
      <c r="I119" s="52">
        <v>315</v>
      </c>
      <c r="J119" s="52">
        <v>856</v>
      </c>
      <c r="K119" s="52">
        <v>752</v>
      </c>
      <c r="L119" s="52">
        <v>864</v>
      </c>
      <c r="M119" s="27"/>
      <c r="N119" s="26"/>
      <c r="O119" s="26"/>
      <c r="P119" s="26"/>
      <c r="Q119" s="26"/>
      <c r="R119" s="26"/>
      <c r="S119" s="26"/>
      <c r="T119" s="26"/>
      <c r="U119" s="26"/>
      <c r="V119" s="26"/>
      <c r="W119" s="26"/>
      <c r="X119" s="26"/>
      <c r="Y119" s="26"/>
    </row>
    <row r="120" spans="1:25" ht="15.75" customHeight="1">
      <c r="A120" s="26"/>
      <c r="B120" s="51" t="s">
        <v>140</v>
      </c>
      <c r="C120" s="52">
        <v>517</v>
      </c>
      <c r="D120" s="52">
        <v>1002</v>
      </c>
      <c r="E120" s="52">
        <v>309</v>
      </c>
      <c r="F120" s="52">
        <v>1895</v>
      </c>
      <c r="G120" s="52">
        <v>1846</v>
      </c>
      <c r="H120" s="52">
        <v>1856</v>
      </c>
      <c r="I120" s="52">
        <v>3310</v>
      </c>
      <c r="J120" s="52">
        <v>2317</v>
      </c>
      <c r="K120" s="52">
        <v>1556</v>
      </c>
      <c r="L120" s="52">
        <v>1539</v>
      </c>
      <c r="M120" s="27"/>
      <c r="N120" s="26"/>
      <c r="O120" s="26"/>
      <c r="P120" s="26"/>
      <c r="Q120" s="26"/>
      <c r="R120" s="26"/>
      <c r="S120" s="26"/>
      <c r="T120" s="26"/>
      <c r="U120" s="26"/>
      <c r="V120" s="26"/>
      <c r="W120" s="26"/>
      <c r="X120" s="26"/>
      <c r="Y120" s="26"/>
    </row>
    <row r="121" spans="1:25" ht="15.75" customHeight="1">
      <c r="A121" s="26"/>
      <c r="B121" s="51" t="s">
        <v>141</v>
      </c>
      <c r="C121" s="52">
        <v>-26</v>
      </c>
      <c r="D121" s="52">
        <v>-106</v>
      </c>
      <c r="E121" s="52">
        <v>0</v>
      </c>
      <c r="F121" s="52">
        <v>0</v>
      </c>
      <c r="G121" s="52">
        <v>0</v>
      </c>
      <c r="H121" s="52">
        <v>0</v>
      </c>
      <c r="I121" s="52">
        <v>0</v>
      </c>
      <c r="J121" s="52">
        <v>0</v>
      </c>
      <c r="K121" s="52">
        <v>0</v>
      </c>
      <c r="L121" s="52">
        <v>-294</v>
      </c>
      <c r="M121" s="27"/>
      <c r="N121" s="26"/>
      <c r="O121" s="26"/>
      <c r="P121" s="26"/>
      <c r="Q121" s="26"/>
      <c r="R121" s="26"/>
      <c r="S121" s="26"/>
      <c r="T121" s="26"/>
      <c r="U121" s="26"/>
      <c r="V121" s="26"/>
      <c r="W121" s="26"/>
      <c r="X121" s="26"/>
      <c r="Y121" s="26"/>
    </row>
    <row r="122" spans="1:25" ht="15.75" customHeight="1">
      <c r="A122" s="26"/>
      <c r="B122" s="51" t="s">
        <v>142</v>
      </c>
      <c r="C122" s="52">
        <v>185</v>
      </c>
      <c r="D122" s="52">
        <v>57</v>
      </c>
      <c r="E122" s="52">
        <v>0</v>
      </c>
      <c r="F122" s="52">
        <v>0</v>
      </c>
      <c r="G122" s="52">
        <v>0</v>
      </c>
      <c r="H122" s="52">
        <v>0</v>
      </c>
      <c r="I122" s="52">
        <v>0</v>
      </c>
      <c r="J122" s="52">
        <v>0</v>
      </c>
      <c r="K122" s="52">
        <v>0</v>
      </c>
      <c r="L122" s="52">
        <v>11</v>
      </c>
      <c r="M122" s="27"/>
      <c r="N122" s="26"/>
      <c r="O122" s="26"/>
      <c r="P122" s="26"/>
      <c r="Q122" s="26"/>
      <c r="R122" s="26"/>
      <c r="S122" s="26"/>
      <c r="T122" s="26"/>
      <c r="U122" s="26"/>
      <c r="V122" s="26"/>
      <c r="W122" s="26"/>
      <c r="X122" s="26"/>
      <c r="Y122" s="26"/>
    </row>
    <row r="123" spans="1:25" ht="15.75" customHeight="1">
      <c r="A123" s="26"/>
      <c r="B123" s="51" t="s">
        <v>143</v>
      </c>
      <c r="C123" s="52">
        <v>90</v>
      </c>
      <c r="D123" s="52">
        <v>-50</v>
      </c>
      <c r="E123" s="52">
        <v>84</v>
      </c>
      <c r="F123" s="52">
        <v>0</v>
      </c>
      <c r="G123" s="52">
        <v>5</v>
      </c>
      <c r="H123" s="52">
        <v>0</v>
      </c>
      <c r="I123" s="52">
        <v>-2</v>
      </c>
      <c r="J123" s="52">
        <v>16</v>
      </c>
      <c r="K123" s="52">
        <v>0</v>
      </c>
      <c r="L123" s="52">
        <v>0</v>
      </c>
      <c r="M123" s="27"/>
      <c r="N123" s="26"/>
      <c r="O123" s="26"/>
      <c r="P123" s="26"/>
      <c r="Q123" s="26"/>
      <c r="R123" s="26"/>
      <c r="S123" s="26"/>
      <c r="T123" s="26"/>
      <c r="U123" s="26"/>
      <c r="V123" s="26"/>
      <c r="W123" s="26"/>
      <c r="X123" s="26"/>
      <c r="Y123" s="26"/>
    </row>
    <row r="124" spans="1:25" ht="15.75" customHeight="1">
      <c r="A124" s="26"/>
      <c r="B124" s="51" t="s">
        <v>144</v>
      </c>
      <c r="C124" s="52">
        <v>-4393</v>
      </c>
      <c r="D124" s="52">
        <v>73</v>
      </c>
      <c r="E124" s="52">
        <v>62</v>
      </c>
      <c r="F124" s="52">
        <v>-20</v>
      </c>
      <c r="G124" s="52">
        <v>-80</v>
      </c>
      <c r="H124" s="52">
        <v>-799</v>
      </c>
      <c r="I124" s="52">
        <v>-3187</v>
      </c>
      <c r="J124" s="52">
        <v>929</v>
      </c>
      <c r="K124" s="52">
        <v>-982</v>
      </c>
      <c r="L124" s="52">
        <v>-16299</v>
      </c>
      <c r="M124" s="27"/>
      <c r="N124" s="26"/>
      <c r="O124" s="26"/>
      <c r="P124" s="26"/>
      <c r="Q124" s="26"/>
      <c r="R124" s="26"/>
      <c r="S124" s="26"/>
      <c r="T124" s="26"/>
      <c r="U124" s="26"/>
      <c r="V124" s="26"/>
      <c r="W124" s="26"/>
      <c r="X124" s="26"/>
      <c r="Y124" s="26"/>
    </row>
    <row r="125" spans="1:25" ht="27" customHeight="1">
      <c r="A125" s="26"/>
      <c r="B125" s="49" t="s">
        <v>187</v>
      </c>
      <c r="C125" s="50">
        <v>937</v>
      </c>
      <c r="D125" s="50">
        <v>-4726</v>
      </c>
      <c r="E125" s="50">
        <v>-5184</v>
      </c>
      <c r="F125" s="50">
        <v>-5110</v>
      </c>
      <c r="G125" s="50">
        <v>-7603</v>
      </c>
      <c r="H125" s="50">
        <v>-1183</v>
      </c>
      <c r="I125" s="50">
        <v>1341</v>
      </c>
      <c r="J125" s="50">
        <v>-4497</v>
      </c>
      <c r="K125" s="50">
        <v>4292</v>
      </c>
      <c r="L125" s="50">
        <v>7783</v>
      </c>
      <c r="M125" s="27"/>
      <c r="N125" s="26"/>
      <c r="O125" s="26"/>
      <c r="P125" s="26"/>
      <c r="Q125" s="26"/>
      <c r="R125" s="26"/>
      <c r="S125" s="26"/>
      <c r="T125" s="26"/>
      <c r="U125" s="26"/>
      <c r="V125" s="26"/>
      <c r="W125" s="26"/>
      <c r="X125" s="26"/>
      <c r="Y125" s="26"/>
    </row>
    <row r="126" spans="1:25" ht="15.75" customHeight="1">
      <c r="A126" s="26"/>
      <c r="B126" s="51" t="s">
        <v>145</v>
      </c>
      <c r="C126" s="52">
        <v>157</v>
      </c>
      <c r="D126" s="52">
        <v>85</v>
      </c>
      <c r="E126" s="52">
        <v>97</v>
      </c>
      <c r="F126" s="52">
        <v>100</v>
      </c>
      <c r="G126" s="52">
        <v>2996</v>
      </c>
      <c r="H126" s="52">
        <v>11</v>
      </c>
      <c r="I126" s="52">
        <v>4008</v>
      </c>
      <c r="J126" s="52">
        <v>114</v>
      </c>
      <c r="K126" s="52">
        <v>319</v>
      </c>
      <c r="L126" s="52">
        <v>56</v>
      </c>
      <c r="M126" s="27"/>
      <c r="N126" s="26"/>
      <c r="O126" s="26"/>
      <c r="P126" s="26"/>
      <c r="Q126" s="26"/>
      <c r="R126" s="26"/>
      <c r="S126" s="26"/>
      <c r="T126" s="26"/>
      <c r="U126" s="26"/>
      <c r="V126" s="26"/>
      <c r="W126" s="26"/>
      <c r="X126" s="26"/>
      <c r="Y126" s="26"/>
    </row>
    <row r="127" spans="1:25" ht="15.75" customHeight="1">
      <c r="A127" s="26"/>
      <c r="B127" s="51" t="s">
        <v>146</v>
      </c>
      <c r="C127" s="52">
        <v>22243</v>
      </c>
      <c r="D127" s="52">
        <v>34330</v>
      </c>
      <c r="E127" s="52">
        <v>45714</v>
      </c>
      <c r="F127" s="52">
        <v>49600</v>
      </c>
      <c r="G127" s="52">
        <v>5602</v>
      </c>
      <c r="H127" s="52">
        <v>11474</v>
      </c>
      <c r="I127" s="52">
        <v>75571</v>
      </c>
      <c r="J127" s="52">
        <v>68889</v>
      </c>
      <c r="K127" s="52">
        <v>43158</v>
      </c>
      <c r="L127" s="52">
        <v>55047</v>
      </c>
      <c r="M127" s="27"/>
      <c r="N127" s="26"/>
      <c r="O127" s="26"/>
      <c r="P127" s="26"/>
      <c r="Q127" s="26"/>
      <c r="R127" s="26"/>
      <c r="S127" s="26"/>
      <c r="T127" s="26"/>
      <c r="U127" s="26"/>
      <c r="V127" s="26"/>
      <c r="W127" s="26"/>
      <c r="X127" s="26"/>
      <c r="Y127" s="26"/>
    </row>
    <row r="128" spans="1:25" ht="15.75" customHeight="1">
      <c r="A128" s="26"/>
      <c r="B128" s="51" t="s">
        <v>147</v>
      </c>
      <c r="C128" s="52">
        <v>-17282</v>
      </c>
      <c r="D128" s="52">
        <v>-33893</v>
      </c>
      <c r="E128" s="52">
        <v>-46355</v>
      </c>
      <c r="F128" s="52">
        <v>-49707</v>
      </c>
      <c r="G128" s="52">
        <v>-11576</v>
      </c>
      <c r="H128" s="52">
        <v>-8817</v>
      </c>
      <c r="I128" s="52">
        <v>-74402</v>
      </c>
      <c r="J128" s="52">
        <v>-68376</v>
      </c>
      <c r="K128" s="52">
        <v>-34587</v>
      </c>
      <c r="L128" s="52">
        <v>-42485</v>
      </c>
      <c r="M128" s="27"/>
      <c r="N128" s="26"/>
      <c r="O128" s="26"/>
      <c r="P128" s="26"/>
      <c r="Q128" s="26"/>
      <c r="R128" s="26"/>
      <c r="S128" s="26"/>
      <c r="T128" s="26"/>
      <c r="U128" s="26"/>
      <c r="V128" s="26"/>
      <c r="W128" s="26"/>
      <c r="X128" s="26"/>
      <c r="Y128" s="26"/>
    </row>
    <row r="129" spans="1:25" ht="15.75" customHeight="1">
      <c r="A129" s="26"/>
      <c r="B129" s="51" t="s">
        <v>148</v>
      </c>
      <c r="C129" s="52">
        <v>-3264</v>
      </c>
      <c r="D129" s="52">
        <v>-4570</v>
      </c>
      <c r="E129" s="52">
        <v>-3976</v>
      </c>
      <c r="F129" s="52">
        <v>-4002</v>
      </c>
      <c r="G129" s="52">
        <v>-3731</v>
      </c>
      <c r="H129" s="52">
        <v>-3555</v>
      </c>
      <c r="I129" s="52">
        <v>-4108</v>
      </c>
      <c r="J129" s="52">
        <v>-4777</v>
      </c>
      <c r="K129" s="52">
        <v>-5069</v>
      </c>
      <c r="L129" s="52">
        <v>-5627</v>
      </c>
      <c r="M129" s="27"/>
      <c r="N129" s="26"/>
      <c r="O129" s="26"/>
      <c r="P129" s="26"/>
      <c r="Q129" s="26"/>
      <c r="R129" s="26"/>
      <c r="S129" s="26"/>
      <c r="T129" s="26"/>
      <c r="U129" s="26"/>
      <c r="V129" s="26"/>
      <c r="W129" s="26"/>
      <c r="X129" s="26"/>
      <c r="Y129" s="26"/>
    </row>
    <row r="130" spans="1:25" ht="15.75" customHeight="1">
      <c r="A130" s="26"/>
      <c r="B130" s="51" t="s">
        <v>149</v>
      </c>
      <c r="C130" s="52">
        <v>-415</v>
      </c>
      <c r="D130" s="52">
        <v>-417</v>
      </c>
      <c r="E130" s="52">
        <v>-410</v>
      </c>
      <c r="F130" s="52">
        <v>-501</v>
      </c>
      <c r="G130" s="52">
        <v>-526</v>
      </c>
      <c r="H130" s="52">
        <v>-559</v>
      </c>
      <c r="I130" s="52">
        <v>-787</v>
      </c>
      <c r="J130" s="52">
        <v>-887</v>
      </c>
      <c r="K130" s="52">
        <v>-964</v>
      </c>
      <c r="L130" s="52">
        <v>-1114</v>
      </c>
      <c r="M130" s="27"/>
      <c r="N130" s="26"/>
      <c r="O130" s="26"/>
      <c r="P130" s="26"/>
      <c r="Q130" s="26"/>
      <c r="R130" s="26"/>
      <c r="S130" s="26"/>
      <c r="T130" s="26"/>
      <c r="U130" s="26"/>
      <c r="V130" s="26"/>
      <c r="W130" s="26"/>
      <c r="X130" s="26"/>
      <c r="Y130" s="26"/>
    </row>
    <row r="131" spans="1:25" ht="15.75" customHeight="1">
      <c r="A131" s="26"/>
      <c r="B131" s="51" t="s">
        <v>150</v>
      </c>
      <c r="C131" s="52">
        <v>0</v>
      </c>
      <c r="D131" s="52">
        <v>0</v>
      </c>
      <c r="E131" s="52">
        <v>0</v>
      </c>
      <c r="F131" s="52">
        <v>-330</v>
      </c>
      <c r="G131" s="52">
        <v>-352</v>
      </c>
      <c r="H131" s="52">
        <v>-384</v>
      </c>
      <c r="I131" s="52">
        <v>-394</v>
      </c>
      <c r="J131" s="52">
        <v>-465</v>
      </c>
      <c r="K131" s="52">
        <v>-497</v>
      </c>
      <c r="L131" s="52">
        <v>-604</v>
      </c>
      <c r="M131" s="27"/>
      <c r="N131" s="26"/>
      <c r="O131" s="26"/>
      <c r="P131" s="26"/>
      <c r="Q131" s="26"/>
      <c r="R131" s="26"/>
      <c r="S131" s="26"/>
      <c r="T131" s="26"/>
      <c r="U131" s="26"/>
      <c r="V131" s="26"/>
      <c r="W131" s="26"/>
      <c r="X131" s="26"/>
      <c r="Y131" s="26"/>
    </row>
    <row r="132" spans="1:25" ht="15.75" customHeight="1">
      <c r="A132" s="26"/>
      <c r="B132" s="51" t="s">
        <v>151</v>
      </c>
      <c r="C132" s="52">
        <v>-501</v>
      </c>
      <c r="D132" s="52">
        <v>-261</v>
      </c>
      <c r="E132" s="52">
        <v>-253</v>
      </c>
      <c r="F132" s="52">
        <v>-270</v>
      </c>
      <c r="G132" s="52">
        <v>-16</v>
      </c>
      <c r="H132" s="52">
        <v>646</v>
      </c>
      <c r="I132" s="52">
        <v>1452</v>
      </c>
      <c r="J132" s="52">
        <v>1004</v>
      </c>
      <c r="K132" s="52">
        <v>1933</v>
      </c>
      <c r="L132" s="52">
        <v>2509</v>
      </c>
      <c r="M132" s="27"/>
      <c r="N132" s="26"/>
      <c r="O132" s="26"/>
      <c r="P132" s="26"/>
      <c r="Q132" s="26"/>
      <c r="R132" s="26"/>
      <c r="S132" s="26"/>
      <c r="T132" s="26"/>
      <c r="U132" s="26"/>
      <c r="V132" s="26"/>
      <c r="W132" s="26"/>
      <c r="X132" s="26"/>
      <c r="Y132" s="26"/>
    </row>
    <row r="133" spans="1:25" ht="15.75" customHeight="1">
      <c r="A133" s="26"/>
      <c r="B133" s="53" t="s">
        <v>35</v>
      </c>
      <c r="C133" s="54">
        <v>579</v>
      </c>
      <c r="D133" s="54">
        <v>126</v>
      </c>
      <c r="E133" s="54">
        <v>-883</v>
      </c>
      <c r="F133" s="54">
        <v>1773</v>
      </c>
      <c r="G133" s="54">
        <v>1736</v>
      </c>
      <c r="H133" s="54">
        <v>-741</v>
      </c>
      <c r="I133" s="54">
        <v>1243</v>
      </c>
      <c r="J133" s="54">
        <v>-928</v>
      </c>
      <c r="K133" s="54">
        <v>1536</v>
      </c>
      <c r="L133" s="54">
        <v>-353</v>
      </c>
      <c r="M133" s="27"/>
      <c r="N133" s="26"/>
      <c r="O133" s="26"/>
      <c r="P133" s="26"/>
      <c r="Q133" s="26"/>
      <c r="R133" s="26"/>
      <c r="S133" s="26"/>
      <c r="T133" s="26"/>
      <c r="U133" s="26"/>
      <c r="V133" s="26"/>
      <c r="W133" s="26"/>
      <c r="X133" s="26"/>
      <c r="Y133" s="26"/>
    </row>
    <row r="134" spans="1:25" ht="16.5" customHeight="1">
      <c r="A134" s="26"/>
      <c r="B134" s="55" t="s">
        <v>152</v>
      </c>
      <c r="C134" s="56">
        <v>3708</v>
      </c>
      <c r="D134" s="56">
        <v>2860</v>
      </c>
      <c r="E134" s="56">
        <v>1040</v>
      </c>
      <c r="F134" s="56">
        <v>5186</v>
      </c>
      <c r="G134" s="56">
        <v>6558</v>
      </c>
      <c r="H134" s="56">
        <v>-540</v>
      </c>
      <c r="I134" s="56">
        <v>-440</v>
      </c>
      <c r="J134" s="56">
        <v>-590</v>
      </c>
      <c r="K134" s="56">
        <v>-4357</v>
      </c>
      <c r="L134" s="56">
        <v>5993</v>
      </c>
      <c r="M134" s="27"/>
      <c r="N134" s="26"/>
      <c r="O134" s="26"/>
      <c r="P134" s="26"/>
      <c r="Q134" s="26"/>
      <c r="R134" s="26"/>
      <c r="S134" s="26"/>
      <c r="T134" s="26"/>
      <c r="U134" s="26"/>
      <c r="V134" s="26"/>
      <c r="W134" s="26"/>
      <c r="X134" s="26"/>
      <c r="Y134" s="26"/>
    </row>
    <row r="135" spans="1:25" ht="15.75" customHeight="1">
      <c r="A135" s="26"/>
      <c r="B135" s="26"/>
      <c r="C135" s="26"/>
      <c r="D135" s="26"/>
      <c r="E135" s="26"/>
      <c r="F135" s="26"/>
      <c r="G135" s="26"/>
      <c r="H135" s="26"/>
      <c r="I135" s="26"/>
      <c r="J135" s="26"/>
      <c r="K135" s="26"/>
      <c r="L135" s="26"/>
      <c r="M135" s="27"/>
      <c r="N135" s="26"/>
      <c r="O135" s="26"/>
      <c r="P135" s="26"/>
      <c r="Q135" s="26"/>
      <c r="R135" s="26"/>
      <c r="S135" s="26"/>
      <c r="T135" s="26"/>
      <c r="U135" s="26"/>
      <c r="V135" s="26"/>
      <c r="W135" s="26"/>
      <c r="X135" s="26"/>
      <c r="Y135" s="26"/>
    </row>
    <row r="136" spans="1:25" ht="15.75" customHeight="1">
      <c r="A136" s="26"/>
      <c r="B136" s="26"/>
      <c r="C136" s="26"/>
      <c r="D136" s="26"/>
      <c r="E136" s="26"/>
      <c r="F136" s="26"/>
      <c r="G136" s="26"/>
      <c r="H136" s="26"/>
      <c r="I136" s="26"/>
      <c r="J136" s="26"/>
      <c r="K136" s="26"/>
      <c r="L136" s="26"/>
      <c r="M136" s="27"/>
      <c r="N136" s="26"/>
      <c r="O136" s="26"/>
      <c r="P136" s="26"/>
      <c r="Q136" s="26"/>
      <c r="R136" s="26"/>
      <c r="S136" s="26"/>
      <c r="T136" s="26"/>
      <c r="U136" s="26"/>
      <c r="V136" s="26"/>
      <c r="W136" s="26"/>
      <c r="X136" s="26"/>
      <c r="Y136" s="26"/>
    </row>
    <row r="137" spans="1:25" ht="15.75" customHeight="1">
      <c r="A137" s="26"/>
      <c r="B137" s="26"/>
      <c r="C137" s="26"/>
      <c r="D137" s="26"/>
      <c r="E137" s="26"/>
      <c r="F137" s="26"/>
      <c r="G137" s="26"/>
      <c r="H137" s="26"/>
      <c r="I137" s="26"/>
      <c r="J137" s="26"/>
      <c r="K137" s="26"/>
      <c r="L137" s="26"/>
      <c r="M137" s="27"/>
      <c r="N137" s="26"/>
      <c r="O137" s="26"/>
      <c r="P137" s="26"/>
      <c r="Q137" s="26"/>
      <c r="R137" s="26"/>
      <c r="S137" s="26"/>
      <c r="T137" s="26"/>
      <c r="U137" s="26"/>
      <c r="V137" s="26"/>
      <c r="W137" s="26"/>
      <c r="X137" s="26"/>
      <c r="Y137" s="26"/>
    </row>
    <row r="138" spans="1:25" ht="15.75" customHeight="1">
      <c r="A138" s="26"/>
      <c r="B138" s="26"/>
      <c r="C138" s="26"/>
      <c r="D138" s="26"/>
      <c r="E138" s="26"/>
      <c r="F138" s="26"/>
      <c r="G138" s="26"/>
      <c r="H138" s="26"/>
      <c r="I138" s="26"/>
      <c r="J138" s="26"/>
      <c r="K138" s="26"/>
      <c r="L138" s="26"/>
      <c r="M138" s="27"/>
      <c r="N138" s="26"/>
      <c r="O138" s="26"/>
      <c r="P138" s="26"/>
      <c r="Q138" s="26"/>
      <c r="R138" s="26"/>
      <c r="S138" s="26"/>
      <c r="T138" s="26"/>
      <c r="U138" s="26"/>
      <c r="V138" s="26"/>
      <c r="W138" s="26"/>
      <c r="X138" s="26"/>
      <c r="Y138" s="26"/>
    </row>
    <row r="139" spans="1:25" ht="15.75" customHeight="1">
      <c r="A139" s="26"/>
      <c r="B139" s="26"/>
      <c r="C139" s="26"/>
      <c r="D139" s="26"/>
      <c r="E139" s="26"/>
      <c r="F139" s="26"/>
      <c r="G139" s="26"/>
      <c r="H139" s="26"/>
      <c r="I139" s="26"/>
      <c r="J139" s="26"/>
      <c r="K139" s="26"/>
      <c r="L139" s="26"/>
      <c r="M139" s="27"/>
      <c r="N139" s="26"/>
      <c r="O139" s="26"/>
      <c r="P139" s="26"/>
      <c r="Q139" s="26"/>
      <c r="R139" s="26"/>
      <c r="S139" s="26"/>
      <c r="T139" s="26"/>
      <c r="U139" s="26"/>
      <c r="V139" s="26"/>
      <c r="W139" s="26"/>
      <c r="X139" s="26"/>
      <c r="Y139" s="26"/>
    </row>
    <row r="140" spans="1:25" ht="15.75" customHeight="1">
      <c r="A140" s="26"/>
      <c r="B140" s="26"/>
      <c r="C140" s="26"/>
      <c r="D140" s="26"/>
      <c r="E140" s="26"/>
      <c r="F140" s="26"/>
      <c r="G140" s="26"/>
      <c r="H140" s="26"/>
      <c r="I140" s="26"/>
      <c r="J140" s="26"/>
      <c r="K140" s="26"/>
      <c r="L140" s="26"/>
      <c r="M140" s="27"/>
      <c r="N140" s="26"/>
      <c r="O140" s="26"/>
      <c r="P140" s="26"/>
      <c r="Q140" s="26"/>
      <c r="R140" s="26"/>
      <c r="S140" s="26"/>
      <c r="T140" s="26"/>
      <c r="U140" s="26"/>
      <c r="V140" s="26"/>
      <c r="W140" s="26"/>
      <c r="X140" s="26"/>
      <c r="Y140" s="26"/>
    </row>
    <row r="141" spans="1:25" ht="15.75" customHeight="1">
      <c r="A141" s="26"/>
      <c r="B141" s="26"/>
      <c r="C141" s="26"/>
      <c r="D141" s="26"/>
      <c r="E141" s="26"/>
      <c r="F141" s="26"/>
      <c r="G141" s="26"/>
      <c r="H141" s="26"/>
      <c r="I141" s="26"/>
      <c r="J141" s="26"/>
      <c r="K141" s="26"/>
      <c r="L141" s="26"/>
      <c r="M141" s="27"/>
      <c r="N141" s="26"/>
      <c r="O141" s="26"/>
      <c r="P141" s="26"/>
      <c r="Q141" s="26"/>
      <c r="R141" s="26"/>
      <c r="S141" s="26"/>
      <c r="T141" s="26"/>
      <c r="U141" s="26"/>
      <c r="V141" s="26"/>
      <c r="W141" s="26"/>
      <c r="X141" s="26"/>
      <c r="Y141" s="26"/>
    </row>
    <row r="142" spans="1:25" ht="15.75" customHeight="1">
      <c r="A142" s="26"/>
      <c r="B142" s="26"/>
      <c r="C142" s="26"/>
      <c r="D142" s="26"/>
      <c r="E142" s="26"/>
      <c r="F142" s="26"/>
      <c r="G142" s="26"/>
      <c r="H142" s="26"/>
      <c r="I142" s="26"/>
      <c r="J142" s="26"/>
      <c r="K142" s="26"/>
      <c r="L142" s="26"/>
      <c r="M142" s="27"/>
      <c r="N142" s="26"/>
      <c r="O142" s="26"/>
      <c r="P142" s="26"/>
      <c r="Q142" s="26"/>
      <c r="R142" s="26"/>
      <c r="S142" s="26"/>
      <c r="T142" s="26"/>
      <c r="U142" s="26"/>
      <c r="V142" s="26"/>
      <c r="W142" s="26"/>
      <c r="X142" s="26"/>
      <c r="Y142" s="26"/>
    </row>
    <row r="143" spans="1:25" ht="15.75" customHeight="1">
      <c r="A143" s="26"/>
      <c r="B143" s="26"/>
      <c r="C143" s="26"/>
      <c r="D143" s="26"/>
      <c r="E143" s="26"/>
      <c r="F143" s="26"/>
      <c r="G143" s="26"/>
      <c r="H143" s="26"/>
      <c r="I143" s="26"/>
      <c r="J143" s="26"/>
      <c r="K143" s="26"/>
      <c r="L143" s="26"/>
      <c r="M143" s="27"/>
      <c r="N143" s="26"/>
      <c r="O143" s="26"/>
      <c r="P143" s="26"/>
      <c r="Q143" s="26"/>
      <c r="R143" s="26"/>
      <c r="S143" s="26"/>
      <c r="T143" s="26"/>
      <c r="U143" s="26"/>
      <c r="V143" s="26"/>
      <c r="W143" s="26"/>
      <c r="X143" s="26"/>
      <c r="Y143" s="26"/>
    </row>
    <row r="144" spans="1:25" ht="15.75" customHeight="1">
      <c r="A144" s="26"/>
      <c r="B144" s="26"/>
      <c r="C144" s="26"/>
      <c r="D144" s="26"/>
      <c r="E144" s="26"/>
      <c r="F144" s="26"/>
      <c r="G144" s="26"/>
      <c r="H144" s="26"/>
      <c r="I144" s="26"/>
      <c r="J144" s="26"/>
      <c r="K144" s="26"/>
      <c r="L144" s="26"/>
      <c r="M144" s="27"/>
      <c r="N144" s="26"/>
      <c r="O144" s="26"/>
      <c r="P144" s="26"/>
      <c r="Q144" s="26"/>
      <c r="R144" s="26"/>
      <c r="S144" s="26"/>
      <c r="T144" s="26"/>
      <c r="U144" s="26"/>
      <c r="V144" s="26"/>
      <c r="W144" s="26"/>
      <c r="X144" s="26"/>
      <c r="Y144" s="26"/>
    </row>
    <row r="145" spans="1:25" ht="15.75" customHeight="1">
      <c r="A145" s="26"/>
      <c r="B145" s="26"/>
      <c r="C145" s="26"/>
      <c r="D145" s="26"/>
      <c r="E145" s="26"/>
      <c r="F145" s="26"/>
      <c r="G145" s="26"/>
      <c r="H145" s="26"/>
      <c r="I145" s="26"/>
      <c r="J145" s="26"/>
      <c r="K145" s="26"/>
      <c r="L145" s="26"/>
      <c r="M145" s="27"/>
      <c r="N145" s="26"/>
      <c r="O145" s="26"/>
      <c r="P145" s="26"/>
      <c r="Q145" s="26"/>
      <c r="R145" s="26"/>
      <c r="S145" s="26"/>
      <c r="T145" s="26"/>
      <c r="U145" s="26"/>
      <c r="V145" s="26"/>
      <c r="W145" s="26"/>
      <c r="X145" s="26"/>
      <c r="Y145" s="26"/>
    </row>
    <row r="146" spans="1:25" ht="15.75" customHeight="1">
      <c r="A146" s="26"/>
      <c r="B146" s="26"/>
      <c r="C146" s="26"/>
      <c r="D146" s="26"/>
      <c r="E146" s="26"/>
      <c r="F146" s="26"/>
      <c r="G146" s="26"/>
      <c r="H146" s="26"/>
      <c r="I146" s="26"/>
      <c r="J146" s="26"/>
      <c r="K146" s="26"/>
      <c r="L146" s="26"/>
      <c r="M146" s="27"/>
      <c r="N146" s="26"/>
      <c r="O146" s="26"/>
      <c r="P146" s="26"/>
      <c r="Q146" s="26"/>
      <c r="R146" s="26"/>
      <c r="S146" s="26"/>
      <c r="T146" s="26"/>
      <c r="U146" s="26"/>
      <c r="V146" s="26"/>
      <c r="W146" s="26"/>
      <c r="X146" s="26"/>
      <c r="Y146" s="26"/>
    </row>
    <row r="147" spans="1:25" ht="15.75" customHeight="1">
      <c r="A147" s="26"/>
      <c r="B147" s="26"/>
      <c r="C147" s="26"/>
      <c r="D147" s="26"/>
      <c r="E147" s="26"/>
      <c r="F147" s="26"/>
      <c r="G147" s="26"/>
      <c r="H147" s="26"/>
      <c r="I147" s="26"/>
      <c r="J147" s="26"/>
      <c r="K147" s="26"/>
      <c r="L147" s="26"/>
      <c r="M147" s="27"/>
      <c r="N147" s="26"/>
      <c r="O147" s="26"/>
      <c r="P147" s="26"/>
      <c r="Q147" s="26"/>
      <c r="R147" s="26"/>
      <c r="S147" s="26"/>
      <c r="T147" s="26"/>
      <c r="U147" s="26"/>
      <c r="V147" s="26"/>
      <c r="W147" s="26"/>
      <c r="X147" s="26"/>
      <c r="Y147" s="26"/>
    </row>
    <row r="148" spans="1:25" ht="15.75" customHeight="1">
      <c r="A148" s="26"/>
      <c r="B148" s="26"/>
      <c r="C148" s="26"/>
      <c r="D148" s="26"/>
      <c r="E148" s="26"/>
      <c r="F148" s="26"/>
      <c r="G148" s="26"/>
      <c r="H148" s="26"/>
      <c r="I148" s="26"/>
      <c r="J148" s="26"/>
      <c r="K148" s="26"/>
      <c r="L148" s="26"/>
      <c r="M148" s="27"/>
      <c r="N148" s="26"/>
      <c r="O148" s="26"/>
      <c r="P148" s="26"/>
      <c r="Q148" s="26"/>
      <c r="R148" s="26"/>
      <c r="S148" s="26"/>
      <c r="T148" s="26"/>
      <c r="U148" s="26"/>
      <c r="V148" s="26"/>
      <c r="W148" s="26"/>
      <c r="X148" s="26"/>
      <c r="Y148" s="26"/>
    </row>
    <row r="149" spans="1:25" ht="15.75" customHeight="1">
      <c r="A149" s="26"/>
      <c r="B149" s="26"/>
      <c r="C149" s="26"/>
      <c r="D149" s="26"/>
      <c r="E149" s="26"/>
      <c r="F149" s="26"/>
      <c r="G149" s="26"/>
      <c r="H149" s="26"/>
      <c r="I149" s="26"/>
      <c r="J149" s="26"/>
      <c r="K149" s="26"/>
      <c r="L149" s="26"/>
      <c r="M149" s="27"/>
      <c r="N149" s="26"/>
      <c r="O149" s="26"/>
      <c r="P149" s="26"/>
      <c r="Q149" s="26"/>
      <c r="R149" s="26"/>
      <c r="S149" s="26"/>
      <c r="T149" s="26"/>
      <c r="U149" s="26"/>
      <c r="V149" s="26"/>
      <c r="W149" s="26"/>
      <c r="X149" s="26"/>
      <c r="Y149" s="26"/>
    </row>
    <row r="150" spans="1:25" ht="15.75" customHeight="1">
      <c r="A150" s="26"/>
      <c r="B150" s="26"/>
      <c r="C150" s="26"/>
      <c r="D150" s="26"/>
      <c r="E150" s="26"/>
      <c r="F150" s="26"/>
      <c r="G150" s="26"/>
      <c r="H150" s="26"/>
      <c r="I150" s="26"/>
      <c r="J150" s="26"/>
      <c r="K150" s="26"/>
      <c r="L150" s="26"/>
      <c r="M150" s="27"/>
      <c r="N150" s="26"/>
      <c r="O150" s="26"/>
      <c r="P150" s="26"/>
      <c r="Q150" s="26"/>
      <c r="R150" s="26"/>
      <c r="S150" s="26"/>
      <c r="T150" s="26"/>
      <c r="U150" s="26"/>
      <c r="V150" s="26"/>
      <c r="W150" s="26"/>
      <c r="X150" s="26"/>
      <c r="Y150" s="26"/>
    </row>
    <row r="151" spans="1:25" ht="15.75" customHeight="1">
      <c r="A151" s="26"/>
      <c r="B151" s="26"/>
      <c r="C151" s="26"/>
      <c r="D151" s="26"/>
      <c r="E151" s="26"/>
      <c r="F151" s="26"/>
      <c r="G151" s="26"/>
      <c r="H151" s="26"/>
      <c r="I151" s="26"/>
      <c r="J151" s="26"/>
      <c r="K151" s="26"/>
      <c r="L151" s="26"/>
      <c r="M151" s="27"/>
      <c r="N151" s="26"/>
      <c r="O151" s="26"/>
      <c r="P151" s="26"/>
      <c r="Q151" s="26"/>
      <c r="R151" s="26"/>
      <c r="S151" s="26"/>
      <c r="T151" s="26"/>
      <c r="U151" s="26"/>
      <c r="V151" s="26"/>
      <c r="W151" s="26"/>
      <c r="X151" s="26"/>
      <c r="Y151" s="26"/>
    </row>
    <row r="152" spans="1:25" ht="15.75" customHeight="1">
      <c r="A152" s="26"/>
      <c r="B152" s="26"/>
      <c r="C152" s="26"/>
      <c r="D152" s="26"/>
      <c r="E152" s="26"/>
      <c r="F152" s="26"/>
      <c r="G152" s="26"/>
      <c r="H152" s="26"/>
      <c r="I152" s="26"/>
      <c r="J152" s="26"/>
      <c r="K152" s="26"/>
      <c r="L152" s="26"/>
      <c r="M152" s="27"/>
      <c r="N152" s="26"/>
      <c r="O152" s="26"/>
      <c r="P152" s="26"/>
      <c r="Q152" s="26"/>
      <c r="R152" s="26"/>
      <c r="S152" s="26"/>
      <c r="T152" s="26"/>
      <c r="U152" s="26"/>
      <c r="V152" s="26"/>
      <c r="W152" s="26"/>
      <c r="X152" s="26"/>
      <c r="Y152" s="26"/>
    </row>
    <row r="153" spans="1:25" ht="15.75" customHeight="1">
      <c r="A153" s="26"/>
      <c r="B153" s="26"/>
      <c r="C153" s="26"/>
      <c r="D153" s="26"/>
      <c r="E153" s="26"/>
      <c r="F153" s="26"/>
      <c r="G153" s="26"/>
      <c r="H153" s="26"/>
      <c r="I153" s="26"/>
      <c r="J153" s="26"/>
      <c r="K153" s="26"/>
      <c r="L153" s="26"/>
      <c r="M153" s="27"/>
      <c r="N153" s="26"/>
      <c r="O153" s="26"/>
      <c r="P153" s="26"/>
      <c r="Q153" s="26"/>
      <c r="R153" s="26"/>
      <c r="S153" s="26"/>
      <c r="T153" s="26"/>
      <c r="U153" s="26"/>
      <c r="V153" s="26"/>
      <c r="W153" s="26"/>
      <c r="X153" s="26"/>
      <c r="Y153" s="26"/>
    </row>
    <row r="154" spans="1:25" ht="15.75" customHeight="1">
      <c r="A154" s="26"/>
      <c r="B154" s="26"/>
      <c r="C154" s="26"/>
      <c r="D154" s="26"/>
      <c r="E154" s="26"/>
      <c r="F154" s="26"/>
      <c r="G154" s="26"/>
      <c r="H154" s="26"/>
      <c r="I154" s="26"/>
      <c r="J154" s="26"/>
      <c r="K154" s="26"/>
      <c r="L154" s="26"/>
      <c r="M154" s="27"/>
      <c r="N154" s="26"/>
      <c r="O154" s="26"/>
      <c r="P154" s="26"/>
      <c r="Q154" s="26"/>
      <c r="R154" s="26"/>
      <c r="S154" s="26"/>
      <c r="T154" s="26"/>
      <c r="U154" s="26"/>
      <c r="V154" s="26"/>
      <c r="W154" s="26"/>
      <c r="X154" s="26"/>
      <c r="Y154" s="26"/>
    </row>
    <row r="155" spans="1:25" ht="15.75" customHeight="1">
      <c r="A155" s="26"/>
      <c r="B155" s="26"/>
      <c r="C155" s="26"/>
      <c r="D155" s="26"/>
      <c r="E155" s="26"/>
      <c r="F155" s="26"/>
      <c r="G155" s="26"/>
      <c r="H155" s="26"/>
      <c r="I155" s="26"/>
      <c r="J155" s="26"/>
      <c r="K155" s="26"/>
      <c r="L155" s="26"/>
      <c r="M155" s="27"/>
      <c r="N155" s="26"/>
      <c r="O155" s="26"/>
      <c r="P155" s="26"/>
      <c r="Q155" s="26"/>
      <c r="R155" s="26"/>
      <c r="S155" s="26"/>
      <c r="T155" s="26"/>
      <c r="U155" s="26"/>
      <c r="V155" s="26"/>
      <c r="W155" s="26"/>
      <c r="X155" s="26"/>
      <c r="Y155" s="26"/>
    </row>
    <row r="156" spans="1:25" ht="15.75" customHeight="1">
      <c r="A156" s="26"/>
      <c r="B156" s="26"/>
      <c r="C156" s="26"/>
      <c r="D156" s="26"/>
      <c r="E156" s="26"/>
      <c r="F156" s="26"/>
      <c r="G156" s="26"/>
      <c r="H156" s="26"/>
      <c r="I156" s="26"/>
      <c r="J156" s="26"/>
      <c r="K156" s="26"/>
      <c r="L156" s="26"/>
      <c r="M156" s="27"/>
      <c r="N156" s="26"/>
      <c r="O156" s="26"/>
      <c r="P156" s="26"/>
      <c r="Q156" s="26"/>
      <c r="R156" s="26"/>
      <c r="S156" s="26"/>
      <c r="T156" s="26"/>
      <c r="U156" s="26"/>
      <c r="V156" s="26"/>
      <c r="W156" s="26"/>
      <c r="X156" s="26"/>
      <c r="Y156" s="26"/>
    </row>
    <row r="157" spans="1:25" ht="15.75" customHeight="1">
      <c r="A157" s="26"/>
      <c r="B157" s="26"/>
      <c r="C157" s="26"/>
      <c r="D157" s="26"/>
      <c r="E157" s="26"/>
      <c r="F157" s="26"/>
      <c r="G157" s="26"/>
      <c r="H157" s="26"/>
      <c r="I157" s="26"/>
      <c r="J157" s="26"/>
      <c r="K157" s="26"/>
      <c r="L157" s="26"/>
      <c r="M157" s="27"/>
      <c r="N157" s="26"/>
      <c r="O157" s="26"/>
      <c r="P157" s="26"/>
      <c r="Q157" s="26"/>
      <c r="R157" s="26"/>
      <c r="S157" s="26"/>
      <c r="T157" s="26"/>
      <c r="U157" s="26"/>
      <c r="V157" s="26"/>
      <c r="W157" s="26"/>
      <c r="X157" s="26"/>
      <c r="Y157" s="26"/>
    </row>
    <row r="158" spans="1:25" ht="15.75" customHeight="1">
      <c r="A158" s="26"/>
      <c r="B158" s="26"/>
      <c r="C158" s="26"/>
      <c r="D158" s="26"/>
      <c r="E158" s="26"/>
      <c r="F158" s="26"/>
      <c r="G158" s="26"/>
      <c r="H158" s="26"/>
      <c r="I158" s="26"/>
      <c r="J158" s="26"/>
      <c r="K158" s="26"/>
      <c r="L158" s="26"/>
      <c r="M158" s="27"/>
      <c r="N158" s="26"/>
      <c r="O158" s="26"/>
      <c r="P158" s="26"/>
      <c r="Q158" s="26"/>
      <c r="R158" s="26"/>
      <c r="S158" s="26"/>
      <c r="T158" s="26"/>
      <c r="U158" s="26"/>
      <c r="V158" s="26"/>
      <c r="W158" s="26"/>
      <c r="X158" s="26"/>
      <c r="Y158" s="26"/>
    </row>
    <row r="159" spans="1:25" ht="15.75" customHeight="1">
      <c r="A159" s="26"/>
      <c r="B159" s="26"/>
      <c r="C159" s="26"/>
      <c r="D159" s="26"/>
      <c r="E159" s="26"/>
      <c r="F159" s="26"/>
      <c r="G159" s="26"/>
      <c r="H159" s="26"/>
      <c r="I159" s="26"/>
      <c r="J159" s="26"/>
      <c r="K159" s="26"/>
      <c r="L159" s="26"/>
      <c r="M159" s="27"/>
      <c r="N159" s="26"/>
      <c r="O159" s="26"/>
      <c r="P159" s="26"/>
      <c r="Q159" s="26"/>
      <c r="R159" s="26"/>
      <c r="S159" s="26"/>
      <c r="T159" s="26"/>
      <c r="U159" s="26"/>
      <c r="V159" s="26"/>
      <c r="W159" s="26"/>
      <c r="X159" s="26"/>
      <c r="Y159" s="26"/>
    </row>
    <row r="160" spans="1:25" ht="15.75" customHeight="1">
      <c r="A160" s="26"/>
      <c r="B160" s="26"/>
      <c r="C160" s="26"/>
      <c r="D160" s="26"/>
      <c r="E160" s="26"/>
      <c r="F160" s="26"/>
      <c r="G160" s="26"/>
      <c r="H160" s="26"/>
      <c r="I160" s="26"/>
      <c r="J160" s="26"/>
      <c r="K160" s="26"/>
      <c r="L160" s="26"/>
      <c r="M160" s="27"/>
      <c r="N160" s="26"/>
      <c r="O160" s="26"/>
      <c r="P160" s="26"/>
      <c r="Q160" s="26"/>
      <c r="R160" s="26"/>
      <c r="S160" s="26"/>
      <c r="T160" s="26"/>
      <c r="U160" s="26"/>
      <c r="V160" s="26"/>
      <c r="W160" s="26"/>
      <c r="X160" s="26"/>
      <c r="Y160" s="26"/>
    </row>
    <row r="161" spans="1:25" ht="15.75" customHeight="1">
      <c r="A161" s="26"/>
      <c r="B161" s="26"/>
      <c r="C161" s="26"/>
      <c r="D161" s="26"/>
      <c r="E161" s="26"/>
      <c r="F161" s="26"/>
      <c r="G161" s="26"/>
      <c r="H161" s="26"/>
      <c r="I161" s="26"/>
      <c r="J161" s="26"/>
      <c r="K161" s="26"/>
      <c r="L161" s="26"/>
      <c r="M161" s="27"/>
      <c r="N161" s="26"/>
      <c r="O161" s="26"/>
      <c r="P161" s="26"/>
      <c r="Q161" s="26"/>
      <c r="R161" s="26"/>
      <c r="S161" s="26"/>
      <c r="T161" s="26"/>
      <c r="U161" s="26"/>
      <c r="V161" s="26"/>
      <c r="W161" s="26"/>
      <c r="X161" s="26"/>
      <c r="Y161" s="26"/>
    </row>
    <row r="162" spans="1:25" ht="15.75" customHeight="1">
      <c r="A162" s="26"/>
      <c r="B162" s="26"/>
      <c r="C162" s="26"/>
      <c r="D162" s="26"/>
      <c r="E162" s="26"/>
      <c r="F162" s="26"/>
      <c r="G162" s="26"/>
      <c r="H162" s="26"/>
      <c r="I162" s="26"/>
      <c r="J162" s="26"/>
      <c r="K162" s="26"/>
      <c r="L162" s="26"/>
      <c r="M162" s="27"/>
      <c r="N162" s="26"/>
      <c r="O162" s="26"/>
      <c r="P162" s="26"/>
      <c r="Q162" s="26"/>
      <c r="R162" s="26"/>
      <c r="S162" s="26"/>
      <c r="T162" s="26"/>
      <c r="U162" s="26"/>
      <c r="V162" s="26"/>
      <c r="W162" s="26"/>
      <c r="X162" s="26"/>
      <c r="Y162" s="26"/>
    </row>
    <row r="163" spans="1:25" ht="15.75" customHeight="1">
      <c r="A163" s="26"/>
      <c r="B163" s="26"/>
      <c r="C163" s="26"/>
      <c r="D163" s="26"/>
      <c r="E163" s="26"/>
      <c r="F163" s="26"/>
      <c r="G163" s="26"/>
      <c r="H163" s="26"/>
      <c r="I163" s="26"/>
      <c r="J163" s="26"/>
      <c r="K163" s="26"/>
      <c r="L163" s="26"/>
      <c r="M163" s="27"/>
      <c r="N163" s="26"/>
      <c r="O163" s="26"/>
      <c r="P163" s="26"/>
      <c r="Q163" s="26"/>
      <c r="R163" s="26"/>
      <c r="S163" s="26"/>
      <c r="T163" s="26"/>
      <c r="U163" s="26"/>
      <c r="V163" s="26"/>
      <c r="W163" s="26"/>
      <c r="X163" s="26"/>
      <c r="Y163" s="26"/>
    </row>
    <row r="164" spans="1:25" ht="15.75" customHeight="1">
      <c r="A164" s="26"/>
      <c r="B164" s="26"/>
      <c r="C164" s="26"/>
      <c r="D164" s="26"/>
      <c r="E164" s="26"/>
      <c r="F164" s="26"/>
      <c r="G164" s="26"/>
      <c r="H164" s="26"/>
      <c r="I164" s="26"/>
      <c r="J164" s="26"/>
      <c r="K164" s="26"/>
      <c r="L164" s="26"/>
      <c r="M164" s="27"/>
      <c r="N164" s="26"/>
      <c r="O164" s="26"/>
      <c r="P164" s="26"/>
      <c r="Q164" s="26"/>
      <c r="R164" s="26"/>
      <c r="S164" s="26"/>
      <c r="T164" s="26"/>
      <c r="U164" s="26"/>
      <c r="V164" s="26"/>
      <c r="W164" s="26"/>
      <c r="X164" s="26"/>
      <c r="Y164" s="26"/>
    </row>
    <row r="165" spans="1:25" ht="15.75" customHeight="1">
      <c r="A165" s="26"/>
      <c r="B165" s="26"/>
      <c r="C165" s="26"/>
      <c r="D165" s="26"/>
      <c r="E165" s="26"/>
      <c r="F165" s="26"/>
      <c r="G165" s="26"/>
      <c r="H165" s="26"/>
      <c r="I165" s="26"/>
      <c r="J165" s="26"/>
      <c r="K165" s="26"/>
      <c r="L165" s="26"/>
      <c r="M165" s="27"/>
      <c r="N165" s="26"/>
      <c r="O165" s="26"/>
      <c r="P165" s="26"/>
      <c r="Q165" s="26"/>
      <c r="R165" s="26"/>
      <c r="S165" s="26"/>
      <c r="T165" s="26"/>
      <c r="U165" s="26"/>
      <c r="V165" s="26"/>
      <c r="W165" s="26"/>
      <c r="X165" s="26"/>
      <c r="Y165" s="26"/>
    </row>
    <row r="166" spans="1:25" ht="15.75" customHeight="1">
      <c r="A166" s="26"/>
      <c r="B166" s="26"/>
      <c r="C166" s="26"/>
      <c r="D166" s="26"/>
      <c r="E166" s="26"/>
      <c r="F166" s="26"/>
      <c r="G166" s="26"/>
      <c r="H166" s="26"/>
      <c r="I166" s="26"/>
      <c r="J166" s="26"/>
      <c r="K166" s="26"/>
      <c r="L166" s="26"/>
      <c r="M166" s="27"/>
      <c r="N166" s="26"/>
      <c r="O166" s="26"/>
      <c r="P166" s="26"/>
      <c r="Q166" s="26"/>
      <c r="R166" s="26"/>
      <c r="S166" s="26"/>
      <c r="T166" s="26"/>
      <c r="U166" s="26"/>
      <c r="V166" s="26"/>
      <c r="W166" s="26"/>
      <c r="X166" s="26"/>
      <c r="Y166" s="26"/>
    </row>
    <row r="167" spans="1:25" ht="15.75" customHeight="1">
      <c r="A167" s="26"/>
      <c r="B167" s="26"/>
      <c r="C167" s="26"/>
      <c r="D167" s="26"/>
      <c r="E167" s="26"/>
      <c r="F167" s="26"/>
      <c r="G167" s="26"/>
      <c r="H167" s="26"/>
      <c r="I167" s="26"/>
      <c r="J167" s="26"/>
      <c r="K167" s="26"/>
      <c r="L167" s="26"/>
      <c r="M167" s="27"/>
      <c r="N167" s="26"/>
      <c r="O167" s="26"/>
      <c r="P167" s="26"/>
      <c r="Q167" s="26"/>
      <c r="R167" s="26"/>
      <c r="S167" s="26"/>
      <c r="T167" s="26"/>
      <c r="U167" s="26"/>
      <c r="V167" s="26"/>
      <c r="W167" s="26"/>
      <c r="X167" s="26"/>
      <c r="Y167" s="26"/>
    </row>
    <row r="168" spans="1:25" ht="15.75" customHeight="1">
      <c r="A168" s="26"/>
      <c r="B168" s="26"/>
      <c r="C168" s="26"/>
      <c r="D168" s="26"/>
      <c r="E168" s="26"/>
      <c r="F168" s="26"/>
      <c r="G168" s="26"/>
      <c r="H168" s="26"/>
      <c r="I168" s="26"/>
      <c r="J168" s="26"/>
      <c r="K168" s="26"/>
      <c r="L168" s="26"/>
      <c r="M168" s="27"/>
      <c r="N168" s="26"/>
      <c r="O168" s="26"/>
      <c r="P168" s="26"/>
      <c r="Q168" s="26"/>
      <c r="R168" s="26"/>
      <c r="S168" s="26"/>
      <c r="T168" s="26"/>
      <c r="U168" s="26"/>
      <c r="V168" s="26"/>
      <c r="W168" s="26"/>
      <c r="X168" s="26"/>
      <c r="Y168" s="26"/>
    </row>
    <row r="169" spans="1:25" ht="15.75" customHeight="1">
      <c r="A169" s="26"/>
      <c r="B169" s="26"/>
      <c r="C169" s="26"/>
      <c r="D169" s="26"/>
      <c r="E169" s="26"/>
      <c r="F169" s="26"/>
      <c r="G169" s="26"/>
      <c r="H169" s="26"/>
      <c r="I169" s="26"/>
      <c r="J169" s="26"/>
      <c r="K169" s="26"/>
      <c r="L169" s="26"/>
      <c r="M169" s="27"/>
      <c r="N169" s="26"/>
      <c r="O169" s="26"/>
      <c r="P169" s="26"/>
      <c r="Q169" s="26"/>
      <c r="R169" s="26"/>
      <c r="S169" s="26"/>
      <c r="T169" s="26"/>
      <c r="U169" s="26"/>
      <c r="V169" s="26"/>
      <c r="W169" s="26"/>
      <c r="X169" s="26"/>
      <c r="Y169" s="26"/>
    </row>
    <row r="170" spans="1:25" ht="15.75" customHeight="1">
      <c r="A170" s="26"/>
      <c r="B170" s="26"/>
      <c r="C170" s="26"/>
      <c r="D170" s="26"/>
      <c r="E170" s="26"/>
      <c r="F170" s="26"/>
      <c r="G170" s="26"/>
      <c r="H170" s="26"/>
      <c r="I170" s="26"/>
      <c r="J170" s="26"/>
      <c r="K170" s="26"/>
      <c r="L170" s="26"/>
      <c r="M170" s="27"/>
      <c r="N170" s="26"/>
      <c r="O170" s="26"/>
      <c r="P170" s="26"/>
      <c r="Q170" s="26"/>
      <c r="R170" s="26"/>
      <c r="S170" s="26"/>
      <c r="T170" s="26"/>
      <c r="U170" s="26"/>
      <c r="V170" s="26"/>
      <c r="W170" s="26"/>
      <c r="X170" s="26"/>
      <c r="Y170" s="26"/>
    </row>
    <row r="171" spans="1:25" ht="15.75" customHeight="1">
      <c r="A171" s="26"/>
      <c r="B171" s="26"/>
      <c r="C171" s="26"/>
      <c r="D171" s="26"/>
      <c r="E171" s="26"/>
      <c r="F171" s="26"/>
      <c r="G171" s="26"/>
      <c r="H171" s="26"/>
      <c r="I171" s="26"/>
      <c r="J171" s="26"/>
      <c r="K171" s="26"/>
      <c r="L171" s="26"/>
      <c r="M171" s="27"/>
      <c r="N171" s="26"/>
      <c r="O171" s="26"/>
      <c r="P171" s="26"/>
      <c r="Q171" s="26"/>
      <c r="R171" s="26"/>
      <c r="S171" s="26"/>
      <c r="T171" s="26"/>
      <c r="U171" s="26"/>
      <c r="V171" s="26"/>
      <c r="W171" s="26"/>
      <c r="X171" s="26"/>
      <c r="Y171" s="26"/>
    </row>
    <row r="172" spans="1:25" ht="15.75" customHeight="1">
      <c r="A172" s="26"/>
      <c r="B172" s="26"/>
      <c r="C172" s="26"/>
      <c r="D172" s="26"/>
      <c r="E172" s="26"/>
      <c r="F172" s="26"/>
      <c r="G172" s="26"/>
      <c r="H172" s="26"/>
      <c r="I172" s="26"/>
      <c r="J172" s="26"/>
      <c r="K172" s="26"/>
      <c r="L172" s="26"/>
      <c r="M172" s="27"/>
      <c r="N172" s="26"/>
      <c r="O172" s="26"/>
      <c r="P172" s="26"/>
      <c r="Q172" s="26"/>
      <c r="R172" s="26"/>
      <c r="S172" s="26"/>
      <c r="T172" s="26"/>
      <c r="U172" s="26"/>
      <c r="V172" s="26"/>
      <c r="W172" s="26"/>
      <c r="X172" s="26"/>
      <c r="Y172" s="26"/>
    </row>
    <row r="173" spans="1:25" ht="15.75" customHeight="1">
      <c r="A173" s="26"/>
      <c r="B173" s="26"/>
      <c r="C173" s="26"/>
      <c r="D173" s="26"/>
      <c r="E173" s="26"/>
      <c r="F173" s="26"/>
      <c r="G173" s="26"/>
      <c r="H173" s="26"/>
      <c r="I173" s="26"/>
      <c r="J173" s="26"/>
      <c r="K173" s="26"/>
      <c r="L173" s="26"/>
      <c r="M173" s="27"/>
      <c r="N173" s="26"/>
      <c r="O173" s="26"/>
      <c r="P173" s="26"/>
      <c r="Q173" s="26"/>
      <c r="R173" s="26"/>
      <c r="S173" s="26"/>
      <c r="T173" s="26"/>
      <c r="U173" s="26"/>
      <c r="V173" s="26"/>
      <c r="W173" s="26"/>
      <c r="X173" s="26"/>
      <c r="Y173" s="26"/>
    </row>
    <row r="174" spans="1:25" ht="15.75" customHeight="1">
      <c r="A174" s="26"/>
      <c r="B174" s="26"/>
      <c r="C174" s="26"/>
      <c r="D174" s="26"/>
      <c r="E174" s="26"/>
      <c r="F174" s="26"/>
      <c r="G174" s="26"/>
      <c r="H174" s="26"/>
      <c r="I174" s="26"/>
      <c r="J174" s="26"/>
      <c r="K174" s="26"/>
      <c r="L174" s="26"/>
      <c r="M174" s="27"/>
      <c r="N174" s="26"/>
      <c r="O174" s="26"/>
      <c r="P174" s="26"/>
      <c r="Q174" s="26"/>
      <c r="R174" s="26"/>
      <c r="S174" s="26"/>
      <c r="T174" s="26"/>
      <c r="U174" s="26"/>
      <c r="V174" s="26"/>
      <c r="W174" s="26"/>
      <c r="X174" s="26"/>
      <c r="Y174" s="26"/>
    </row>
    <row r="175" spans="1:25" ht="15.75" customHeight="1">
      <c r="A175" s="26"/>
      <c r="B175" s="26"/>
      <c r="C175" s="26"/>
      <c r="D175" s="26"/>
      <c r="E175" s="26"/>
      <c r="F175" s="26"/>
      <c r="G175" s="26"/>
      <c r="H175" s="26"/>
      <c r="I175" s="26"/>
      <c r="J175" s="26"/>
      <c r="K175" s="26"/>
      <c r="L175" s="26"/>
      <c r="M175" s="27"/>
      <c r="N175" s="26"/>
      <c r="O175" s="26"/>
      <c r="P175" s="26"/>
      <c r="Q175" s="26"/>
      <c r="R175" s="26"/>
      <c r="S175" s="26"/>
      <c r="T175" s="26"/>
      <c r="U175" s="26"/>
      <c r="V175" s="26"/>
      <c r="W175" s="26"/>
      <c r="X175" s="26"/>
      <c r="Y175" s="26"/>
    </row>
    <row r="176" spans="1:25" ht="15.75" customHeight="1">
      <c r="A176" s="26"/>
      <c r="B176" s="26"/>
      <c r="C176" s="26"/>
      <c r="D176" s="26"/>
      <c r="E176" s="26"/>
      <c r="F176" s="26"/>
      <c r="G176" s="26"/>
      <c r="H176" s="26"/>
      <c r="I176" s="26"/>
      <c r="J176" s="26"/>
      <c r="K176" s="26"/>
      <c r="L176" s="26"/>
      <c r="M176" s="27"/>
      <c r="N176" s="26"/>
      <c r="O176" s="26"/>
      <c r="P176" s="26"/>
      <c r="Q176" s="26"/>
      <c r="R176" s="26"/>
      <c r="S176" s="26"/>
      <c r="T176" s="26"/>
      <c r="U176" s="26"/>
      <c r="V176" s="26"/>
      <c r="W176" s="26"/>
      <c r="X176" s="26"/>
      <c r="Y176" s="26"/>
    </row>
    <row r="177" spans="1:25" ht="15.75" customHeight="1">
      <c r="A177" s="26"/>
      <c r="B177" s="26"/>
      <c r="C177" s="26"/>
      <c r="D177" s="26"/>
      <c r="E177" s="26"/>
      <c r="F177" s="26"/>
      <c r="G177" s="26"/>
      <c r="H177" s="26"/>
      <c r="I177" s="26"/>
      <c r="J177" s="26"/>
      <c r="K177" s="26"/>
      <c r="L177" s="26"/>
      <c r="M177" s="27"/>
      <c r="N177" s="26"/>
      <c r="O177" s="26"/>
      <c r="P177" s="26"/>
      <c r="Q177" s="26"/>
      <c r="R177" s="26"/>
      <c r="S177" s="26"/>
      <c r="T177" s="26"/>
      <c r="U177" s="26"/>
      <c r="V177" s="26"/>
      <c r="W177" s="26"/>
      <c r="X177" s="26"/>
      <c r="Y177" s="26"/>
    </row>
    <row r="178" spans="1:25" ht="15.75" customHeight="1">
      <c r="A178" s="26"/>
      <c r="B178" s="26"/>
      <c r="C178" s="26"/>
      <c r="D178" s="26"/>
      <c r="E178" s="26"/>
      <c r="F178" s="26"/>
      <c r="G178" s="26"/>
      <c r="H178" s="26"/>
      <c r="I178" s="26"/>
      <c r="J178" s="26"/>
      <c r="K178" s="26"/>
      <c r="L178" s="26"/>
      <c r="M178" s="27"/>
      <c r="N178" s="26"/>
      <c r="O178" s="26"/>
      <c r="P178" s="26"/>
      <c r="Q178" s="26"/>
      <c r="R178" s="26"/>
      <c r="S178" s="26"/>
      <c r="T178" s="26"/>
      <c r="U178" s="26"/>
      <c r="V178" s="26"/>
      <c r="W178" s="26"/>
      <c r="X178" s="26"/>
      <c r="Y178" s="26"/>
    </row>
    <row r="179" spans="1:25" ht="15.75" customHeight="1">
      <c r="A179" s="26"/>
      <c r="B179" s="26"/>
      <c r="C179" s="26"/>
      <c r="D179" s="26"/>
      <c r="E179" s="26"/>
      <c r="F179" s="26"/>
      <c r="G179" s="26"/>
      <c r="H179" s="26"/>
      <c r="I179" s="26"/>
      <c r="J179" s="26"/>
      <c r="K179" s="26"/>
      <c r="L179" s="26"/>
      <c r="M179" s="27"/>
      <c r="N179" s="26"/>
      <c r="O179" s="26"/>
      <c r="P179" s="26"/>
      <c r="Q179" s="26"/>
      <c r="R179" s="26"/>
      <c r="S179" s="26"/>
      <c r="T179" s="26"/>
      <c r="U179" s="26"/>
      <c r="V179" s="26"/>
      <c r="W179" s="26"/>
      <c r="X179" s="26"/>
      <c r="Y179" s="26"/>
    </row>
    <row r="180" spans="1:25" ht="15.75" customHeight="1">
      <c r="A180" s="26"/>
      <c r="B180" s="26"/>
      <c r="C180" s="26"/>
      <c r="D180" s="26"/>
      <c r="E180" s="26"/>
      <c r="F180" s="26"/>
      <c r="G180" s="26"/>
      <c r="H180" s="26"/>
      <c r="I180" s="26"/>
      <c r="J180" s="26"/>
      <c r="K180" s="26"/>
      <c r="L180" s="26"/>
      <c r="M180" s="27"/>
      <c r="N180" s="26"/>
      <c r="O180" s="26"/>
      <c r="P180" s="26"/>
      <c r="Q180" s="26"/>
      <c r="R180" s="26"/>
      <c r="S180" s="26"/>
      <c r="T180" s="26"/>
      <c r="U180" s="26"/>
      <c r="V180" s="26"/>
      <c r="W180" s="26"/>
      <c r="X180" s="26"/>
      <c r="Y180" s="26"/>
    </row>
    <row r="181" spans="1:25" ht="15.75" customHeight="1">
      <c r="A181" s="26"/>
      <c r="B181" s="26"/>
      <c r="C181" s="26"/>
      <c r="D181" s="26"/>
      <c r="E181" s="26"/>
      <c r="F181" s="26"/>
      <c r="G181" s="26"/>
      <c r="H181" s="26"/>
      <c r="I181" s="26"/>
      <c r="J181" s="26"/>
      <c r="K181" s="26"/>
      <c r="L181" s="26"/>
      <c r="M181" s="27"/>
      <c r="N181" s="26"/>
      <c r="O181" s="26"/>
      <c r="P181" s="26"/>
      <c r="Q181" s="26"/>
      <c r="R181" s="26"/>
      <c r="S181" s="26"/>
      <c r="T181" s="26"/>
      <c r="U181" s="26"/>
      <c r="V181" s="26"/>
      <c r="W181" s="26"/>
      <c r="X181" s="26"/>
      <c r="Y181" s="26"/>
    </row>
    <row r="182" spans="1:25" ht="15.75" customHeight="1">
      <c r="A182" s="26"/>
      <c r="B182" s="26"/>
      <c r="C182" s="26"/>
      <c r="D182" s="26"/>
      <c r="E182" s="26"/>
      <c r="F182" s="26"/>
      <c r="G182" s="26"/>
      <c r="H182" s="26"/>
      <c r="I182" s="26"/>
      <c r="J182" s="26"/>
      <c r="K182" s="26"/>
      <c r="L182" s="26"/>
      <c r="M182" s="27"/>
      <c r="N182" s="26"/>
      <c r="O182" s="26"/>
      <c r="P182" s="26"/>
      <c r="Q182" s="26"/>
      <c r="R182" s="26"/>
      <c r="S182" s="26"/>
      <c r="T182" s="26"/>
      <c r="U182" s="26"/>
      <c r="V182" s="26"/>
      <c r="W182" s="26"/>
      <c r="X182" s="26"/>
      <c r="Y182" s="26"/>
    </row>
    <row r="183" spans="1:25" ht="15.75" customHeight="1">
      <c r="A183" s="26"/>
      <c r="B183" s="26"/>
      <c r="C183" s="26"/>
      <c r="D183" s="26"/>
      <c r="E183" s="26"/>
      <c r="F183" s="26"/>
      <c r="G183" s="26"/>
      <c r="H183" s="26"/>
      <c r="I183" s="26"/>
      <c r="J183" s="26"/>
      <c r="K183" s="26"/>
      <c r="L183" s="26"/>
      <c r="M183" s="27"/>
      <c r="N183" s="26"/>
      <c r="O183" s="26"/>
      <c r="P183" s="26"/>
      <c r="Q183" s="26"/>
      <c r="R183" s="26"/>
      <c r="S183" s="26"/>
      <c r="T183" s="26"/>
      <c r="U183" s="26"/>
      <c r="V183" s="26"/>
      <c r="W183" s="26"/>
      <c r="X183" s="26"/>
      <c r="Y183" s="26"/>
    </row>
    <row r="184" spans="1:25" ht="15.75" customHeight="1">
      <c r="A184" s="26"/>
      <c r="B184" s="26"/>
      <c r="C184" s="26"/>
      <c r="D184" s="26"/>
      <c r="E184" s="26"/>
      <c r="F184" s="26"/>
      <c r="G184" s="26"/>
      <c r="H184" s="26"/>
      <c r="I184" s="26"/>
      <c r="J184" s="26"/>
      <c r="K184" s="26"/>
      <c r="L184" s="26"/>
      <c r="M184" s="27"/>
      <c r="N184" s="26"/>
      <c r="O184" s="26"/>
      <c r="P184" s="26"/>
      <c r="Q184" s="26"/>
      <c r="R184" s="26"/>
      <c r="S184" s="26"/>
      <c r="T184" s="26"/>
      <c r="U184" s="26"/>
      <c r="V184" s="26"/>
      <c r="W184" s="26"/>
      <c r="X184" s="26"/>
      <c r="Y184" s="26"/>
    </row>
    <row r="185" spans="1:25" ht="15.75" customHeight="1">
      <c r="A185" s="26"/>
      <c r="B185" s="26"/>
      <c r="C185" s="26"/>
      <c r="D185" s="26"/>
      <c r="E185" s="26"/>
      <c r="F185" s="26"/>
      <c r="G185" s="26"/>
      <c r="H185" s="26"/>
      <c r="I185" s="26"/>
      <c r="J185" s="26"/>
      <c r="K185" s="26"/>
      <c r="L185" s="26"/>
      <c r="M185" s="27"/>
      <c r="N185" s="26"/>
      <c r="O185" s="26"/>
      <c r="P185" s="26"/>
      <c r="Q185" s="26"/>
      <c r="R185" s="26"/>
      <c r="S185" s="26"/>
      <c r="T185" s="26"/>
      <c r="U185" s="26"/>
      <c r="V185" s="26"/>
      <c r="W185" s="26"/>
      <c r="X185" s="26"/>
      <c r="Y185" s="26"/>
    </row>
    <row r="186" spans="1:25" ht="15.75" customHeight="1">
      <c r="A186" s="26"/>
      <c r="B186" s="26"/>
      <c r="C186" s="26"/>
      <c r="D186" s="26"/>
      <c r="E186" s="26"/>
      <c r="F186" s="26"/>
      <c r="G186" s="26"/>
      <c r="H186" s="26"/>
      <c r="I186" s="26"/>
      <c r="J186" s="26"/>
      <c r="K186" s="26"/>
      <c r="L186" s="26"/>
      <c r="M186" s="27"/>
      <c r="N186" s="26"/>
      <c r="O186" s="26"/>
      <c r="P186" s="26"/>
      <c r="Q186" s="26"/>
      <c r="R186" s="26"/>
      <c r="S186" s="26"/>
      <c r="T186" s="26"/>
      <c r="U186" s="26"/>
      <c r="V186" s="26"/>
      <c r="W186" s="26"/>
      <c r="X186" s="26"/>
      <c r="Y186" s="26"/>
    </row>
    <row r="187" spans="1:25" ht="15.75" customHeight="1">
      <c r="A187" s="26"/>
      <c r="B187" s="26"/>
      <c r="C187" s="26"/>
      <c r="D187" s="26"/>
      <c r="E187" s="26"/>
      <c r="F187" s="26"/>
      <c r="G187" s="26"/>
      <c r="H187" s="26"/>
      <c r="I187" s="26"/>
      <c r="J187" s="26"/>
      <c r="K187" s="26"/>
      <c r="L187" s="26"/>
      <c r="M187" s="27"/>
      <c r="N187" s="26"/>
      <c r="O187" s="26"/>
      <c r="P187" s="26"/>
      <c r="Q187" s="26"/>
      <c r="R187" s="26"/>
      <c r="S187" s="26"/>
      <c r="T187" s="26"/>
      <c r="U187" s="26"/>
      <c r="V187" s="26"/>
      <c r="W187" s="26"/>
      <c r="X187" s="26"/>
      <c r="Y187" s="26"/>
    </row>
    <row r="188" spans="1:25" ht="15.75" customHeight="1">
      <c r="A188" s="26"/>
      <c r="B188" s="26"/>
      <c r="C188" s="26"/>
      <c r="D188" s="26"/>
      <c r="E188" s="26"/>
      <c r="F188" s="26"/>
      <c r="G188" s="26"/>
      <c r="H188" s="26"/>
      <c r="I188" s="26"/>
      <c r="J188" s="26"/>
      <c r="K188" s="26"/>
      <c r="L188" s="26"/>
      <c r="M188" s="27"/>
      <c r="N188" s="26"/>
      <c r="O188" s="26"/>
      <c r="P188" s="26"/>
      <c r="Q188" s="26"/>
      <c r="R188" s="26"/>
      <c r="S188" s="26"/>
      <c r="T188" s="26"/>
      <c r="U188" s="26"/>
      <c r="V188" s="26"/>
      <c r="W188" s="26"/>
      <c r="X188" s="26"/>
      <c r="Y188" s="26"/>
    </row>
    <row r="189" spans="1:25" ht="15.75" customHeight="1">
      <c r="A189" s="26"/>
      <c r="B189" s="26"/>
      <c r="C189" s="26"/>
      <c r="D189" s="26"/>
      <c r="E189" s="26"/>
      <c r="F189" s="26"/>
      <c r="G189" s="26"/>
      <c r="H189" s="26"/>
      <c r="I189" s="26"/>
      <c r="J189" s="26"/>
      <c r="K189" s="26"/>
      <c r="L189" s="26"/>
      <c r="M189" s="27"/>
      <c r="N189" s="26"/>
      <c r="O189" s="26"/>
      <c r="P189" s="26"/>
      <c r="Q189" s="26"/>
      <c r="R189" s="26"/>
      <c r="S189" s="26"/>
      <c r="T189" s="26"/>
      <c r="U189" s="26"/>
      <c r="V189" s="26"/>
      <c r="W189" s="26"/>
      <c r="X189" s="26"/>
      <c r="Y189" s="26"/>
    </row>
    <row r="190" spans="1:25" ht="15.75" customHeight="1">
      <c r="A190" s="26"/>
      <c r="B190" s="26"/>
      <c r="C190" s="26"/>
      <c r="D190" s="26"/>
      <c r="E190" s="26"/>
      <c r="F190" s="26"/>
      <c r="G190" s="26"/>
      <c r="H190" s="26"/>
      <c r="I190" s="26"/>
      <c r="J190" s="26"/>
      <c r="K190" s="26"/>
      <c r="L190" s="26"/>
      <c r="M190" s="27"/>
      <c r="N190" s="26"/>
      <c r="O190" s="26"/>
      <c r="P190" s="26"/>
      <c r="Q190" s="26"/>
      <c r="R190" s="26"/>
      <c r="S190" s="26"/>
      <c r="T190" s="26"/>
      <c r="U190" s="26"/>
      <c r="V190" s="26"/>
      <c r="W190" s="26"/>
      <c r="X190" s="26"/>
      <c r="Y190" s="26"/>
    </row>
    <row r="191" spans="1:25" ht="15.75" customHeight="1">
      <c r="A191" s="26"/>
      <c r="B191" s="26"/>
      <c r="C191" s="26"/>
      <c r="D191" s="26"/>
      <c r="E191" s="26"/>
      <c r="F191" s="26"/>
      <c r="G191" s="26"/>
      <c r="H191" s="26"/>
      <c r="I191" s="26"/>
      <c r="J191" s="26"/>
      <c r="K191" s="26"/>
      <c r="L191" s="26"/>
      <c r="M191" s="27"/>
      <c r="N191" s="26"/>
      <c r="O191" s="26"/>
      <c r="P191" s="26"/>
      <c r="Q191" s="26"/>
      <c r="R191" s="26"/>
      <c r="S191" s="26"/>
      <c r="T191" s="26"/>
      <c r="U191" s="26"/>
      <c r="V191" s="26"/>
      <c r="W191" s="26"/>
      <c r="X191" s="26"/>
      <c r="Y191" s="26"/>
    </row>
    <row r="192" spans="1:25" ht="15.75" customHeight="1">
      <c r="A192" s="26"/>
      <c r="B192" s="26"/>
      <c r="C192" s="26"/>
      <c r="D192" s="26"/>
      <c r="E192" s="26"/>
      <c r="F192" s="26"/>
      <c r="G192" s="26"/>
      <c r="H192" s="26"/>
      <c r="I192" s="26"/>
      <c r="J192" s="26"/>
      <c r="K192" s="26"/>
      <c r="L192" s="26"/>
      <c r="M192" s="27"/>
      <c r="N192" s="26"/>
      <c r="O192" s="26"/>
      <c r="P192" s="26"/>
      <c r="Q192" s="26"/>
      <c r="R192" s="26"/>
      <c r="S192" s="26"/>
      <c r="T192" s="26"/>
      <c r="U192" s="26"/>
      <c r="V192" s="26"/>
      <c r="W192" s="26"/>
      <c r="X192" s="26"/>
      <c r="Y192" s="26"/>
    </row>
    <row r="193" spans="1:25" ht="15.75" customHeight="1">
      <c r="A193" s="26"/>
      <c r="B193" s="26"/>
      <c r="C193" s="26"/>
      <c r="D193" s="26"/>
      <c r="E193" s="26"/>
      <c r="F193" s="26"/>
      <c r="G193" s="26"/>
      <c r="H193" s="26"/>
      <c r="I193" s="26"/>
      <c r="J193" s="26"/>
      <c r="K193" s="26"/>
      <c r="L193" s="26"/>
      <c r="M193" s="27"/>
      <c r="N193" s="26"/>
      <c r="O193" s="26"/>
      <c r="P193" s="26"/>
      <c r="Q193" s="26"/>
      <c r="R193" s="26"/>
      <c r="S193" s="26"/>
      <c r="T193" s="26"/>
      <c r="U193" s="26"/>
      <c r="V193" s="26"/>
      <c r="W193" s="26"/>
      <c r="X193" s="26"/>
      <c r="Y193" s="26"/>
    </row>
    <row r="194" spans="1:25" ht="15.75" customHeight="1">
      <c r="A194" s="26"/>
      <c r="B194" s="26"/>
      <c r="C194" s="26"/>
      <c r="D194" s="26"/>
      <c r="E194" s="26"/>
      <c r="F194" s="26"/>
      <c r="G194" s="26"/>
      <c r="H194" s="26"/>
      <c r="I194" s="26"/>
      <c r="J194" s="26"/>
      <c r="K194" s="26"/>
      <c r="L194" s="26"/>
      <c r="M194" s="27"/>
      <c r="N194" s="26"/>
      <c r="O194" s="26"/>
      <c r="P194" s="26"/>
      <c r="Q194" s="26"/>
      <c r="R194" s="26"/>
      <c r="S194" s="26"/>
      <c r="T194" s="26"/>
      <c r="U194" s="26"/>
      <c r="V194" s="26"/>
      <c r="W194" s="26"/>
      <c r="X194" s="26"/>
      <c r="Y194" s="26"/>
    </row>
    <row r="195" spans="1:25" ht="15.75" customHeight="1">
      <c r="A195" s="26"/>
      <c r="B195" s="26"/>
      <c r="C195" s="26"/>
      <c r="D195" s="26"/>
      <c r="E195" s="26"/>
      <c r="F195" s="26"/>
      <c r="G195" s="26"/>
      <c r="H195" s="26"/>
      <c r="I195" s="26"/>
      <c r="J195" s="26"/>
      <c r="K195" s="26"/>
      <c r="L195" s="26"/>
      <c r="M195" s="27"/>
      <c r="N195" s="26"/>
      <c r="O195" s="26"/>
      <c r="P195" s="26"/>
      <c r="Q195" s="26"/>
      <c r="R195" s="26"/>
      <c r="S195" s="26"/>
      <c r="T195" s="26"/>
      <c r="U195" s="26"/>
      <c r="V195" s="26"/>
      <c r="W195" s="26"/>
      <c r="X195" s="26"/>
      <c r="Y195" s="26"/>
    </row>
    <row r="196" spans="1:25" ht="15.75" customHeight="1">
      <c r="A196" s="26"/>
      <c r="B196" s="26"/>
      <c r="C196" s="26"/>
      <c r="D196" s="26"/>
      <c r="E196" s="26"/>
      <c r="F196" s="26"/>
      <c r="G196" s="26"/>
      <c r="H196" s="26"/>
      <c r="I196" s="26"/>
      <c r="J196" s="26"/>
      <c r="K196" s="26"/>
      <c r="L196" s="26"/>
      <c r="M196" s="27"/>
      <c r="N196" s="26"/>
      <c r="O196" s="26"/>
      <c r="P196" s="26"/>
      <c r="Q196" s="26"/>
      <c r="R196" s="26"/>
      <c r="S196" s="26"/>
      <c r="T196" s="26"/>
      <c r="U196" s="26"/>
      <c r="V196" s="26"/>
      <c r="W196" s="26"/>
      <c r="X196" s="26"/>
      <c r="Y196" s="26"/>
    </row>
    <row r="197" spans="1:25" ht="15.75" customHeight="1">
      <c r="A197" s="26"/>
      <c r="B197" s="26"/>
      <c r="C197" s="26"/>
      <c r="D197" s="26"/>
      <c r="E197" s="26"/>
      <c r="F197" s="26"/>
      <c r="G197" s="26"/>
      <c r="H197" s="26"/>
      <c r="I197" s="26"/>
      <c r="J197" s="26"/>
      <c r="K197" s="26"/>
      <c r="L197" s="26"/>
      <c r="M197" s="27"/>
      <c r="N197" s="26"/>
      <c r="O197" s="26"/>
      <c r="P197" s="26"/>
      <c r="Q197" s="26"/>
      <c r="R197" s="26"/>
      <c r="S197" s="26"/>
      <c r="T197" s="26"/>
      <c r="U197" s="26"/>
      <c r="V197" s="26"/>
      <c r="W197" s="26"/>
      <c r="X197" s="26"/>
      <c r="Y197" s="26"/>
    </row>
    <row r="198" spans="1:25" ht="15.75" customHeight="1">
      <c r="A198" s="26"/>
      <c r="B198" s="26"/>
      <c r="C198" s="26"/>
      <c r="D198" s="26"/>
      <c r="E198" s="26"/>
      <c r="F198" s="26"/>
      <c r="G198" s="26"/>
      <c r="H198" s="26"/>
      <c r="I198" s="26"/>
      <c r="J198" s="26"/>
      <c r="K198" s="26"/>
      <c r="L198" s="26"/>
      <c r="M198" s="27"/>
      <c r="N198" s="26"/>
      <c r="O198" s="26"/>
      <c r="P198" s="26"/>
      <c r="Q198" s="26"/>
      <c r="R198" s="26"/>
      <c r="S198" s="26"/>
      <c r="T198" s="26"/>
      <c r="U198" s="26"/>
      <c r="V198" s="26"/>
      <c r="W198" s="26"/>
      <c r="X198" s="26"/>
      <c r="Y198" s="26"/>
    </row>
    <row r="199" spans="1:25" ht="15.75" customHeight="1">
      <c r="A199" s="26"/>
      <c r="B199" s="26"/>
      <c r="C199" s="26"/>
      <c r="D199" s="26"/>
      <c r="E199" s="26"/>
      <c r="F199" s="26"/>
      <c r="G199" s="26"/>
      <c r="H199" s="26"/>
      <c r="I199" s="26"/>
      <c r="J199" s="26"/>
      <c r="K199" s="26"/>
      <c r="L199" s="26"/>
      <c r="M199" s="27"/>
      <c r="N199" s="26"/>
      <c r="O199" s="26"/>
      <c r="P199" s="26"/>
      <c r="Q199" s="26"/>
      <c r="R199" s="26"/>
      <c r="S199" s="26"/>
      <c r="T199" s="26"/>
      <c r="U199" s="26"/>
      <c r="V199" s="26"/>
      <c r="W199" s="26"/>
      <c r="X199" s="26"/>
      <c r="Y199" s="26"/>
    </row>
    <row r="200" spans="1:25" ht="15.75" customHeight="1">
      <c r="A200" s="26"/>
      <c r="B200" s="26"/>
      <c r="C200" s="26"/>
      <c r="D200" s="26"/>
      <c r="E200" s="26"/>
      <c r="F200" s="26"/>
      <c r="G200" s="26"/>
      <c r="H200" s="26"/>
      <c r="I200" s="26"/>
      <c r="J200" s="26"/>
      <c r="K200" s="26"/>
      <c r="L200" s="26"/>
      <c r="M200" s="27"/>
      <c r="N200" s="26"/>
      <c r="O200" s="26"/>
      <c r="P200" s="26"/>
      <c r="Q200" s="26"/>
      <c r="R200" s="26"/>
      <c r="S200" s="26"/>
      <c r="T200" s="26"/>
      <c r="U200" s="26"/>
      <c r="V200" s="26"/>
      <c r="W200" s="26"/>
      <c r="X200" s="26"/>
      <c r="Y200" s="26"/>
    </row>
    <row r="201" spans="1:25" ht="15.75" customHeight="1">
      <c r="A201" s="26"/>
      <c r="B201" s="26"/>
      <c r="C201" s="26"/>
      <c r="D201" s="26"/>
      <c r="E201" s="26"/>
      <c r="F201" s="26"/>
      <c r="G201" s="26"/>
      <c r="H201" s="26"/>
      <c r="I201" s="26"/>
      <c r="J201" s="26"/>
      <c r="K201" s="26"/>
      <c r="L201" s="26"/>
      <c r="M201" s="27"/>
      <c r="N201" s="26"/>
      <c r="O201" s="26"/>
      <c r="P201" s="26"/>
      <c r="Q201" s="26"/>
      <c r="R201" s="26"/>
      <c r="S201" s="26"/>
      <c r="T201" s="26"/>
      <c r="U201" s="26"/>
      <c r="V201" s="26"/>
      <c r="W201" s="26"/>
      <c r="X201" s="26"/>
      <c r="Y201" s="26"/>
    </row>
    <row r="202" spans="1:25" ht="15.75" customHeight="1">
      <c r="A202" s="26"/>
      <c r="B202" s="26"/>
      <c r="C202" s="26"/>
      <c r="D202" s="26"/>
      <c r="E202" s="26"/>
      <c r="F202" s="26"/>
      <c r="G202" s="26"/>
      <c r="H202" s="26"/>
      <c r="I202" s="26"/>
      <c r="J202" s="26"/>
      <c r="K202" s="26"/>
      <c r="L202" s="26"/>
      <c r="M202" s="27"/>
      <c r="N202" s="26"/>
      <c r="O202" s="26"/>
      <c r="P202" s="26"/>
      <c r="Q202" s="26"/>
      <c r="R202" s="26"/>
      <c r="S202" s="26"/>
      <c r="T202" s="26"/>
      <c r="U202" s="26"/>
      <c r="V202" s="26"/>
      <c r="W202" s="26"/>
      <c r="X202" s="26"/>
      <c r="Y202" s="26"/>
    </row>
    <row r="203" spans="1:25" ht="15.75" customHeight="1">
      <c r="A203" s="26"/>
      <c r="B203" s="26"/>
      <c r="C203" s="26"/>
      <c r="D203" s="26"/>
      <c r="E203" s="26"/>
      <c r="F203" s="26"/>
      <c r="G203" s="26"/>
      <c r="H203" s="26"/>
      <c r="I203" s="26"/>
      <c r="J203" s="26"/>
      <c r="K203" s="26"/>
      <c r="L203" s="26"/>
      <c r="M203" s="27"/>
      <c r="N203" s="26"/>
      <c r="O203" s="26"/>
      <c r="P203" s="26"/>
      <c r="Q203" s="26"/>
      <c r="R203" s="26"/>
      <c r="S203" s="26"/>
      <c r="T203" s="26"/>
      <c r="U203" s="26"/>
      <c r="V203" s="26"/>
      <c r="W203" s="26"/>
      <c r="X203" s="26"/>
      <c r="Y203" s="26"/>
    </row>
    <row r="204" spans="1:25" ht="15.75" customHeight="1">
      <c r="A204" s="26"/>
      <c r="B204" s="26"/>
      <c r="C204" s="26"/>
      <c r="D204" s="26"/>
      <c r="E204" s="26"/>
      <c r="F204" s="26"/>
      <c r="G204" s="26"/>
      <c r="H204" s="26"/>
      <c r="I204" s="26"/>
      <c r="J204" s="26"/>
      <c r="K204" s="26"/>
      <c r="L204" s="26"/>
      <c r="M204" s="27"/>
      <c r="N204" s="26"/>
      <c r="O204" s="26"/>
      <c r="P204" s="26"/>
      <c r="Q204" s="26"/>
      <c r="R204" s="26"/>
      <c r="S204" s="26"/>
      <c r="T204" s="26"/>
      <c r="U204" s="26"/>
      <c r="V204" s="26"/>
      <c r="W204" s="26"/>
      <c r="X204" s="26"/>
      <c r="Y204" s="26"/>
    </row>
    <row r="205" spans="1:25" ht="15.75" customHeight="1">
      <c r="A205" s="26"/>
      <c r="B205" s="26"/>
      <c r="C205" s="26"/>
      <c r="D205" s="26"/>
      <c r="E205" s="26"/>
      <c r="F205" s="26"/>
      <c r="G205" s="26"/>
      <c r="H205" s="26"/>
      <c r="I205" s="26"/>
      <c r="J205" s="26"/>
      <c r="K205" s="26"/>
      <c r="L205" s="26"/>
      <c r="M205" s="27"/>
      <c r="N205" s="26"/>
      <c r="O205" s="26"/>
      <c r="P205" s="26"/>
      <c r="Q205" s="26"/>
      <c r="R205" s="26"/>
      <c r="S205" s="26"/>
      <c r="T205" s="26"/>
      <c r="U205" s="26"/>
      <c r="V205" s="26"/>
      <c r="W205" s="26"/>
      <c r="X205" s="26"/>
      <c r="Y205" s="26"/>
    </row>
    <row r="206" spans="1:25" ht="15.75" customHeight="1">
      <c r="A206" s="26"/>
      <c r="B206" s="26"/>
      <c r="C206" s="26"/>
      <c r="D206" s="26"/>
      <c r="E206" s="26"/>
      <c r="F206" s="26"/>
      <c r="G206" s="26"/>
      <c r="H206" s="26"/>
      <c r="I206" s="26"/>
      <c r="J206" s="26"/>
      <c r="K206" s="26"/>
      <c r="L206" s="26"/>
      <c r="M206" s="27"/>
      <c r="N206" s="26"/>
      <c r="O206" s="26"/>
      <c r="P206" s="26"/>
      <c r="Q206" s="26"/>
      <c r="R206" s="26"/>
      <c r="S206" s="26"/>
      <c r="T206" s="26"/>
      <c r="U206" s="26"/>
      <c r="V206" s="26"/>
      <c r="W206" s="26"/>
      <c r="X206" s="26"/>
      <c r="Y206" s="26"/>
    </row>
    <row r="207" spans="1:25" ht="15.75" customHeight="1">
      <c r="A207" s="26"/>
      <c r="B207" s="26"/>
      <c r="C207" s="26"/>
      <c r="D207" s="26"/>
      <c r="E207" s="26"/>
      <c r="F207" s="26"/>
      <c r="G207" s="26"/>
      <c r="H207" s="26"/>
      <c r="I207" s="26"/>
      <c r="J207" s="26"/>
      <c r="K207" s="26"/>
      <c r="L207" s="26"/>
      <c r="M207" s="27"/>
      <c r="N207" s="26"/>
      <c r="O207" s="26"/>
      <c r="P207" s="26"/>
      <c r="Q207" s="26"/>
      <c r="R207" s="26"/>
      <c r="S207" s="26"/>
      <c r="T207" s="26"/>
      <c r="U207" s="26"/>
      <c r="V207" s="26"/>
      <c r="W207" s="26"/>
      <c r="X207" s="26"/>
      <c r="Y207" s="26"/>
    </row>
    <row r="208" spans="1:25" ht="15.75" customHeight="1">
      <c r="A208" s="26"/>
      <c r="B208" s="26"/>
      <c r="C208" s="26"/>
      <c r="D208" s="26"/>
      <c r="E208" s="26"/>
      <c r="F208" s="26"/>
      <c r="G208" s="26"/>
      <c r="H208" s="26"/>
      <c r="I208" s="26"/>
      <c r="J208" s="26"/>
      <c r="K208" s="26"/>
      <c r="L208" s="26"/>
      <c r="M208" s="27"/>
      <c r="N208" s="26"/>
      <c r="O208" s="26"/>
      <c r="P208" s="26"/>
      <c r="Q208" s="26"/>
      <c r="R208" s="26"/>
      <c r="S208" s="26"/>
      <c r="T208" s="26"/>
      <c r="U208" s="26"/>
      <c r="V208" s="26"/>
      <c r="W208" s="26"/>
      <c r="X208" s="26"/>
      <c r="Y208" s="26"/>
    </row>
    <row r="209" spans="1:25" ht="15.75" customHeight="1">
      <c r="A209" s="26"/>
      <c r="B209" s="26"/>
      <c r="C209" s="26"/>
      <c r="D209" s="26"/>
      <c r="E209" s="26"/>
      <c r="F209" s="26"/>
      <c r="G209" s="26"/>
      <c r="H209" s="26"/>
      <c r="I209" s="26"/>
      <c r="J209" s="26"/>
      <c r="K209" s="26"/>
      <c r="L209" s="26"/>
      <c r="M209" s="27"/>
      <c r="N209" s="26"/>
      <c r="O209" s="26"/>
      <c r="P209" s="26"/>
      <c r="Q209" s="26"/>
      <c r="R209" s="26"/>
      <c r="S209" s="26"/>
      <c r="T209" s="26"/>
      <c r="U209" s="26"/>
      <c r="V209" s="26"/>
      <c r="W209" s="26"/>
      <c r="X209" s="26"/>
      <c r="Y209" s="26"/>
    </row>
    <row r="210" spans="1:25" ht="15.75" customHeight="1">
      <c r="A210" s="26"/>
      <c r="B210" s="26"/>
      <c r="C210" s="26"/>
      <c r="D210" s="26"/>
      <c r="E210" s="26"/>
      <c r="F210" s="26"/>
      <c r="G210" s="26"/>
      <c r="H210" s="26"/>
      <c r="I210" s="26"/>
      <c r="J210" s="26"/>
      <c r="K210" s="26"/>
      <c r="L210" s="26"/>
      <c r="M210" s="27"/>
      <c r="N210" s="26"/>
      <c r="O210" s="26"/>
      <c r="P210" s="26"/>
      <c r="Q210" s="26"/>
      <c r="R210" s="26"/>
      <c r="S210" s="26"/>
      <c r="T210" s="26"/>
      <c r="U210" s="26"/>
      <c r="V210" s="26"/>
      <c r="W210" s="26"/>
      <c r="X210" s="26"/>
      <c r="Y210" s="26"/>
    </row>
    <row r="211" spans="1:25" ht="15.75" customHeight="1">
      <c r="A211" s="26"/>
      <c r="B211" s="26"/>
      <c r="C211" s="26"/>
      <c r="D211" s="26"/>
      <c r="E211" s="26"/>
      <c r="F211" s="26"/>
      <c r="G211" s="26"/>
      <c r="H211" s="26"/>
      <c r="I211" s="26"/>
      <c r="J211" s="26"/>
      <c r="K211" s="26"/>
      <c r="L211" s="26"/>
      <c r="M211" s="27"/>
      <c r="N211" s="26"/>
      <c r="O211" s="26"/>
      <c r="P211" s="26"/>
      <c r="Q211" s="26"/>
      <c r="R211" s="26"/>
      <c r="S211" s="26"/>
      <c r="T211" s="26"/>
      <c r="U211" s="26"/>
      <c r="V211" s="26"/>
      <c r="W211" s="26"/>
      <c r="X211" s="26"/>
      <c r="Y211" s="26"/>
    </row>
    <row r="212" spans="1:25" ht="15.75" customHeight="1">
      <c r="A212" s="26"/>
      <c r="B212" s="26"/>
      <c r="C212" s="26"/>
      <c r="D212" s="26"/>
      <c r="E212" s="26"/>
      <c r="F212" s="26"/>
      <c r="G212" s="26"/>
      <c r="H212" s="26"/>
      <c r="I212" s="26"/>
      <c r="J212" s="26"/>
      <c r="K212" s="26"/>
      <c r="L212" s="26"/>
      <c r="M212" s="27"/>
      <c r="N212" s="26"/>
      <c r="O212" s="26"/>
      <c r="P212" s="26"/>
      <c r="Q212" s="26"/>
      <c r="R212" s="26"/>
      <c r="S212" s="26"/>
      <c r="T212" s="26"/>
      <c r="U212" s="26"/>
      <c r="V212" s="26"/>
      <c r="W212" s="26"/>
      <c r="X212" s="26"/>
      <c r="Y212" s="26"/>
    </row>
    <row r="213" spans="1:25" ht="15.75" customHeight="1">
      <c r="A213" s="26"/>
      <c r="B213" s="26"/>
      <c r="C213" s="26"/>
      <c r="D213" s="26"/>
      <c r="E213" s="26"/>
      <c r="F213" s="26"/>
      <c r="G213" s="26"/>
      <c r="H213" s="26"/>
      <c r="I213" s="26"/>
      <c r="J213" s="26"/>
      <c r="K213" s="26"/>
      <c r="L213" s="26"/>
      <c r="M213" s="27"/>
      <c r="N213" s="26"/>
      <c r="O213" s="26"/>
      <c r="P213" s="26"/>
      <c r="Q213" s="26"/>
      <c r="R213" s="26"/>
      <c r="S213" s="26"/>
      <c r="T213" s="26"/>
      <c r="U213" s="26"/>
      <c r="V213" s="26"/>
      <c r="W213" s="26"/>
      <c r="X213" s="26"/>
      <c r="Y213" s="26"/>
    </row>
    <row r="214" spans="1:25" ht="15.75" customHeight="1">
      <c r="A214" s="26"/>
      <c r="B214" s="26"/>
      <c r="C214" s="26"/>
      <c r="D214" s="26"/>
      <c r="E214" s="26"/>
      <c r="F214" s="26"/>
      <c r="G214" s="26"/>
      <c r="H214" s="26"/>
      <c r="I214" s="26"/>
      <c r="J214" s="26"/>
      <c r="K214" s="26"/>
      <c r="L214" s="26"/>
      <c r="M214" s="27"/>
      <c r="N214" s="26"/>
      <c r="O214" s="26"/>
      <c r="P214" s="26"/>
      <c r="Q214" s="26"/>
      <c r="R214" s="26"/>
      <c r="S214" s="26"/>
      <c r="T214" s="26"/>
      <c r="U214" s="26"/>
      <c r="V214" s="26"/>
      <c r="W214" s="26"/>
      <c r="X214" s="26"/>
      <c r="Y214" s="26"/>
    </row>
    <row r="215" spans="1:25" ht="15.75" customHeight="1">
      <c r="A215" s="26"/>
      <c r="B215" s="26"/>
      <c r="C215" s="26"/>
      <c r="D215" s="26"/>
      <c r="E215" s="26"/>
      <c r="F215" s="26"/>
      <c r="G215" s="26"/>
      <c r="H215" s="26"/>
      <c r="I215" s="26"/>
      <c r="J215" s="26"/>
      <c r="K215" s="26"/>
      <c r="L215" s="26"/>
      <c r="M215" s="27"/>
      <c r="N215" s="26"/>
      <c r="O215" s="26"/>
      <c r="P215" s="26"/>
      <c r="Q215" s="26"/>
      <c r="R215" s="26"/>
      <c r="S215" s="26"/>
      <c r="T215" s="26"/>
      <c r="U215" s="26"/>
      <c r="V215" s="26"/>
      <c r="W215" s="26"/>
      <c r="X215" s="26"/>
      <c r="Y215" s="26"/>
    </row>
    <row r="216" spans="1:25" ht="15.75" customHeight="1">
      <c r="A216" s="26"/>
      <c r="B216" s="26"/>
      <c r="C216" s="26"/>
      <c r="D216" s="26"/>
      <c r="E216" s="26"/>
      <c r="F216" s="26"/>
      <c r="G216" s="26"/>
      <c r="H216" s="26"/>
      <c r="I216" s="26"/>
      <c r="J216" s="26"/>
      <c r="K216" s="26"/>
      <c r="L216" s="26"/>
      <c r="M216" s="27"/>
      <c r="N216" s="26"/>
      <c r="O216" s="26"/>
      <c r="P216" s="26"/>
      <c r="Q216" s="26"/>
      <c r="R216" s="26"/>
      <c r="S216" s="26"/>
      <c r="T216" s="26"/>
      <c r="U216" s="26"/>
      <c r="V216" s="26"/>
      <c r="W216" s="26"/>
      <c r="X216" s="26"/>
      <c r="Y216" s="26"/>
    </row>
    <row r="217" spans="1:25" ht="15.75" customHeight="1">
      <c r="A217" s="26"/>
      <c r="B217" s="26"/>
      <c r="C217" s="26"/>
      <c r="D217" s="26"/>
      <c r="E217" s="26"/>
      <c r="F217" s="26"/>
      <c r="G217" s="26"/>
      <c r="H217" s="26"/>
      <c r="I217" s="26"/>
      <c r="J217" s="26"/>
      <c r="K217" s="26"/>
      <c r="L217" s="26"/>
      <c r="M217" s="27"/>
      <c r="N217" s="26"/>
      <c r="O217" s="26"/>
      <c r="P217" s="26"/>
      <c r="Q217" s="26"/>
      <c r="R217" s="26"/>
      <c r="S217" s="26"/>
      <c r="T217" s="26"/>
      <c r="U217" s="26"/>
      <c r="V217" s="26"/>
      <c r="W217" s="26"/>
      <c r="X217" s="26"/>
      <c r="Y217" s="26"/>
    </row>
    <row r="218" spans="1:25" ht="15.75" customHeight="1">
      <c r="A218" s="26"/>
      <c r="B218" s="26"/>
      <c r="C218" s="26"/>
      <c r="D218" s="26"/>
      <c r="E218" s="26"/>
      <c r="F218" s="26"/>
      <c r="G218" s="26"/>
      <c r="H218" s="26"/>
      <c r="I218" s="26"/>
      <c r="J218" s="26"/>
      <c r="K218" s="26"/>
      <c r="L218" s="26"/>
      <c r="M218" s="27"/>
      <c r="N218" s="26"/>
      <c r="O218" s="26"/>
      <c r="P218" s="26"/>
      <c r="Q218" s="26"/>
      <c r="R218" s="26"/>
      <c r="S218" s="26"/>
      <c r="T218" s="26"/>
      <c r="U218" s="26"/>
      <c r="V218" s="26"/>
      <c r="W218" s="26"/>
      <c r="X218" s="26"/>
      <c r="Y218" s="26"/>
    </row>
    <row r="219" spans="1:25" ht="15.75" customHeight="1">
      <c r="A219" s="26"/>
      <c r="B219" s="26"/>
      <c r="C219" s="26"/>
      <c r="D219" s="26"/>
      <c r="E219" s="26"/>
      <c r="F219" s="26"/>
      <c r="G219" s="26"/>
      <c r="H219" s="26"/>
      <c r="I219" s="26"/>
      <c r="J219" s="26"/>
      <c r="K219" s="26"/>
      <c r="L219" s="26"/>
      <c r="M219" s="27"/>
      <c r="N219" s="26"/>
      <c r="O219" s="26"/>
      <c r="P219" s="26"/>
      <c r="Q219" s="26"/>
      <c r="R219" s="26"/>
      <c r="S219" s="26"/>
      <c r="T219" s="26"/>
      <c r="U219" s="26"/>
      <c r="V219" s="26"/>
      <c r="W219" s="26"/>
      <c r="X219" s="26"/>
      <c r="Y219" s="26"/>
    </row>
    <row r="220" spans="1:25" ht="15.75" customHeight="1">
      <c r="A220" s="26"/>
      <c r="B220" s="26"/>
      <c r="C220" s="26"/>
      <c r="D220" s="26"/>
      <c r="E220" s="26"/>
      <c r="F220" s="26"/>
      <c r="G220" s="26"/>
      <c r="H220" s="26"/>
      <c r="I220" s="26"/>
      <c r="J220" s="26"/>
      <c r="K220" s="26"/>
      <c r="L220" s="26"/>
      <c r="M220" s="27"/>
      <c r="N220" s="26"/>
      <c r="O220" s="26"/>
      <c r="P220" s="26"/>
      <c r="Q220" s="26"/>
      <c r="R220" s="26"/>
      <c r="S220" s="26"/>
      <c r="T220" s="26"/>
      <c r="U220" s="26"/>
      <c r="V220" s="26"/>
      <c r="W220" s="26"/>
      <c r="X220" s="26"/>
      <c r="Y220" s="26"/>
    </row>
    <row r="221" spans="1:25" ht="15.75" customHeight="1">
      <c r="A221" s="26"/>
      <c r="B221" s="26"/>
      <c r="C221" s="26"/>
      <c r="D221" s="26"/>
      <c r="E221" s="26"/>
      <c r="F221" s="26"/>
      <c r="G221" s="26"/>
      <c r="H221" s="26"/>
      <c r="I221" s="26"/>
      <c r="J221" s="26"/>
      <c r="K221" s="26"/>
      <c r="L221" s="26"/>
      <c r="M221" s="27"/>
      <c r="N221" s="26"/>
      <c r="O221" s="26"/>
      <c r="P221" s="26"/>
      <c r="Q221" s="26"/>
      <c r="R221" s="26"/>
      <c r="S221" s="26"/>
      <c r="T221" s="26"/>
      <c r="U221" s="26"/>
      <c r="V221" s="26"/>
      <c r="W221" s="26"/>
      <c r="X221" s="26"/>
      <c r="Y221" s="26"/>
    </row>
    <row r="222" spans="1:25" ht="15.75" customHeight="1">
      <c r="A222" s="26"/>
      <c r="B222" s="26"/>
      <c r="C222" s="26"/>
      <c r="D222" s="26"/>
      <c r="E222" s="26"/>
      <c r="F222" s="26"/>
      <c r="G222" s="26"/>
      <c r="H222" s="26"/>
      <c r="I222" s="26"/>
      <c r="J222" s="26"/>
      <c r="K222" s="26"/>
      <c r="L222" s="26"/>
      <c r="M222" s="27"/>
      <c r="N222" s="26"/>
      <c r="O222" s="26"/>
      <c r="P222" s="26"/>
      <c r="Q222" s="26"/>
      <c r="R222" s="26"/>
      <c r="S222" s="26"/>
      <c r="T222" s="26"/>
      <c r="U222" s="26"/>
      <c r="V222" s="26"/>
      <c r="W222" s="26"/>
      <c r="X222" s="26"/>
      <c r="Y222" s="26"/>
    </row>
    <row r="223" spans="1:25" ht="15.75" customHeight="1">
      <c r="A223" s="26"/>
      <c r="B223" s="26"/>
      <c r="C223" s="26"/>
      <c r="D223" s="26"/>
      <c r="E223" s="26"/>
      <c r="F223" s="26"/>
      <c r="G223" s="26"/>
      <c r="H223" s="26"/>
      <c r="I223" s="26"/>
      <c r="J223" s="26"/>
      <c r="K223" s="26"/>
      <c r="L223" s="26"/>
      <c r="M223" s="27"/>
      <c r="N223" s="26"/>
      <c r="O223" s="26"/>
      <c r="P223" s="26"/>
      <c r="Q223" s="26"/>
      <c r="R223" s="26"/>
      <c r="S223" s="26"/>
      <c r="T223" s="26"/>
      <c r="U223" s="26"/>
      <c r="V223" s="26"/>
      <c r="W223" s="26"/>
      <c r="X223" s="26"/>
      <c r="Y223" s="26"/>
    </row>
    <row r="224" spans="1:25" ht="15.75" customHeight="1">
      <c r="A224" s="26"/>
      <c r="B224" s="26"/>
      <c r="C224" s="26"/>
      <c r="D224" s="26"/>
      <c r="E224" s="26"/>
      <c r="F224" s="26"/>
      <c r="G224" s="26"/>
      <c r="H224" s="26"/>
      <c r="I224" s="26"/>
      <c r="J224" s="26"/>
      <c r="K224" s="26"/>
      <c r="L224" s="26"/>
      <c r="M224" s="27"/>
      <c r="N224" s="26"/>
      <c r="O224" s="26"/>
      <c r="P224" s="26"/>
      <c r="Q224" s="26"/>
      <c r="R224" s="26"/>
      <c r="S224" s="26"/>
      <c r="T224" s="26"/>
      <c r="U224" s="26"/>
      <c r="V224" s="26"/>
      <c r="W224" s="26"/>
      <c r="X224" s="26"/>
      <c r="Y224" s="26"/>
    </row>
    <row r="225" spans="1:25" ht="15.75" customHeight="1">
      <c r="A225" s="26"/>
      <c r="B225" s="26"/>
      <c r="C225" s="26"/>
      <c r="D225" s="26"/>
      <c r="E225" s="26"/>
      <c r="F225" s="26"/>
      <c r="G225" s="26"/>
      <c r="H225" s="26"/>
      <c r="I225" s="26"/>
      <c r="J225" s="26"/>
      <c r="K225" s="26"/>
      <c r="L225" s="26"/>
      <c r="M225" s="27"/>
      <c r="N225" s="26"/>
      <c r="O225" s="26"/>
      <c r="P225" s="26"/>
      <c r="Q225" s="26"/>
      <c r="R225" s="26"/>
      <c r="S225" s="26"/>
      <c r="T225" s="26"/>
      <c r="U225" s="26"/>
      <c r="V225" s="26"/>
      <c r="W225" s="26"/>
      <c r="X225" s="26"/>
      <c r="Y225" s="26"/>
    </row>
    <row r="226" spans="1:25" ht="15.75" customHeight="1">
      <c r="A226" s="26"/>
      <c r="B226" s="26"/>
      <c r="C226" s="26"/>
      <c r="D226" s="26"/>
      <c r="E226" s="26"/>
      <c r="F226" s="26"/>
      <c r="G226" s="26"/>
      <c r="H226" s="26"/>
      <c r="I226" s="26"/>
      <c r="J226" s="26"/>
      <c r="K226" s="26"/>
      <c r="L226" s="26"/>
      <c r="M226" s="27"/>
      <c r="N226" s="26"/>
      <c r="O226" s="26"/>
      <c r="P226" s="26"/>
      <c r="Q226" s="26"/>
      <c r="R226" s="26"/>
      <c r="S226" s="26"/>
      <c r="T226" s="26"/>
      <c r="U226" s="26"/>
      <c r="V226" s="26"/>
      <c r="W226" s="26"/>
      <c r="X226" s="26"/>
      <c r="Y226" s="26"/>
    </row>
    <row r="227" spans="1:25" ht="15.75" customHeight="1">
      <c r="A227" s="26"/>
      <c r="B227" s="26"/>
      <c r="C227" s="26"/>
      <c r="D227" s="26"/>
      <c r="E227" s="26"/>
      <c r="F227" s="26"/>
      <c r="G227" s="26"/>
      <c r="H227" s="26"/>
      <c r="I227" s="26"/>
      <c r="J227" s="26"/>
      <c r="K227" s="26"/>
      <c r="L227" s="26"/>
      <c r="M227" s="27"/>
      <c r="N227" s="26"/>
      <c r="O227" s="26"/>
      <c r="P227" s="26"/>
      <c r="Q227" s="26"/>
      <c r="R227" s="26"/>
      <c r="S227" s="26"/>
      <c r="T227" s="26"/>
      <c r="U227" s="26"/>
      <c r="V227" s="26"/>
      <c r="W227" s="26"/>
      <c r="X227" s="26"/>
      <c r="Y227" s="26"/>
    </row>
    <row r="228" spans="1:25" ht="15.75" customHeight="1">
      <c r="A228" s="26"/>
      <c r="B228" s="26"/>
      <c r="C228" s="26"/>
      <c r="D228" s="26"/>
      <c r="E228" s="26"/>
      <c r="F228" s="26"/>
      <c r="G228" s="26"/>
      <c r="H228" s="26"/>
      <c r="I228" s="26"/>
      <c r="J228" s="26"/>
      <c r="K228" s="26"/>
      <c r="L228" s="26"/>
      <c r="M228" s="27"/>
      <c r="N228" s="26"/>
      <c r="O228" s="26"/>
      <c r="P228" s="26"/>
      <c r="Q228" s="26"/>
      <c r="R228" s="26"/>
      <c r="S228" s="26"/>
      <c r="T228" s="26"/>
      <c r="U228" s="26"/>
      <c r="V228" s="26"/>
      <c r="W228" s="26"/>
      <c r="X228" s="26"/>
      <c r="Y228" s="26"/>
    </row>
    <row r="229" spans="1:25" ht="15.75" customHeight="1">
      <c r="A229" s="26"/>
      <c r="B229" s="26"/>
      <c r="C229" s="26"/>
      <c r="D229" s="26"/>
      <c r="E229" s="26"/>
      <c r="F229" s="26"/>
      <c r="G229" s="26"/>
      <c r="H229" s="26"/>
      <c r="I229" s="26"/>
      <c r="J229" s="26"/>
      <c r="K229" s="26"/>
      <c r="L229" s="26"/>
      <c r="M229" s="27"/>
      <c r="N229" s="26"/>
      <c r="O229" s="26"/>
      <c r="P229" s="26"/>
      <c r="Q229" s="26"/>
      <c r="R229" s="26"/>
      <c r="S229" s="26"/>
      <c r="T229" s="26"/>
      <c r="U229" s="26"/>
      <c r="V229" s="26"/>
      <c r="W229" s="26"/>
      <c r="X229" s="26"/>
      <c r="Y229" s="26"/>
    </row>
    <row r="230" spans="1:25" ht="15.75" customHeight="1">
      <c r="A230" s="26"/>
      <c r="B230" s="26"/>
      <c r="C230" s="26"/>
      <c r="D230" s="26"/>
      <c r="E230" s="26"/>
      <c r="F230" s="26"/>
      <c r="G230" s="26"/>
      <c r="H230" s="26"/>
      <c r="I230" s="26"/>
      <c r="J230" s="26"/>
      <c r="K230" s="26"/>
      <c r="L230" s="26"/>
      <c r="M230" s="27"/>
      <c r="N230" s="26"/>
      <c r="O230" s="26"/>
      <c r="P230" s="26"/>
      <c r="Q230" s="26"/>
      <c r="R230" s="26"/>
      <c r="S230" s="26"/>
      <c r="T230" s="26"/>
      <c r="U230" s="26"/>
      <c r="V230" s="26"/>
      <c r="W230" s="26"/>
      <c r="X230" s="26"/>
      <c r="Y230" s="26"/>
    </row>
    <row r="231" spans="1:25" ht="15.75" customHeight="1">
      <c r="A231" s="26"/>
      <c r="B231" s="26"/>
      <c r="C231" s="26"/>
      <c r="D231" s="26"/>
      <c r="E231" s="26"/>
      <c r="F231" s="26"/>
      <c r="G231" s="26"/>
      <c r="H231" s="26"/>
      <c r="I231" s="26"/>
      <c r="J231" s="26"/>
      <c r="K231" s="26"/>
      <c r="L231" s="26"/>
      <c r="M231" s="27"/>
      <c r="N231" s="26"/>
      <c r="O231" s="26"/>
      <c r="P231" s="26"/>
      <c r="Q231" s="26"/>
      <c r="R231" s="26"/>
      <c r="S231" s="26"/>
      <c r="T231" s="26"/>
      <c r="U231" s="26"/>
      <c r="V231" s="26"/>
      <c r="W231" s="26"/>
      <c r="X231" s="26"/>
      <c r="Y231" s="26"/>
    </row>
    <row r="232" spans="1:25" ht="15.75" customHeight="1">
      <c r="A232" s="26"/>
      <c r="B232" s="26"/>
      <c r="C232" s="26"/>
      <c r="D232" s="26"/>
      <c r="E232" s="26"/>
      <c r="F232" s="26"/>
      <c r="G232" s="26"/>
      <c r="H232" s="26"/>
      <c r="I232" s="26"/>
      <c r="J232" s="26"/>
      <c r="K232" s="26"/>
      <c r="L232" s="26"/>
      <c r="M232" s="27"/>
      <c r="N232" s="26"/>
      <c r="O232" s="26"/>
      <c r="P232" s="26"/>
      <c r="Q232" s="26"/>
      <c r="R232" s="26"/>
      <c r="S232" s="26"/>
      <c r="T232" s="26"/>
      <c r="U232" s="26"/>
      <c r="V232" s="26"/>
      <c r="W232" s="26"/>
      <c r="X232" s="26"/>
      <c r="Y232" s="26"/>
    </row>
    <row r="233" spans="1:25" ht="15.75" customHeight="1">
      <c r="A233" s="26"/>
      <c r="B233" s="26"/>
      <c r="C233" s="26"/>
      <c r="D233" s="26"/>
      <c r="E233" s="26"/>
      <c r="F233" s="26"/>
      <c r="G233" s="26"/>
      <c r="H233" s="26"/>
      <c r="I233" s="26"/>
      <c r="J233" s="26"/>
      <c r="K233" s="26"/>
      <c r="L233" s="26"/>
      <c r="M233" s="27"/>
      <c r="N233" s="26"/>
      <c r="O233" s="26"/>
      <c r="P233" s="26"/>
      <c r="Q233" s="26"/>
      <c r="R233" s="26"/>
      <c r="S233" s="26"/>
      <c r="T233" s="26"/>
      <c r="U233" s="26"/>
      <c r="V233" s="26"/>
      <c r="W233" s="26"/>
      <c r="X233" s="26"/>
      <c r="Y233" s="26"/>
    </row>
    <row r="234" spans="1:25" ht="15.75" customHeight="1">
      <c r="A234" s="26"/>
      <c r="B234" s="26"/>
      <c r="C234" s="26"/>
      <c r="D234" s="26"/>
      <c r="E234" s="26"/>
      <c r="F234" s="26"/>
      <c r="G234" s="26"/>
      <c r="H234" s="26"/>
      <c r="I234" s="26"/>
      <c r="J234" s="26"/>
      <c r="K234" s="26"/>
      <c r="L234" s="26"/>
      <c r="M234" s="27"/>
      <c r="N234" s="26"/>
      <c r="O234" s="26"/>
      <c r="P234" s="26"/>
      <c r="Q234" s="26"/>
      <c r="R234" s="26"/>
      <c r="S234" s="26"/>
      <c r="T234" s="26"/>
      <c r="U234" s="26"/>
      <c r="V234" s="26"/>
      <c r="W234" s="26"/>
      <c r="X234" s="26"/>
      <c r="Y234" s="26"/>
    </row>
    <row r="235" spans="1:25" ht="15.75" customHeight="1">
      <c r="A235" s="26"/>
      <c r="B235" s="26"/>
      <c r="C235" s="26"/>
      <c r="D235" s="26"/>
      <c r="E235" s="26"/>
      <c r="F235" s="26"/>
      <c r="G235" s="26"/>
      <c r="H235" s="26"/>
      <c r="I235" s="26"/>
      <c r="J235" s="26"/>
      <c r="K235" s="26"/>
      <c r="L235" s="26"/>
      <c r="M235" s="27"/>
      <c r="N235" s="26"/>
      <c r="O235" s="26"/>
      <c r="P235" s="26"/>
      <c r="Q235" s="26"/>
      <c r="R235" s="26"/>
      <c r="S235" s="26"/>
      <c r="T235" s="26"/>
      <c r="U235" s="26"/>
      <c r="V235" s="26"/>
      <c r="W235" s="26"/>
      <c r="X235" s="26"/>
      <c r="Y235" s="26"/>
    </row>
    <row r="236" spans="1:25" ht="15.75" customHeight="1">
      <c r="A236" s="26"/>
      <c r="B236" s="26"/>
      <c r="C236" s="26"/>
      <c r="D236" s="26"/>
      <c r="E236" s="26"/>
      <c r="F236" s="26"/>
      <c r="G236" s="26"/>
      <c r="H236" s="26"/>
      <c r="I236" s="26"/>
      <c r="J236" s="26"/>
      <c r="K236" s="26"/>
      <c r="L236" s="26"/>
      <c r="M236" s="27"/>
      <c r="N236" s="26"/>
      <c r="O236" s="26"/>
      <c r="P236" s="26"/>
      <c r="Q236" s="26"/>
      <c r="R236" s="26"/>
      <c r="S236" s="26"/>
      <c r="T236" s="26"/>
      <c r="U236" s="26"/>
      <c r="V236" s="26"/>
      <c r="W236" s="26"/>
      <c r="X236" s="26"/>
      <c r="Y236" s="26"/>
    </row>
    <row r="237" spans="1:25" ht="15.75" customHeight="1">
      <c r="A237" s="26"/>
      <c r="B237" s="26"/>
      <c r="C237" s="26"/>
      <c r="D237" s="26"/>
      <c r="E237" s="26"/>
      <c r="F237" s="26"/>
      <c r="G237" s="26"/>
      <c r="H237" s="26"/>
      <c r="I237" s="26"/>
      <c r="J237" s="26"/>
      <c r="K237" s="26"/>
      <c r="L237" s="26"/>
      <c r="M237" s="27"/>
      <c r="N237" s="26"/>
      <c r="O237" s="26"/>
      <c r="P237" s="26"/>
      <c r="Q237" s="26"/>
      <c r="R237" s="26"/>
      <c r="S237" s="26"/>
      <c r="T237" s="26"/>
      <c r="U237" s="26"/>
      <c r="V237" s="26"/>
      <c r="W237" s="26"/>
      <c r="X237" s="26"/>
      <c r="Y237" s="26"/>
    </row>
    <row r="238" spans="1:25" ht="15.75" customHeight="1">
      <c r="A238" s="26"/>
      <c r="B238" s="26"/>
      <c r="C238" s="26"/>
      <c r="D238" s="26"/>
      <c r="E238" s="26"/>
      <c r="F238" s="26"/>
      <c r="G238" s="26"/>
      <c r="H238" s="26"/>
      <c r="I238" s="26"/>
      <c r="J238" s="26"/>
      <c r="K238" s="26"/>
      <c r="L238" s="26"/>
      <c r="M238" s="27"/>
      <c r="N238" s="26"/>
      <c r="O238" s="26"/>
      <c r="P238" s="26"/>
      <c r="Q238" s="26"/>
      <c r="R238" s="26"/>
      <c r="S238" s="26"/>
      <c r="T238" s="26"/>
      <c r="U238" s="26"/>
      <c r="V238" s="26"/>
      <c r="W238" s="26"/>
      <c r="X238" s="26"/>
      <c r="Y238" s="26"/>
    </row>
    <row r="239" spans="1:25" ht="15.75" customHeight="1">
      <c r="A239" s="26"/>
      <c r="B239" s="26"/>
      <c r="C239" s="26"/>
      <c r="D239" s="26"/>
      <c r="E239" s="26"/>
      <c r="F239" s="26"/>
      <c r="G239" s="26"/>
      <c r="H239" s="26"/>
      <c r="I239" s="26"/>
      <c r="J239" s="26"/>
      <c r="K239" s="26"/>
      <c r="L239" s="26"/>
      <c r="M239" s="27"/>
      <c r="N239" s="26"/>
      <c r="O239" s="26"/>
      <c r="P239" s="26"/>
      <c r="Q239" s="26"/>
      <c r="R239" s="26"/>
      <c r="S239" s="26"/>
      <c r="T239" s="26"/>
      <c r="U239" s="26"/>
      <c r="V239" s="26"/>
      <c r="W239" s="26"/>
      <c r="X239" s="26"/>
      <c r="Y239" s="26"/>
    </row>
    <row r="240" spans="1:25" ht="15.75" customHeight="1">
      <c r="A240" s="26"/>
      <c r="B240" s="26"/>
      <c r="C240" s="26"/>
      <c r="D240" s="26"/>
      <c r="E240" s="26"/>
      <c r="F240" s="26"/>
      <c r="G240" s="26"/>
      <c r="H240" s="26"/>
      <c r="I240" s="26"/>
      <c r="J240" s="26"/>
      <c r="K240" s="26"/>
      <c r="L240" s="26"/>
      <c r="M240" s="27"/>
      <c r="N240" s="26"/>
      <c r="O240" s="26"/>
      <c r="P240" s="26"/>
      <c r="Q240" s="26"/>
      <c r="R240" s="26"/>
      <c r="S240" s="26"/>
      <c r="T240" s="26"/>
      <c r="U240" s="26"/>
      <c r="V240" s="26"/>
      <c r="W240" s="26"/>
      <c r="X240" s="26"/>
      <c r="Y240" s="26"/>
    </row>
    <row r="241" spans="1:25" ht="15.75" customHeight="1">
      <c r="A241" s="26"/>
      <c r="B241" s="26"/>
      <c r="C241" s="26"/>
      <c r="D241" s="26"/>
      <c r="E241" s="26"/>
      <c r="F241" s="26"/>
      <c r="G241" s="26"/>
      <c r="H241" s="26"/>
      <c r="I241" s="26"/>
      <c r="J241" s="26"/>
      <c r="K241" s="26"/>
      <c r="L241" s="26"/>
      <c r="M241" s="27"/>
      <c r="N241" s="26"/>
      <c r="O241" s="26"/>
      <c r="P241" s="26"/>
      <c r="Q241" s="26"/>
      <c r="R241" s="26"/>
      <c r="S241" s="26"/>
      <c r="T241" s="26"/>
      <c r="U241" s="26"/>
      <c r="V241" s="26"/>
      <c r="W241" s="26"/>
      <c r="X241" s="26"/>
      <c r="Y241" s="26"/>
    </row>
    <row r="242" spans="1:25" ht="15.75" customHeight="1">
      <c r="A242" s="26"/>
      <c r="B242" s="26"/>
      <c r="C242" s="26"/>
      <c r="D242" s="26"/>
      <c r="E242" s="26"/>
      <c r="F242" s="26"/>
      <c r="G242" s="26"/>
      <c r="H242" s="26"/>
      <c r="I242" s="26"/>
      <c r="J242" s="26"/>
      <c r="K242" s="26"/>
      <c r="L242" s="26"/>
      <c r="M242" s="27"/>
      <c r="N242" s="26"/>
      <c r="O242" s="26"/>
      <c r="P242" s="26"/>
      <c r="Q242" s="26"/>
      <c r="R242" s="26"/>
      <c r="S242" s="26"/>
      <c r="T242" s="26"/>
      <c r="U242" s="26"/>
      <c r="V242" s="26"/>
      <c r="W242" s="26"/>
      <c r="X242" s="26"/>
      <c r="Y242" s="26"/>
    </row>
    <row r="243" spans="1:25" ht="15.75" customHeight="1">
      <c r="A243" s="26"/>
      <c r="B243" s="26"/>
      <c r="C243" s="26"/>
      <c r="D243" s="26"/>
      <c r="E243" s="26"/>
      <c r="F243" s="26"/>
      <c r="G243" s="26"/>
      <c r="H243" s="26"/>
      <c r="I243" s="26"/>
      <c r="J243" s="26"/>
      <c r="K243" s="26"/>
      <c r="L243" s="26"/>
      <c r="M243" s="27"/>
      <c r="N243" s="26"/>
      <c r="O243" s="26"/>
      <c r="P243" s="26"/>
      <c r="Q243" s="26"/>
      <c r="R243" s="26"/>
      <c r="S243" s="26"/>
      <c r="T243" s="26"/>
      <c r="U243" s="26"/>
      <c r="V243" s="26"/>
      <c r="W243" s="26"/>
      <c r="X243" s="26"/>
      <c r="Y243" s="26"/>
    </row>
    <row r="244" spans="1:25" ht="15.75" customHeight="1">
      <c r="A244" s="26"/>
      <c r="B244" s="26"/>
      <c r="C244" s="26"/>
      <c r="D244" s="26"/>
      <c r="E244" s="26"/>
      <c r="F244" s="26"/>
      <c r="G244" s="26"/>
      <c r="H244" s="26"/>
      <c r="I244" s="26"/>
      <c r="J244" s="26"/>
      <c r="K244" s="26"/>
      <c r="L244" s="26"/>
      <c r="M244" s="27"/>
      <c r="N244" s="26"/>
      <c r="O244" s="26"/>
      <c r="P244" s="26"/>
      <c r="Q244" s="26"/>
      <c r="R244" s="26"/>
      <c r="S244" s="26"/>
      <c r="T244" s="26"/>
      <c r="U244" s="26"/>
      <c r="V244" s="26"/>
      <c r="W244" s="26"/>
      <c r="X244" s="26"/>
      <c r="Y244" s="26"/>
    </row>
    <row r="245" spans="1:25" ht="15.75" customHeight="1">
      <c r="A245" s="26"/>
      <c r="B245" s="26"/>
      <c r="C245" s="26"/>
      <c r="D245" s="26"/>
      <c r="E245" s="26"/>
      <c r="F245" s="26"/>
      <c r="G245" s="26"/>
      <c r="H245" s="26"/>
      <c r="I245" s="26"/>
      <c r="J245" s="26"/>
      <c r="K245" s="26"/>
      <c r="L245" s="26"/>
      <c r="M245" s="27"/>
      <c r="N245" s="26"/>
      <c r="O245" s="26"/>
      <c r="P245" s="26"/>
      <c r="Q245" s="26"/>
      <c r="R245" s="26"/>
      <c r="S245" s="26"/>
      <c r="T245" s="26"/>
      <c r="U245" s="26"/>
      <c r="V245" s="26"/>
      <c r="W245" s="26"/>
      <c r="X245" s="26"/>
      <c r="Y245" s="26"/>
    </row>
    <row r="246" spans="1:25" ht="15.75" customHeight="1">
      <c r="A246" s="26"/>
      <c r="B246" s="26"/>
      <c r="C246" s="26"/>
      <c r="D246" s="26"/>
      <c r="E246" s="26"/>
      <c r="F246" s="26"/>
      <c r="G246" s="26"/>
      <c r="H246" s="26"/>
      <c r="I246" s="26"/>
      <c r="J246" s="26"/>
      <c r="K246" s="26"/>
      <c r="L246" s="26"/>
      <c r="M246" s="27"/>
      <c r="N246" s="26"/>
      <c r="O246" s="26"/>
      <c r="P246" s="26"/>
      <c r="Q246" s="26"/>
      <c r="R246" s="26"/>
      <c r="S246" s="26"/>
      <c r="T246" s="26"/>
      <c r="U246" s="26"/>
      <c r="V246" s="26"/>
      <c r="W246" s="26"/>
      <c r="X246" s="26"/>
      <c r="Y246" s="26"/>
    </row>
    <row r="247" spans="1:25" ht="15.75" customHeight="1">
      <c r="A247" s="26"/>
      <c r="B247" s="26"/>
      <c r="C247" s="26"/>
      <c r="D247" s="26"/>
      <c r="E247" s="26"/>
      <c r="F247" s="26"/>
      <c r="G247" s="26"/>
      <c r="H247" s="26"/>
      <c r="I247" s="26"/>
      <c r="J247" s="26"/>
      <c r="K247" s="26"/>
      <c r="L247" s="26"/>
      <c r="M247" s="27"/>
      <c r="N247" s="26"/>
      <c r="O247" s="26"/>
      <c r="P247" s="26"/>
      <c r="Q247" s="26"/>
      <c r="R247" s="26"/>
      <c r="S247" s="26"/>
      <c r="T247" s="26"/>
      <c r="U247" s="26"/>
      <c r="V247" s="26"/>
      <c r="W247" s="26"/>
      <c r="X247" s="26"/>
      <c r="Y247" s="26"/>
    </row>
    <row r="248" spans="1:25" ht="15.75" customHeight="1">
      <c r="A248" s="26"/>
      <c r="B248" s="26"/>
      <c r="C248" s="26"/>
      <c r="D248" s="26"/>
      <c r="E248" s="26"/>
      <c r="F248" s="26"/>
      <c r="G248" s="26"/>
      <c r="H248" s="26"/>
      <c r="I248" s="26"/>
      <c r="J248" s="26"/>
      <c r="K248" s="26"/>
      <c r="L248" s="26"/>
      <c r="M248" s="27"/>
      <c r="N248" s="26"/>
      <c r="O248" s="26"/>
      <c r="P248" s="26"/>
      <c r="Q248" s="26"/>
      <c r="R248" s="26"/>
      <c r="S248" s="26"/>
      <c r="T248" s="26"/>
      <c r="U248" s="26"/>
      <c r="V248" s="26"/>
      <c r="W248" s="26"/>
      <c r="X248" s="26"/>
      <c r="Y248" s="26"/>
    </row>
    <row r="249" spans="1:25" ht="15.75" customHeight="1">
      <c r="A249" s="26"/>
      <c r="B249" s="26"/>
      <c r="C249" s="26"/>
      <c r="D249" s="26"/>
      <c r="E249" s="26"/>
      <c r="F249" s="26"/>
      <c r="G249" s="26"/>
      <c r="H249" s="26"/>
      <c r="I249" s="26"/>
      <c r="J249" s="26"/>
      <c r="K249" s="26"/>
      <c r="L249" s="26"/>
      <c r="M249" s="27"/>
      <c r="N249" s="26"/>
      <c r="O249" s="26"/>
      <c r="P249" s="26"/>
      <c r="Q249" s="26"/>
      <c r="R249" s="26"/>
      <c r="S249" s="26"/>
      <c r="T249" s="26"/>
      <c r="U249" s="26"/>
      <c r="V249" s="26"/>
      <c r="W249" s="26"/>
      <c r="X249" s="26"/>
      <c r="Y249" s="26"/>
    </row>
    <row r="250" spans="1:25" ht="15.75" customHeight="1">
      <c r="A250" s="26"/>
      <c r="B250" s="26"/>
      <c r="C250" s="26"/>
      <c r="D250" s="26"/>
      <c r="E250" s="26"/>
      <c r="F250" s="26"/>
      <c r="G250" s="26"/>
      <c r="H250" s="26"/>
      <c r="I250" s="26"/>
      <c r="J250" s="26"/>
      <c r="K250" s="26"/>
      <c r="L250" s="26"/>
      <c r="M250" s="27"/>
      <c r="N250" s="26"/>
      <c r="O250" s="26"/>
      <c r="P250" s="26"/>
      <c r="Q250" s="26"/>
      <c r="R250" s="26"/>
      <c r="S250" s="26"/>
      <c r="T250" s="26"/>
      <c r="U250" s="26"/>
      <c r="V250" s="26"/>
      <c r="W250" s="26"/>
      <c r="X250" s="26"/>
      <c r="Y250" s="26"/>
    </row>
    <row r="251" spans="1:25" ht="15.75" customHeight="1">
      <c r="A251" s="26"/>
      <c r="B251" s="26"/>
      <c r="C251" s="26"/>
      <c r="D251" s="26"/>
      <c r="E251" s="26"/>
      <c r="F251" s="26"/>
      <c r="G251" s="26"/>
      <c r="H251" s="26"/>
      <c r="I251" s="26"/>
      <c r="J251" s="26"/>
      <c r="K251" s="26"/>
      <c r="L251" s="26"/>
      <c r="M251" s="27"/>
      <c r="N251" s="26"/>
      <c r="O251" s="26"/>
      <c r="P251" s="26"/>
      <c r="Q251" s="26"/>
      <c r="R251" s="26"/>
      <c r="S251" s="26"/>
      <c r="T251" s="26"/>
      <c r="U251" s="26"/>
      <c r="V251" s="26"/>
      <c r="W251" s="26"/>
      <c r="X251" s="26"/>
      <c r="Y251" s="26"/>
    </row>
    <row r="252" spans="1:25" ht="15.75" customHeight="1">
      <c r="A252" s="26"/>
      <c r="B252" s="26"/>
      <c r="C252" s="26"/>
      <c r="D252" s="26"/>
      <c r="E252" s="26"/>
      <c r="F252" s="26"/>
      <c r="G252" s="26"/>
      <c r="H252" s="26"/>
      <c r="I252" s="26"/>
      <c r="J252" s="26"/>
      <c r="K252" s="26"/>
      <c r="L252" s="26"/>
      <c r="M252" s="27"/>
      <c r="N252" s="26"/>
      <c r="O252" s="26"/>
      <c r="P252" s="26"/>
      <c r="Q252" s="26"/>
      <c r="R252" s="26"/>
      <c r="S252" s="26"/>
      <c r="T252" s="26"/>
      <c r="U252" s="26"/>
      <c r="V252" s="26"/>
      <c r="W252" s="26"/>
      <c r="X252" s="26"/>
      <c r="Y252" s="26"/>
    </row>
    <row r="253" spans="1:25" ht="15.75" customHeight="1">
      <c r="A253" s="26"/>
      <c r="B253" s="26"/>
      <c r="C253" s="26"/>
      <c r="D253" s="26"/>
      <c r="E253" s="26"/>
      <c r="F253" s="26"/>
      <c r="G253" s="26"/>
      <c r="H253" s="26"/>
      <c r="I253" s="26"/>
      <c r="J253" s="26"/>
      <c r="K253" s="26"/>
      <c r="L253" s="26"/>
      <c r="M253" s="27"/>
      <c r="N253" s="26"/>
      <c r="O253" s="26"/>
      <c r="P253" s="26"/>
      <c r="Q253" s="26"/>
      <c r="R253" s="26"/>
      <c r="S253" s="26"/>
      <c r="T253" s="26"/>
      <c r="U253" s="26"/>
      <c r="V253" s="26"/>
      <c r="W253" s="26"/>
      <c r="X253" s="26"/>
      <c r="Y253" s="26"/>
    </row>
    <row r="254" spans="1:25" ht="15.75" customHeight="1">
      <c r="A254" s="26"/>
      <c r="B254" s="26"/>
      <c r="C254" s="26"/>
      <c r="D254" s="26"/>
      <c r="E254" s="26"/>
      <c r="F254" s="26"/>
      <c r="G254" s="26"/>
      <c r="H254" s="26"/>
      <c r="I254" s="26"/>
      <c r="J254" s="26"/>
      <c r="K254" s="26"/>
      <c r="L254" s="26"/>
      <c r="M254" s="27"/>
      <c r="N254" s="26"/>
      <c r="O254" s="26"/>
      <c r="P254" s="26"/>
      <c r="Q254" s="26"/>
      <c r="R254" s="26"/>
      <c r="S254" s="26"/>
      <c r="T254" s="26"/>
      <c r="U254" s="26"/>
      <c r="V254" s="26"/>
      <c r="W254" s="26"/>
      <c r="X254" s="26"/>
      <c r="Y254" s="26"/>
    </row>
    <row r="255" spans="1:25" ht="15.75" customHeight="1">
      <c r="A255" s="26"/>
      <c r="B255" s="26"/>
      <c r="C255" s="26"/>
      <c r="D255" s="26"/>
      <c r="E255" s="26"/>
      <c r="F255" s="26"/>
      <c r="G255" s="26"/>
      <c r="H255" s="26"/>
      <c r="I255" s="26"/>
      <c r="J255" s="26"/>
      <c r="K255" s="26"/>
      <c r="L255" s="26"/>
      <c r="M255" s="27"/>
      <c r="N255" s="26"/>
      <c r="O255" s="26"/>
      <c r="P255" s="26"/>
      <c r="Q255" s="26"/>
      <c r="R255" s="26"/>
      <c r="S255" s="26"/>
      <c r="T255" s="26"/>
      <c r="U255" s="26"/>
      <c r="V255" s="26"/>
      <c r="W255" s="26"/>
      <c r="X255" s="26"/>
      <c r="Y255" s="26"/>
    </row>
    <row r="256" spans="1:25" ht="15.75" customHeight="1">
      <c r="A256" s="26"/>
      <c r="B256" s="26"/>
      <c r="C256" s="26"/>
      <c r="D256" s="26"/>
      <c r="E256" s="26"/>
      <c r="F256" s="26"/>
      <c r="G256" s="26"/>
      <c r="H256" s="26"/>
      <c r="I256" s="26"/>
      <c r="J256" s="26"/>
      <c r="K256" s="26"/>
      <c r="L256" s="26"/>
      <c r="M256" s="27"/>
      <c r="N256" s="26"/>
      <c r="O256" s="26"/>
      <c r="P256" s="26"/>
      <c r="Q256" s="26"/>
      <c r="R256" s="26"/>
      <c r="S256" s="26"/>
      <c r="T256" s="26"/>
      <c r="U256" s="26"/>
      <c r="V256" s="26"/>
      <c r="W256" s="26"/>
      <c r="X256" s="26"/>
      <c r="Y256" s="26"/>
    </row>
    <row r="257" spans="1:25" ht="15.75" customHeight="1">
      <c r="A257" s="26"/>
      <c r="B257" s="26"/>
      <c r="C257" s="26"/>
      <c r="D257" s="26"/>
      <c r="E257" s="26"/>
      <c r="F257" s="26"/>
      <c r="G257" s="26"/>
      <c r="H257" s="26"/>
      <c r="I257" s="26"/>
      <c r="J257" s="26"/>
      <c r="K257" s="26"/>
      <c r="L257" s="26"/>
      <c r="M257" s="27"/>
      <c r="N257" s="26"/>
      <c r="O257" s="26"/>
      <c r="P257" s="26"/>
      <c r="Q257" s="26"/>
      <c r="R257" s="26"/>
      <c r="S257" s="26"/>
      <c r="T257" s="26"/>
      <c r="U257" s="26"/>
      <c r="V257" s="26"/>
      <c r="W257" s="26"/>
      <c r="X257" s="26"/>
      <c r="Y257" s="26"/>
    </row>
    <row r="258" spans="1:25" ht="15.75" customHeight="1">
      <c r="A258" s="26"/>
      <c r="B258" s="26"/>
      <c r="C258" s="26"/>
      <c r="D258" s="26"/>
      <c r="E258" s="26"/>
      <c r="F258" s="26"/>
      <c r="G258" s="26"/>
      <c r="H258" s="26"/>
      <c r="I258" s="26"/>
      <c r="J258" s="26"/>
      <c r="K258" s="26"/>
      <c r="L258" s="26"/>
      <c r="M258" s="27"/>
      <c r="N258" s="26"/>
      <c r="O258" s="26"/>
      <c r="P258" s="26"/>
      <c r="Q258" s="26"/>
      <c r="R258" s="26"/>
      <c r="S258" s="26"/>
      <c r="T258" s="26"/>
      <c r="U258" s="26"/>
      <c r="V258" s="26"/>
      <c r="W258" s="26"/>
      <c r="X258" s="26"/>
      <c r="Y258" s="26"/>
    </row>
    <row r="259" spans="1:25" ht="15.75" customHeight="1">
      <c r="A259" s="26"/>
      <c r="B259" s="26"/>
      <c r="C259" s="26"/>
      <c r="D259" s="26"/>
      <c r="E259" s="26"/>
      <c r="F259" s="26"/>
      <c r="G259" s="26"/>
      <c r="H259" s="26"/>
      <c r="I259" s="26"/>
      <c r="J259" s="26"/>
      <c r="K259" s="26"/>
      <c r="L259" s="26"/>
      <c r="M259" s="27"/>
      <c r="N259" s="26"/>
      <c r="O259" s="26"/>
      <c r="P259" s="26"/>
      <c r="Q259" s="26"/>
      <c r="R259" s="26"/>
      <c r="S259" s="26"/>
      <c r="T259" s="26"/>
      <c r="U259" s="26"/>
      <c r="V259" s="26"/>
      <c r="W259" s="26"/>
      <c r="X259" s="26"/>
      <c r="Y259" s="26"/>
    </row>
    <row r="260" spans="1:25" ht="15.75" customHeight="1">
      <c r="A260" s="26"/>
      <c r="B260" s="26"/>
      <c r="C260" s="26"/>
      <c r="D260" s="26"/>
      <c r="E260" s="26"/>
      <c r="F260" s="26"/>
      <c r="G260" s="26"/>
      <c r="H260" s="26"/>
      <c r="I260" s="26"/>
      <c r="J260" s="26"/>
      <c r="K260" s="26"/>
      <c r="L260" s="26"/>
      <c r="M260" s="27"/>
      <c r="N260" s="26"/>
      <c r="O260" s="26"/>
      <c r="P260" s="26"/>
      <c r="Q260" s="26"/>
      <c r="R260" s="26"/>
      <c r="S260" s="26"/>
      <c r="T260" s="26"/>
      <c r="U260" s="26"/>
      <c r="V260" s="26"/>
      <c r="W260" s="26"/>
      <c r="X260" s="26"/>
      <c r="Y260" s="26"/>
    </row>
    <row r="261" spans="1:25" ht="15.75" customHeight="1">
      <c r="A261" s="26"/>
      <c r="B261" s="26"/>
      <c r="C261" s="26"/>
      <c r="D261" s="26"/>
      <c r="E261" s="26"/>
      <c r="F261" s="26"/>
      <c r="G261" s="26"/>
      <c r="H261" s="26"/>
      <c r="I261" s="26"/>
      <c r="J261" s="26"/>
      <c r="K261" s="26"/>
      <c r="L261" s="26"/>
      <c r="M261" s="27"/>
      <c r="N261" s="26"/>
      <c r="O261" s="26"/>
      <c r="P261" s="26"/>
      <c r="Q261" s="26"/>
      <c r="R261" s="26"/>
      <c r="S261" s="26"/>
      <c r="T261" s="26"/>
      <c r="U261" s="26"/>
      <c r="V261" s="26"/>
      <c r="W261" s="26"/>
      <c r="X261" s="26"/>
      <c r="Y261" s="26"/>
    </row>
    <row r="262" spans="1:25" ht="15.75" customHeight="1">
      <c r="A262" s="26"/>
      <c r="B262" s="26"/>
      <c r="C262" s="26"/>
      <c r="D262" s="26"/>
      <c r="E262" s="26"/>
      <c r="F262" s="26"/>
      <c r="G262" s="26"/>
      <c r="H262" s="26"/>
      <c r="I262" s="26"/>
      <c r="J262" s="26"/>
      <c r="K262" s="26"/>
      <c r="L262" s="26"/>
      <c r="M262" s="27"/>
      <c r="N262" s="26"/>
      <c r="O262" s="26"/>
      <c r="P262" s="26"/>
      <c r="Q262" s="26"/>
      <c r="R262" s="26"/>
      <c r="S262" s="26"/>
      <c r="T262" s="26"/>
      <c r="U262" s="26"/>
      <c r="V262" s="26"/>
      <c r="W262" s="26"/>
      <c r="X262" s="26"/>
      <c r="Y262" s="26"/>
    </row>
    <row r="263" spans="1:25" ht="15.75" customHeight="1">
      <c r="A263" s="26"/>
      <c r="B263" s="26"/>
      <c r="C263" s="26"/>
      <c r="D263" s="26"/>
      <c r="E263" s="26"/>
      <c r="F263" s="26"/>
      <c r="G263" s="26"/>
      <c r="H263" s="26"/>
      <c r="I263" s="26"/>
      <c r="J263" s="26"/>
      <c r="K263" s="26"/>
      <c r="L263" s="26"/>
      <c r="M263" s="27"/>
      <c r="N263" s="26"/>
      <c r="O263" s="26"/>
      <c r="P263" s="26"/>
      <c r="Q263" s="26"/>
      <c r="R263" s="26"/>
      <c r="S263" s="26"/>
      <c r="T263" s="26"/>
      <c r="U263" s="26"/>
      <c r="V263" s="26"/>
      <c r="W263" s="26"/>
      <c r="X263" s="26"/>
      <c r="Y263" s="26"/>
    </row>
    <row r="264" spans="1:25" ht="15.75" customHeight="1">
      <c r="A264" s="26"/>
      <c r="B264" s="26"/>
      <c r="C264" s="26"/>
      <c r="D264" s="26"/>
      <c r="E264" s="26"/>
      <c r="F264" s="26"/>
      <c r="G264" s="26"/>
      <c r="H264" s="26"/>
      <c r="I264" s="26"/>
      <c r="J264" s="26"/>
      <c r="K264" s="26"/>
      <c r="L264" s="26"/>
      <c r="M264" s="27"/>
      <c r="N264" s="26"/>
      <c r="O264" s="26"/>
      <c r="P264" s="26"/>
      <c r="Q264" s="26"/>
      <c r="R264" s="26"/>
      <c r="S264" s="26"/>
      <c r="T264" s="26"/>
      <c r="U264" s="26"/>
      <c r="V264" s="26"/>
      <c r="W264" s="26"/>
      <c r="X264" s="26"/>
      <c r="Y264" s="26"/>
    </row>
    <row r="265" spans="1:25" ht="15.75" customHeight="1">
      <c r="A265" s="26"/>
      <c r="B265" s="26"/>
      <c r="C265" s="26"/>
      <c r="D265" s="26"/>
      <c r="E265" s="26"/>
      <c r="F265" s="26"/>
      <c r="G265" s="26"/>
      <c r="H265" s="26"/>
      <c r="I265" s="26"/>
      <c r="J265" s="26"/>
      <c r="K265" s="26"/>
      <c r="L265" s="26"/>
      <c r="M265" s="27"/>
      <c r="N265" s="26"/>
      <c r="O265" s="26"/>
      <c r="P265" s="26"/>
      <c r="Q265" s="26"/>
      <c r="R265" s="26"/>
      <c r="S265" s="26"/>
      <c r="T265" s="26"/>
      <c r="U265" s="26"/>
      <c r="V265" s="26"/>
      <c r="W265" s="26"/>
      <c r="X265" s="26"/>
      <c r="Y265" s="26"/>
    </row>
    <row r="266" spans="1:25" ht="15.75" customHeight="1">
      <c r="A266" s="26"/>
      <c r="B266" s="26"/>
      <c r="C266" s="26"/>
      <c r="D266" s="26"/>
      <c r="E266" s="26"/>
      <c r="F266" s="26"/>
      <c r="G266" s="26"/>
      <c r="H266" s="26"/>
      <c r="I266" s="26"/>
      <c r="J266" s="26"/>
      <c r="K266" s="26"/>
      <c r="L266" s="26"/>
      <c r="M266" s="27"/>
      <c r="N266" s="26"/>
      <c r="O266" s="26"/>
      <c r="P266" s="26"/>
      <c r="Q266" s="26"/>
      <c r="R266" s="26"/>
      <c r="S266" s="26"/>
      <c r="T266" s="26"/>
      <c r="U266" s="26"/>
      <c r="V266" s="26"/>
      <c r="W266" s="26"/>
      <c r="X266" s="26"/>
      <c r="Y266" s="26"/>
    </row>
    <row r="267" spans="1:25" ht="15.75" customHeight="1">
      <c r="A267" s="26"/>
      <c r="B267" s="26"/>
      <c r="C267" s="26"/>
      <c r="D267" s="26"/>
      <c r="E267" s="26"/>
      <c r="F267" s="26"/>
      <c r="G267" s="26"/>
      <c r="H267" s="26"/>
      <c r="I267" s="26"/>
      <c r="J267" s="26"/>
      <c r="K267" s="26"/>
      <c r="L267" s="26"/>
      <c r="M267" s="27"/>
      <c r="N267" s="26"/>
      <c r="O267" s="26"/>
      <c r="P267" s="26"/>
      <c r="Q267" s="26"/>
      <c r="R267" s="26"/>
      <c r="S267" s="26"/>
      <c r="T267" s="26"/>
      <c r="U267" s="26"/>
      <c r="V267" s="26"/>
      <c r="W267" s="26"/>
      <c r="X267" s="26"/>
      <c r="Y267" s="26"/>
    </row>
    <row r="268" spans="1:25" ht="15.75" customHeight="1">
      <c r="A268" s="26"/>
      <c r="B268" s="26"/>
      <c r="C268" s="26"/>
      <c r="D268" s="26"/>
      <c r="E268" s="26"/>
      <c r="F268" s="26"/>
      <c r="G268" s="26"/>
      <c r="H268" s="26"/>
      <c r="I268" s="26"/>
      <c r="J268" s="26"/>
      <c r="K268" s="26"/>
      <c r="L268" s="26"/>
      <c r="M268" s="27"/>
      <c r="N268" s="26"/>
      <c r="O268" s="26"/>
      <c r="P268" s="26"/>
      <c r="Q268" s="26"/>
      <c r="R268" s="26"/>
      <c r="S268" s="26"/>
      <c r="T268" s="26"/>
      <c r="U268" s="26"/>
      <c r="V268" s="26"/>
      <c r="W268" s="26"/>
      <c r="X268" s="26"/>
      <c r="Y268" s="26"/>
    </row>
    <row r="269" spans="1:25" ht="15.75" customHeight="1">
      <c r="A269" s="26"/>
      <c r="B269" s="26"/>
      <c r="C269" s="26"/>
      <c r="D269" s="26"/>
      <c r="E269" s="26"/>
      <c r="F269" s="26"/>
      <c r="G269" s="26"/>
      <c r="H269" s="26"/>
      <c r="I269" s="26"/>
      <c r="J269" s="26"/>
      <c r="K269" s="26"/>
      <c r="L269" s="26"/>
      <c r="M269" s="27"/>
      <c r="N269" s="26"/>
      <c r="O269" s="26"/>
      <c r="P269" s="26"/>
      <c r="Q269" s="26"/>
      <c r="R269" s="26"/>
      <c r="S269" s="26"/>
      <c r="T269" s="26"/>
      <c r="U269" s="26"/>
      <c r="V269" s="26"/>
      <c r="W269" s="26"/>
      <c r="X269" s="26"/>
      <c r="Y269" s="26"/>
    </row>
    <row r="270" spans="1:25" ht="15.75" customHeight="1">
      <c r="A270" s="26"/>
      <c r="B270" s="26"/>
      <c r="C270" s="26"/>
      <c r="D270" s="26"/>
      <c r="E270" s="26"/>
      <c r="F270" s="26"/>
      <c r="G270" s="26"/>
      <c r="H270" s="26"/>
      <c r="I270" s="26"/>
      <c r="J270" s="26"/>
      <c r="K270" s="26"/>
      <c r="L270" s="26"/>
      <c r="M270" s="27"/>
      <c r="N270" s="26"/>
      <c r="O270" s="26"/>
      <c r="P270" s="26"/>
      <c r="Q270" s="26"/>
      <c r="R270" s="26"/>
      <c r="S270" s="26"/>
      <c r="T270" s="26"/>
      <c r="U270" s="26"/>
      <c r="V270" s="26"/>
      <c r="W270" s="26"/>
      <c r="X270" s="26"/>
      <c r="Y270" s="26"/>
    </row>
    <row r="271" spans="1:25" ht="15.75" customHeight="1">
      <c r="A271" s="26"/>
      <c r="B271" s="26"/>
      <c r="C271" s="26"/>
      <c r="D271" s="26"/>
      <c r="E271" s="26"/>
      <c r="F271" s="26"/>
      <c r="G271" s="26"/>
      <c r="H271" s="26"/>
      <c r="I271" s="26"/>
      <c r="J271" s="26"/>
      <c r="K271" s="26"/>
      <c r="L271" s="26"/>
      <c r="M271" s="27"/>
      <c r="N271" s="26"/>
      <c r="O271" s="26"/>
      <c r="P271" s="26"/>
      <c r="Q271" s="26"/>
      <c r="R271" s="26"/>
      <c r="S271" s="26"/>
      <c r="T271" s="26"/>
      <c r="U271" s="26"/>
      <c r="V271" s="26"/>
      <c r="W271" s="26"/>
      <c r="X271" s="26"/>
      <c r="Y271" s="26"/>
    </row>
    <row r="272" spans="1:25" ht="15.75" customHeight="1">
      <c r="A272" s="26"/>
      <c r="B272" s="26"/>
      <c r="C272" s="26"/>
      <c r="D272" s="26"/>
      <c r="E272" s="26"/>
      <c r="F272" s="26"/>
      <c r="G272" s="26"/>
      <c r="H272" s="26"/>
      <c r="I272" s="26"/>
      <c r="J272" s="26"/>
      <c r="K272" s="26"/>
      <c r="L272" s="26"/>
      <c r="M272" s="27"/>
      <c r="N272" s="26"/>
      <c r="O272" s="26"/>
      <c r="P272" s="26"/>
      <c r="Q272" s="26"/>
      <c r="R272" s="26"/>
      <c r="S272" s="26"/>
      <c r="T272" s="26"/>
      <c r="U272" s="26"/>
      <c r="V272" s="26"/>
      <c r="W272" s="26"/>
      <c r="X272" s="26"/>
      <c r="Y272" s="26"/>
    </row>
    <row r="273" spans="1:25" ht="15.75" customHeight="1">
      <c r="A273" s="26"/>
      <c r="B273" s="26"/>
      <c r="C273" s="26"/>
      <c r="D273" s="26"/>
      <c r="E273" s="26"/>
      <c r="F273" s="26"/>
      <c r="G273" s="26"/>
      <c r="H273" s="26"/>
      <c r="I273" s="26"/>
      <c r="J273" s="26"/>
      <c r="K273" s="26"/>
      <c r="L273" s="26"/>
      <c r="M273" s="27"/>
      <c r="N273" s="26"/>
      <c r="O273" s="26"/>
      <c r="P273" s="26"/>
      <c r="Q273" s="26"/>
      <c r="R273" s="26"/>
      <c r="S273" s="26"/>
      <c r="T273" s="26"/>
      <c r="U273" s="26"/>
      <c r="V273" s="26"/>
      <c r="W273" s="26"/>
      <c r="X273" s="26"/>
      <c r="Y273" s="26"/>
    </row>
    <row r="274" spans="1:25" ht="15.75" customHeight="1">
      <c r="A274" s="26"/>
      <c r="B274" s="26"/>
      <c r="C274" s="26"/>
      <c r="D274" s="26"/>
      <c r="E274" s="26"/>
      <c r="F274" s="26"/>
      <c r="G274" s="26"/>
      <c r="H274" s="26"/>
      <c r="I274" s="26"/>
      <c r="J274" s="26"/>
      <c r="K274" s="26"/>
      <c r="L274" s="26"/>
      <c r="M274" s="27"/>
      <c r="N274" s="26"/>
      <c r="O274" s="26"/>
      <c r="P274" s="26"/>
      <c r="Q274" s="26"/>
      <c r="R274" s="26"/>
      <c r="S274" s="26"/>
      <c r="T274" s="26"/>
      <c r="U274" s="26"/>
      <c r="V274" s="26"/>
      <c r="W274" s="26"/>
      <c r="X274" s="26"/>
      <c r="Y274" s="26"/>
    </row>
    <row r="275" spans="1:25" ht="15.75" customHeight="1">
      <c r="A275" s="26"/>
      <c r="B275" s="26"/>
      <c r="C275" s="26"/>
      <c r="D275" s="26"/>
      <c r="E275" s="26"/>
      <c r="F275" s="26"/>
      <c r="G275" s="26"/>
      <c r="H275" s="26"/>
      <c r="I275" s="26"/>
      <c r="J275" s="26"/>
      <c r="K275" s="26"/>
      <c r="L275" s="26"/>
      <c r="M275" s="27"/>
      <c r="N275" s="26"/>
      <c r="O275" s="26"/>
      <c r="P275" s="26"/>
      <c r="Q275" s="26"/>
      <c r="R275" s="26"/>
      <c r="S275" s="26"/>
      <c r="T275" s="26"/>
      <c r="U275" s="26"/>
      <c r="V275" s="26"/>
      <c r="W275" s="26"/>
      <c r="X275" s="26"/>
      <c r="Y275" s="26"/>
    </row>
    <row r="276" spans="1:25" ht="15.75" customHeight="1">
      <c r="A276" s="26"/>
      <c r="B276" s="26"/>
      <c r="C276" s="26"/>
      <c r="D276" s="26"/>
      <c r="E276" s="26"/>
      <c r="F276" s="26"/>
      <c r="G276" s="26"/>
      <c r="H276" s="26"/>
      <c r="I276" s="26"/>
      <c r="J276" s="26"/>
      <c r="K276" s="26"/>
      <c r="L276" s="26"/>
      <c r="M276" s="27"/>
      <c r="N276" s="26"/>
      <c r="O276" s="26"/>
      <c r="P276" s="26"/>
      <c r="Q276" s="26"/>
      <c r="R276" s="26"/>
      <c r="S276" s="26"/>
      <c r="T276" s="26"/>
      <c r="U276" s="26"/>
      <c r="V276" s="26"/>
      <c r="W276" s="26"/>
      <c r="X276" s="26"/>
      <c r="Y276" s="26"/>
    </row>
    <row r="277" spans="1:25" ht="15.75" customHeight="1">
      <c r="A277" s="26"/>
      <c r="B277" s="26"/>
      <c r="C277" s="26"/>
      <c r="D277" s="26"/>
      <c r="E277" s="26"/>
      <c r="F277" s="26"/>
      <c r="G277" s="26"/>
      <c r="H277" s="26"/>
      <c r="I277" s="26"/>
      <c r="J277" s="26"/>
      <c r="K277" s="26"/>
      <c r="L277" s="26"/>
      <c r="M277" s="27"/>
      <c r="N277" s="26"/>
      <c r="O277" s="26"/>
      <c r="P277" s="26"/>
      <c r="Q277" s="26"/>
      <c r="R277" s="26"/>
      <c r="S277" s="26"/>
      <c r="T277" s="26"/>
      <c r="U277" s="26"/>
      <c r="V277" s="26"/>
      <c r="W277" s="26"/>
      <c r="X277" s="26"/>
      <c r="Y277" s="26"/>
    </row>
    <row r="278" spans="1:25" ht="15.75" customHeight="1">
      <c r="A278" s="26"/>
      <c r="B278" s="26"/>
      <c r="C278" s="26"/>
      <c r="D278" s="26"/>
      <c r="E278" s="26"/>
      <c r="F278" s="26"/>
      <c r="G278" s="26"/>
      <c r="H278" s="26"/>
      <c r="I278" s="26"/>
      <c r="J278" s="26"/>
      <c r="K278" s="26"/>
      <c r="L278" s="26"/>
      <c r="M278" s="27"/>
      <c r="N278" s="26"/>
      <c r="O278" s="26"/>
      <c r="P278" s="26"/>
      <c r="Q278" s="26"/>
      <c r="R278" s="26"/>
      <c r="S278" s="26"/>
      <c r="T278" s="26"/>
      <c r="U278" s="26"/>
      <c r="V278" s="26"/>
      <c r="W278" s="26"/>
      <c r="X278" s="26"/>
      <c r="Y278" s="26"/>
    </row>
    <row r="279" spans="1:25" ht="15.75" customHeight="1">
      <c r="A279" s="26"/>
      <c r="B279" s="26"/>
      <c r="C279" s="26"/>
      <c r="D279" s="26"/>
      <c r="E279" s="26"/>
      <c r="F279" s="26"/>
      <c r="G279" s="26"/>
      <c r="H279" s="26"/>
      <c r="I279" s="26"/>
      <c r="J279" s="26"/>
      <c r="K279" s="26"/>
      <c r="L279" s="26"/>
      <c r="M279" s="27"/>
      <c r="N279" s="26"/>
      <c r="O279" s="26"/>
      <c r="P279" s="26"/>
      <c r="Q279" s="26"/>
      <c r="R279" s="26"/>
      <c r="S279" s="26"/>
      <c r="T279" s="26"/>
      <c r="U279" s="26"/>
      <c r="V279" s="26"/>
      <c r="W279" s="26"/>
      <c r="X279" s="26"/>
      <c r="Y279" s="26"/>
    </row>
    <row r="280" spans="1:25" ht="15.75" customHeight="1">
      <c r="A280" s="26"/>
      <c r="B280" s="26"/>
      <c r="C280" s="26"/>
      <c r="D280" s="26"/>
      <c r="E280" s="26"/>
      <c r="F280" s="26"/>
      <c r="G280" s="26"/>
      <c r="H280" s="26"/>
      <c r="I280" s="26"/>
      <c r="J280" s="26"/>
      <c r="K280" s="26"/>
      <c r="L280" s="26"/>
      <c r="M280" s="27"/>
      <c r="N280" s="26"/>
      <c r="O280" s="26"/>
      <c r="P280" s="26"/>
      <c r="Q280" s="26"/>
      <c r="R280" s="26"/>
      <c r="S280" s="26"/>
      <c r="T280" s="26"/>
      <c r="U280" s="26"/>
      <c r="V280" s="26"/>
      <c r="W280" s="26"/>
      <c r="X280" s="26"/>
      <c r="Y280" s="26"/>
    </row>
    <row r="281" spans="1:25" ht="15.75" customHeight="1">
      <c r="A281" s="26"/>
      <c r="B281" s="26"/>
      <c r="C281" s="26"/>
      <c r="D281" s="26"/>
      <c r="E281" s="26"/>
      <c r="F281" s="26"/>
      <c r="G281" s="26"/>
      <c r="H281" s="26"/>
      <c r="I281" s="26"/>
      <c r="J281" s="26"/>
      <c r="K281" s="26"/>
      <c r="L281" s="26"/>
      <c r="M281" s="27"/>
      <c r="N281" s="26"/>
      <c r="O281" s="26"/>
      <c r="P281" s="26"/>
      <c r="Q281" s="26"/>
      <c r="R281" s="26"/>
      <c r="S281" s="26"/>
      <c r="T281" s="26"/>
      <c r="U281" s="26"/>
      <c r="V281" s="26"/>
      <c r="W281" s="26"/>
      <c r="X281" s="26"/>
      <c r="Y281" s="26"/>
    </row>
    <row r="282" spans="1:25" ht="15.75" customHeight="1">
      <c r="A282" s="26"/>
      <c r="B282" s="26"/>
      <c r="C282" s="26"/>
      <c r="D282" s="26"/>
      <c r="E282" s="26"/>
      <c r="F282" s="26"/>
      <c r="G282" s="26"/>
      <c r="H282" s="26"/>
      <c r="I282" s="26"/>
      <c r="J282" s="26"/>
      <c r="K282" s="26"/>
      <c r="L282" s="26"/>
      <c r="M282" s="27"/>
      <c r="N282" s="26"/>
      <c r="O282" s="26"/>
      <c r="P282" s="26"/>
      <c r="Q282" s="26"/>
      <c r="R282" s="26"/>
      <c r="S282" s="26"/>
      <c r="T282" s="26"/>
      <c r="U282" s="26"/>
      <c r="V282" s="26"/>
      <c r="W282" s="26"/>
      <c r="X282" s="26"/>
      <c r="Y282" s="26"/>
    </row>
    <row r="283" spans="1:25" ht="15.75" customHeight="1">
      <c r="A283" s="26"/>
      <c r="B283" s="26"/>
      <c r="C283" s="26"/>
      <c r="D283" s="26"/>
      <c r="E283" s="26"/>
      <c r="F283" s="26"/>
      <c r="G283" s="26"/>
      <c r="H283" s="26"/>
      <c r="I283" s="26"/>
      <c r="J283" s="26"/>
      <c r="K283" s="26"/>
      <c r="L283" s="26"/>
      <c r="M283" s="27"/>
      <c r="N283" s="26"/>
      <c r="O283" s="26"/>
      <c r="P283" s="26"/>
      <c r="Q283" s="26"/>
      <c r="R283" s="26"/>
      <c r="S283" s="26"/>
      <c r="T283" s="26"/>
      <c r="U283" s="26"/>
      <c r="V283" s="26"/>
      <c r="W283" s="26"/>
      <c r="X283" s="26"/>
      <c r="Y283" s="26"/>
    </row>
    <row r="284" spans="1:25" ht="15.75" customHeight="1">
      <c r="A284" s="26"/>
      <c r="B284" s="26"/>
      <c r="C284" s="26"/>
      <c r="D284" s="26"/>
      <c r="E284" s="26"/>
      <c r="F284" s="26"/>
      <c r="G284" s="26"/>
      <c r="H284" s="26"/>
      <c r="I284" s="26"/>
      <c r="J284" s="26"/>
      <c r="K284" s="26"/>
      <c r="L284" s="26"/>
      <c r="M284" s="27"/>
      <c r="N284" s="26"/>
      <c r="O284" s="26"/>
      <c r="P284" s="26"/>
      <c r="Q284" s="26"/>
      <c r="R284" s="26"/>
      <c r="S284" s="26"/>
      <c r="T284" s="26"/>
      <c r="U284" s="26"/>
      <c r="V284" s="26"/>
      <c r="W284" s="26"/>
      <c r="X284" s="26"/>
      <c r="Y284" s="26"/>
    </row>
    <row r="285" spans="1:25" ht="15.75" customHeight="1">
      <c r="A285" s="26"/>
      <c r="B285" s="26"/>
      <c r="C285" s="26"/>
      <c r="D285" s="26"/>
      <c r="E285" s="26"/>
      <c r="F285" s="26"/>
      <c r="G285" s="26"/>
      <c r="H285" s="26"/>
      <c r="I285" s="26"/>
      <c r="J285" s="26"/>
      <c r="K285" s="26"/>
      <c r="L285" s="26"/>
      <c r="M285" s="27"/>
      <c r="N285" s="26"/>
      <c r="O285" s="26"/>
      <c r="P285" s="26"/>
      <c r="Q285" s="26"/>
      <c r="R285" s="26"/>
      <c r="S285" s="26"/>
      <c r="T285" s="26"/>
      <c r="U285" s="26"/>
      <c r="V285" s="26"/>
      <c r="W285" s="26"/>
      <c r="X285" s="26"/>
      <c r="Y285" s="26"/>
    </row>
    <row r="286" spans="1:25" ht="15.75" customHeight="1">
      <c r="A286" s="26"/>
      <c r="B286" s="26"/>
      <c r="C286" s="26"/>
      <c r="D286" s="26"/>
      <c r="E286" s="26"/>
      <c r="F286" s="26"/>
      <c r="G286" s="26"/>
      <c r="H286" s="26"/>
      <c r="I286" s="26"/>
      <c r="J286" s="26"/>
      <c r="K286" s="26"/>
      <c r="L286" s="26"/>
      <c r="M286" s="27"/>
      <c r="N286" s="26"/>
      <c r="O286" s="26"/>
      <c r="P286" s="26"/>
      <c r="Q286" s="26"/>
      <c r="R286" s="26"/>
      <c r="S286" s="26"/>
      <c r="T286" s="26"/>
      <c r="U286" s="26"/>
      <c r="V286" s="26"/>
      <c r="W286" s="26"/>
      <c r="X286" s="26"/>
      <c r="Y286" s="26"/>
    </row>
    <row r="287" spans="1:25" ht="15.75" customHeight="1">
      <c r="A287" s="26"/>
      <c r="B287" s="26"/>
      <c r="C287" s="26"/>
      <c r="D287" s="26"/>
      <c r="E287" s="26"/>
      <c r="F287" s="26"/>
      <c r="G287" s="26"/>
      <c r="H287" s="26"/>
      <c r="I287" s="26"/>
      <c r="J287" s="26"/>
      <c r="K287" s="26"/>
      <c r="L287" s="26"/>
      <c r="M287" s="27"/>
      <c r="N287" s="26"/>
      <c r="O287" s="26"/>
      <c r="P287" s="26"/>
      <c r="Q287" s="26"/>
      <c r="R287" s="26"/>
      <c r="S287" s="26"/>
      <c r="T287" s="26"/>
      <c r="U287" s="26"/>
      <c r="V287" s="26"/>
      <c r="W287" s="26"/>
      <c r="X287" s="26"/>
      <c r="Y287" s="26"/>
    </row>
    <row r="288" spans="1:25" ht="15.75" customHeight="1">
      <c r="A288" s="26"/>
      <c r="B288" s="26"/>
      <c r="C288" s="26"/>
      <c r="D288" s="26"/>
      <c r="E288" s="26"/>
      <c r="F288" s="26"/>
      <c r="G288" s="26"/>
      <c r="H288" s="26"/>
      <c r="I288" s="26"/>
      <c r="J288" s="26"/>
      <c r="K288" s="26"/>
      <c r="L288" s="26"/>
      <c r="M288" s="27"/>
      <c r="N288" s="26"/>
      <c r="O288" s="26"/>
      <c r="P288" s="26"/>
      <c r="Q288" s="26"/>
      <c r="R288" s="26"/>
      <c r="S288" s="26"/>
      <c r="T288" s="26"/>
      <c r="U288" s="26"/>
      <c r="V288" s="26"/>
      <c r="W288" s="26"/>
      <c r="X288" s="26"/>
      <c r="Y288" s="26"/>
    </row>
    <row r="289" spans="1:25" ht="15.75" customHeight="1">
      <c r="A289" s="26"/>
      <c r="B289" s="26"/>
      <c r="C289" s="26"/>
      <c r="D289" s="26"/>
      <c r="E289" s="26"/>
      <c r="F289" s="26"/>
      <c r="G289" s="26"/>
      <c r="H289" s="26"/>
      <c r="I289" s="26"/>
      <c r="J289" s="26"/>
      <c r="K289" s="26"/>
      <c r="L289" s="26"/>
      <c r="M289" s="27"/>
      <c r="N289" s="26"/>
      <c r="O289" s="26"/>
      <c r="P289" s="26"/>
      <c r="Q289" s="26"/>
      <c r="R289" s="26"/>
      <c r="S289" s="26"/>
      <c r="T289" s="26"/>
      <c r="U289" s="26"/>
      <c r="V289" s="26"/>
      <c r="W289" s="26"/>
      <c r="X289" s="26"/>
      <c r="Y289" s="26"/>
    </row>
    <row r="290" spans="1:25" ht="15.75" customHeight="1">
      <c r="A290" s="26"/>
      <c r="B290" s="26"/>
      <c r="C290" s="26"/>
      <c r="D290" s="26"/>
      <c r="E290" s="26"/>
      <c r="F290" s="26"/>
      <c r="G290" s="26"/>
      <c r="H290" s="26"/>
      <c r="I290" s="26"/>
      <c r="J290" s="26"/>
      <c r="K290" s="26"/>
      <c r="L290" s="26"/>
      <c r="M290" s="27"/>
      <c r="N290" s="26"/>
      <c r="O290" s="26"/>
      <c r="P290" s="26"/>
      <c r="Q290" s="26"/>
      <c r="R290" s="26"/>
      <c r="S290" s="26"/>
      <c r="T290" s="26"/>
      <c r="U290" s="26"/>
      <c r="V290" s="26"/>
      <c r="W290" s="26"/>
      <c r="X290" s="26"/>
      <c r="Y290" s="26"/>
    </row>
    <row r="291" spans="1:25" ht="15.75" customHeight="1">
      <c r="A291" s="26"/>
      <c r="B291" s="26"/>
      <c r="C291" s="26"/>
      <c r="D291" s="26"/>
      <c r="E291" s="26"/>
      <c r="F291" s="26"/>
      <c r="G291" s="26"/>
      <c r="H291" s="26"/>
      <c r="I291" s="26"/>
      <c r="J291" s="26"/>
      <c r="K291" s="26"/>
      <c r="L291" s="26"/>
      <c r="M291" s="27"/>
      <c r="N291" s="26"/>
      <c r="O291" s="26"/>
      <c r="P291" s="26"/>
      <c r="Q291" s="26"/>
      <c r="R291" s="26"/>
      <c r="S291" s="26"/>
      <c r="T291" s="26"/>
      <c r="U291" s="26"/>
      <c r="V291" s="26"/>
      <c r="W291" s="26"/>
      <c r="X291" s="26"/>
      <c r="Y291" s="26"/>
    </row>
    <row r="292" spans="1:25" ht="15.75" customHeight="1">
      <c r="A292" s="26"/>
      <c r="B292" s="26"/>
      <c r="C292" s="26"/>
      <c r="D292" s="26"/>
      <c r="E292" s="26"/>
      <c r="F292" s="26"/>
      <c r="G292" s="26"/>
      <c r="H292" s="26"/>
      <c r="I292" s="26"/>
      <c r="J292" s="26"/>
      <c r="K292" s="26"/>
      <c r="L292" s="26"/>
      <c r="M292" s="27"/>
      <c r="N292" s="26"/>
      <c r="O292" s="26"/>
      <c r="P292" s="26"/>
      <c r="Q292" s="26"/>
      <c r="R292" s="26"/>
      <c r="S292" s="26"/>
      <c r="T292" s="26"/>
      <c r="U292" s="26"/>
      <c r="V292" s="26"/>
      <c r="W292" s="26"/>
      <c r="X292" s="26"/>
      <c r="Y292" s="26"/>
    </row>
    <row r="293" spans="1:25" ht="15.75" customHeight="1">
      <c r="A293" s="26"/>
      <c r="B293" s="26"/>
      <c r="C293" s="26"/>
      <c r="D293" s="26"/>
      <c r="E293" s="26"/>
      <c r="F293" s="26"/>
      <c r="G293" s="26"/>
      <c r="H293" s="26"/>
      <c r="I293" s="26"/>
      <c r="J293" s="26"/>
      <c r="K293" s="26"/>
      <c r="L293" s="26"/>
      <c r="M293" s="27"/>
      <c r="N293" s="26"/>
      <c r="O293" s="26"/>
      <c r="P293" s="26"/>
      <c r="Q293" s="26"/>
      <c r="R293" s="26"/>
      <c r="S293" s="26"/>
      <c r="T293" s="26"/>
      <c r="U293" s="26"/>
      <c r="V293" s="26"/>
      <c r="W293" s="26"/>
      <c r="X293" s="26"/>
      <c r="Y293" s="26"/>
    </row>
    <row r="294" spans="1:25" ht="15.75" customHeight="1">
      <c r="A294" s="26"/>
      <c r="B294" s="26"/>
      <c r="C294" s="26"/>
      <c r="D294" s="26"/>
      <c r="E294" s="26"/>
      <c r="F294" s="26"/>
      <c r="G294" s="26"/>
      <c r="H294" s="26"/>
      <c r="I294" s="26"/>
      <c r="J294" s="26"/>
      <c r="K294" s="26"/>
      <c r="L294" s="26"/>
      <c r="M294" s="27"/>
      <c r="N294" s="26"/>
      <c r="O294" s="26"/>
      <c r="P294" s="26"/>
      <c r="Q294" s="26"/>
      <c r="R294" s="26"/>
      <c r="S294" s="26"/>
      <c r="T294" s="26"/>
      <c r="U294" s="26"/>
      <c r="V294" s="26"/>
      <c r="W294" s="26"/>
      <c r="X294" s="26"/>
      <c r="Y294" s="26"/>
    </row>
    <row r="295" spans="1:25" ht="15.75" customHeight="1">
      <c r="A295" s="26"/>
      <c r="B295" s="26"/>
      <c r="C295" s="26"/>
      <c r="D295" s="26"/>
      <c r="E295" s="26"/>
      <c r="F295" s="26"/>
      <c r="G295" s="26"/>
      <c r="H295" s="26"/>
      <c r="I295" s="26"/>
      <c r="J295" s="26"/>
      <c r="K295" s="26"/>
      <c r="L295" s="26"/>
      <c r="M295" s="27"/>
      <c r="N295" s="26"/>
      <c r="O295" s="26"/>
      <c r="P295" s="26"/>
      <c r="Q295" s="26"/>
      <c r="R295" s="26"/>
      <c r="S295" s="26"/>
      <c r="T295" s="26"/>
      <c r="U295" s="26"/>
      <c r="V295" s="26"/>
      <c r="W295" s="26"/>
      <c r="X295" s="26"/>
      <c r="Y295" s="26"/>
    </row>
    <row r="296" spans="1:25" ht="15.75" customHeight="1">
      <c r="A296" s="26"/>
      <c r="B296" s="26"/>
      <c r="C296" s="26"/>
      <c r="D296" s="26"/>
      <c r="E296" s="26"/>
      <c r="F296" s="26"/>
      <c r="G296" s="26"/>
      <c r="H296" s="26"/>
      <c r="I296" s="26"/>
      <c r="J296" s="26"/>
      <c r="K296" s="26"/>
      <c r="L296" s="26"/>
      <c r="M296" s="27"/>
      <c r="N296" s="26"/>
      <c r="O296" s="26"/>
      <c r="P296" s="26"/>
      <c r="Q296" s="26"/>
      <c r="R296" s="26"/>
      <c r="S296" s="26"/>
      <c r="T296" s="26"/>
      <c r="U296" s="26"/>
      <c r="V296" s="26"/>
      <c r="W296" s="26"/>
      <c r="X296" s="26"/>
      <c r="Y296" s="26"/>
    </row>
    <row r="297" spans="1:25" ht="15.75" customHeight="1">
      <c r="A297" s="26"/>
      <c r="B297" s="26"/>
      <c r="C297" s="26"/>
      <c r="D297" s="26"/>
      <c r="E297" s="26"/>
      <c r="F297" s="26"/>
      <c r="G297" s="26"/>
      <c r="H297" s="26"/>
      <c r="I297" s="26"/>
      <c r="J297" s="26"/>
      <c r="K297" s="26"/>
      <c r="L297" s="26"/>
      <c r="M297" s="27"/>
      <c r="N297" s="26"/>
      <c r="O297" s="26"/>
      <c r="P297" s="26"/>
      <c r="Q297" s="26"/>
      <c r="R297" s="26"/>
      <c r="S297" s="26"/>
      <c r="T297" s="26"/>
      <c r="U297" s="26"/>
      <c r="V297" s="26"/>
      <c r="W297" s="26"/>
      <c r="X297" s="26"/>
      <c r="Y297" s="26"/>
    </row>
    <row r="298" spans="1:25" ht="15.75" customHeight="1">
      <c r="A298" s="26"/>
      <c r="B298" s="26"/>
      <c r="C298" s="26"/>
      <c r="D298" s="26"/>
      <c r="E298" s="26"/>
      <c r="F298" s="26"/>
      <c r="G298" s="26"/>
      <c r="H298" s="26"/>
      <c r="I298" s="26"/>
      <c r="J298" s="26"/>
      <c r="K298" s="26"/>
      <c r="L298" s="26"/>
      <c r="M298" s="27"/>
      <c r="N298" s="26"/>
      <c r="O298" s="26"/>
      <c r="P298" s="26"/>
      <c r="Q298" s="26"/>
      <c r="R298" s="26"/>
      <c r="S298" s="26"/>
      <c r="T298" s="26"/>
      <c r="U298" s="26"/>
      <c r="V298" s="26"/>
      <c r="W298" s="26"/>
      <c r="X298" s="26"/>
      <c r="Y298" s="26"/>
    </row>
    <row r="299" spans="1:25" ht="15.75" customHeight="1">
      <c r="A299" s="26"/>
      <c r="B299" s="26"/>
      <c r="C299" s="26"/>
      <c r="D299" s="26"/>
      <c r="E299" s="26"/>
      <c r="F299" s="26"/>
      <c r="G299" s="26"/>
      <c r="H299" s="26"/>
      <c r="I299" s="26"/>
      <c r="J299" s="26"/>
      <c r="K299" s="26"/>
      <c r="L299" s="26"/>
      <c r="M299" s="27"/>
      <c r="N299" s="26"/>
      <c r="O299" s="26"/>
      <c r="P299" s="26"/>
      <c r="Q299" s="26"/>
      <c r="R299" s="26"/>
      <c r="S299" s="26"/>
      <c r="T299" s="26"/>
      <c r="U299" s="26"/>
      <c r="V299" s="26"/>
      <c r="W299" s="26"/>
      <c r="X299" s="26"/>
      <c r="Y299" s="26"/>
    </row>
    <row r="300" spans="1:25" ht="15.75" customHeight="1">
      <c r="A300" s="26"/>
      <c r="B300" s="26"/>
      <c r="C300" s="26"/>
      <c r="D300" s="26"/>
      <c r="E300" s="26"/>
      <c r="F300" s="26"/>
      <c r="G300" s="26"/>
      <c r="H300" s="26"/>
      <c r="I300" s="26"/>
      <c r="J300" s="26"/>
      <c r="K300" s="26"/>
      <c r="L300" s="26"/>
      <c r="M300" s="27"/>
      <c r="N300" s="26"/>
      <c r="O300" s="26"/>
      <c r="P300" s="26"/>
      <c r="Q300" s="26"/>
      <c r="R300" s="26"/>
      <c r="S300" s="26"/>
      <c r="T300" s="26"/>
      <c r="U300" s="26"/>
      <c r="V300" s="26"/>
      <c r="W300" s="26"/>
      <c r="X300" s="26"/>
      <c r="Y300" s="26"/>
    </row>
    <row r="301" spans="1:25" ht="15.75" customHeight="1">
      <c r="A301" s="26"/>
      <c r="B301" s="26"/>
      <c r="C301" s="26"/>
      <c r="D301" s="26"/>
      <c r="E301" s="26"/>
      <c r="F301" s="26"/>
      <c r="G301" s="26"/>
      <c r="H301" s="26"/>
      <c r="I301" s="26"/>
      <c r="J301" s="26"/>
      <c r="K301" s="26"/>
      <c r="L301" s="26"/>
      <c r="M301" s="27"/>
      <c r="N301" s="26"/>
      <c r="O301" s="26"/>
      <c r="P301" s="26"/>
      <c r="Q301" s="26"/>
      <c r="R301" s="26"/>
      <c r="S301" s="26"/>
      <c r="T301" s="26"/>
      <c r="U301" s="26"/>
      <c r="V301" s="26"/>
      <c r="W301" s="26"/>
      <c r="X301" s="26"/>
      <c r="Y301" s="26"/>
    </row>
    <row r="302" spans="1:25" ht="15.75" customHeight="1">
      <c r="A302" s="26"/>
      <c r="B302" s="26"/>
      <c r="C302" s="26"/>
      <c r="D302" s="26"/>
      <c r="E302" s="26"/>
      <c r="F302" s="26"/>
      <c r="G302" s="26"/>
      <c r="H302" s="26"/>
      <c r="I302" s="26"/>
      <c r="J302" s="26"/>
      <c r="K302" s="26"/>
      <c r="L302" s="26"/>
      <c r="M302" s="27"/>
      <c r="N302" s="26"/>
      <c r="O302" s="26"/>
      <c r="P302" s="26"/>
      <c r="Q302" s="26"/>
      <c r="R302" s="26"/>
      <c r="S302" s="26"/>
      <c r="T302" s="26"/>
      <c r="U302" s="26"/>
      <c r="V302" s="26"/>
      <c r="W302" s="26"/>
      <c r="X302" s="26"/>
      <c r="Y302" s="26"/>
    </row>
    <row r="303" spans="1:25" ht="15.75" customHeight="1">
      <c r="A303" s="26"/>
      <c r="B303" s="26"/>
      <c r="C303" s="26"/>
      <c r="D303" s="26"/>
      <c r="E303" s="26"/>
      <c r="F303" s="26"/>
      <c r="G303" s="26"/>
      <c r="H303" s="26"/>
      <c r="I303" s="26"/>
      <c r="J303" s="26"/>
      <c r="K303" s="26"/>
      <c r="L303" s="26"/>
      <c r="M303" s="27"/>
      <c r="N303" s="26"/>
      <c r="O303" s="26"/>
      <c r="P303" s="26"/>
      <c r="Q303" s="26"/>
      <c r="R303" s="26"/>
      <c r="S303" s="26"/>
      <c r="T303" s="26"/>
      <c r="U303" s="26"/>
      <c r="V303" s="26"/>
      <c r="W303" s="26"/>
      <c r="X303" s="26"/>
      <c r="Y303" s="26"/>
    </row>
    <row r="304" spans="1:25" ht="15.75" customHeight="1">
      <c r="A304" s="26"/>
      <c r="B304" s="26"/>
      <c r="C304" s="26"/>
      <c r="D304" s="26"/>
      <c r="E304" s="26"/>
      <c r="F304" s="26"/>
      <c r="G304" s="26"/>
      <c r="H304" s="26"/>
      <c r="I304" s="26"/>
      <c r="J304" s="26"/>
      <c r="K304" s="26"/>
      <c r="L304" s="26"/>
      <c r="M304" s="27"/>
      <c r="N304" s="26"/>
      <c r="O304" s="26"/>
      <c r="P304" s="26"/>
      <c r="Q304" s="26"/>
      <c r="R304" s="26"/>
      <c r="S304" s="26"/>
      <c r="T304" s="26"/>
      <c r="U304" s="26"/>
      <c r="V304" s="26"/>
      <c r="W304" s="26"/>
      <c r="X304" s="26"/>
      <c r="Y304" s="26"/>
    </row>
    <row r="305" spans="1:25" ht="15.75" customHeight="1">
      <c r="A305" s="26"/>
      <c r="B305" s="26"/>
      <c r="C305" s="26"/>
      <c r="D305" s="26"/>
      <c r="E305" s="26"/>
      <c r="F305" s="26"/>
      <c r="G305" s="26"/>
      <c r="H305" s="26"/>
      <c r="I305" s="26"/>
      <c r="J305" s="26"/>
      <c r="K305" s="26"/>
      <c r="L305" s="26"/>
      <c r="M305" s="27"/>
      <c r="N305" s="26"/>
      <c r="O305" s="26"/>
      <c r="P305" s="26"/>
      <c r="Q305" s="26"/>
      <c r="R305" s="26"/>
      <c r="S305" s="26"/>
      <c r="T305" s="26"/>
      <c r="U305" s="26"/>
      <c r="V305" s="26"/>
      <c r="W305" s="26"/>
      <c r="X305" s="26"/>
      <c r="Y305" s="26"/>
    </row>
    <row r="306" spans="1:25" ht="15.75" customHeight="1">
      <c r="A306" s="26"/>
      <c r="B306" s="26"/>
      <c r="C306" s="26"/>
      <c r="D306" s="26"/>
      <c r="E306" s="26"/>
      <c r="F306" s="26"/>
      <c r="G306" s="26"/>
      <c r="H306" s="26"/>
      <c r="I306" s="26"/>
      <c r="J306" s="26"/>
      <c r="K306" s="26"/>
      <c r="L306" s="26"/>
      <c r="M306" s="27"/>
      <c r="N306" s="26"/>
      <c r="O306" s="26"/>
      <c r="P306" s="26"/>
      <c r="Q306" s="26"/>
      <c r="R306" s="26"/>
      <c r="S306" s="26"/>
      <c r="T306" s="26"/>
      <c r="U306" s="26"/>
      <c r="V306" s="26"/>
      <c r="W306" s="26"/>
      <c r="X306" s="26"/>
      <c r="Y306" s="26"/>
    </row>
    <row r="307" spans="1:25" ht="15.75" customHeight="1">
      <c r="A307" s="26"/>
      <c r="B307" s="26"/>
      <c r="C307" s="26"/>
      <c r="D307" s="26"/>
      <c r="E307" s="26"/>
      <c r="F307" s="26"/>
      <c r="G307" s="26"/>
      <c r="H307" s="26"/>
      <c r="I307" s="26"/>
      <c r="J307" s="26"/>
      <c r="K307" s="26"/>
      <c r="L307" s="26"/>
      <c r="M307" s="27"/>
      <c r="N307" s="26"/>
      <c r="O307" s="26"/>
      <c r="P307" s="26"/>
      <c r="Q307" s="26"/>
      <c r="R307" s="26"/>
      <c r="S307" s="26"/>
      <c r="T307" s="26"/>
      <c r="U307" s="26"/>
      <c r="V307" s="26"/>
      <c r="W307" s="26"/>
      <c r="X307" s="26"/>
      <c r="Y307" s="26"/>
    </row>
    <row r="308" spans="1:25" ht="15.75" customHeight="1">
      <c r="A308" s="26"/>
      <c r="B308" s="26"/>
      <c r="C308" s="26"/>
      <c r="D308" s="26"/>
      <c r="E308" s="26"/>
      <c r="F308" s="26"/>
      <c r="G308" s="26"/>
      <c r="H308" s="26"/>
      <c r="I308" s="26"/>
      <c r="J308" s="26"/>
      <c r="K308" s="26"/>
      <c r="L308" s="26"/>
      <c r="M308" s="27"/>
      <c r="N308" s="26"/>
      <c r="O308" s="26"/>
      <c r="P308" s="26"/>
      <c r="Q308" s="26"/>
      <c r="R308" s="26"/>
      <c r="S308" s="26"/>
      <c r="T308" s="26"/>
      <c r="U308" s="26"/>
      <c r="V308" s="26"/>
      <c r="W308" s="26"/>
      <c r="X308" s="26"/>
      <c r="Y308" s="26"/>
    </row>
    <row r="309" spans="1:25" ht="15.75" customHeight="1">
      <c r="A309" s="26"/>
      <c r="B309" s="26"/>
      <c r="C309" s="26"/>
      <c r="D309" s="26"/>
      <c r="E309" s="26"/>
      <c r="F309" s="26"/>
      <c r="G309" s="26"/>
      <c r="H309" s="26"/>
      <c r="I309" s="26"/>
      <c r="J309" s="26"/>
      <c r="K309" s="26"/>
      <c r="L309" s="26"/>
      <c r="M309" s="27"/>
      <c r="N309" s="26"/>
      <c r="O309" s="26"/>
      <c r="P309" s="26"/>
      <c r="Q309" s="26"/>
      <c r="R309" s="26"/>
      <c r="S309" s="26"/>
      <c r="T309" s="26"/>
      <c r="U309" s="26"/>
      <c r="V309" s="26"/>
      <c r="W309" s="26"/>
      <c r="X309" s="26"/>
      <c r="Y309" s="26"/>
    </row>
    <row r="310" spans="1:25" ht="15.75" customHeight="1">
      <c r="A310" s="26"/>
      <c r="B310" s="26"/>
      <c r="C310" s="26"/>
      <c r="D310" s="26"/>
      <c r="E310" s="26"/>
      <c r="F310" s="26"/>
      <c r="G310" s="26"/>
      <c r="H310" s="26"/>
      <c r="I310" s="26"/>
      <c r="J310" s="26"/>
      <c r="K310" s="26"/>
      <c r="L310" s="26"/>
      <c r="M310" s="27"/>
      <c r="N310" s="26"/>
      <c r="O310" s="26"/>
      <c r="P310" s="26"/>
      <c r="Q310" s="26"/>
      <c r="R310" s="26"/>
      <c r="S310" s="26"/>
      <c r="T310" s="26"/>
      <c r="U310" s="26"/>
      <c r="V310" s="26"/>
      <c r="W310" s="26"/>
      <c r="X310" s="26"/>
      <c r="Y310" s="26"/>
    </row>
    <row r="311" spans="1:25" ht="15.75" customHeight="1">
      <c r="A311" s="26"/>
      <c r="B311" s="26"/>
      <c r="C311" s="26"/>
      <c r="D311" s="26"/>
      <c r="E311" s="26"/>
      <c r="F311" s="26"/>
      <c r="G311" s="26"/>
      <c r="H311" s="26"/>
      <c r="I311" s="26"/>
      <c r="J311" s="26"/>
      <c r="K311" s="26"/>
      <c r="L311" s="26"/>
      <c r="M311" s="27"/>
      <c r="N311" s="26"/>
      <c r="O311" s="26"/>
      <c r="P311" s="26"/>
      <c r="Q311" s="26"/>
      <c r="R311" s="26"/>
      <c r="S311" s="26"/>
      <c r="T311" s="26"/>
      <c r="U311" s="26"/>
      <c r="V311" s="26"/>
      <c r="W311" s="26"/>
      <c r="X311" s="26"/>
      <c r="Y311" s="26"/>
    </row>
    <row r="312" spans="1:25" ht="15.75" customHeight="1">
      <c r="A312" s="26"/>
      <c r="B312" s="26"/>
      <c r="C312" s="26"/>
      <c r="D312" s="26"/>
      <c r="E312" s="26"/>
      <c r="F312" s="26"/>
      <c r="G312" s="26"/>
      <c r="H312" s="26"/>
      <c r="I312" s="26"/>
      <c r="J312" s="26"/>
      <c r="K312" s="26"/>
      <c r="L312" s="26"/>
      <c r="M312" s="27"/>
      <c r="N312" s="26"/>
      <c r="O312" s="26"/>
      <c r="P312" s="26"/>
      <c r="Q312" s="26"/>
      <c r="R312" s="26"/>
      <c r="S312" s="26"/>
      <c r="T312" s="26"/>
      <c r="U312" s="26"/>
      <c r="V312" s="26"/>
      <c r="W312" s="26"/>
      <c r="X312" s="26"/>
      <c r="Y312" s="26"/>
    </row>
    <row r="313" spans="1:25" ht="15.75" customHeight="1">
      <c r="A313" s="26"/>
      <c r="B313" s="26"/>
      <c r="C313" s="26"/>
      <c r="D313" s="26"/>
      <c r="E313" s="26"/>
      <c r="F313" s="26"/>
      <c r="G313" s="26"/>
      <c r="H313" s="26"/>
      <c r="I313" s="26"/>
      <c r="J313" s="26"/>
      <c r="K313" s="26"/>
      <c r="L313" s="26"/>
      <c r="M313" s="27"/>
      <c r="N313" s="26"/>
      <c r="O313" s="26"/>
      <c r="P313" s="26"/>
      <c r="Q313" s="26"/>
      <c r="R313" s="26"/>
      <c r="S313" s="26"/>
      <c r="T313" s="26"/>
      <c r="U313" s="26"/>
      <c r="V313" s="26"/>
      <c r="W313" s="26"/>
      <c r="X313" s="26"/>
      <c r="Y313" s="26"/>
    </row>
    <row r="314" spans="1:25" ht="15.75" customHeight="1">
      <c r="A314" s="26"/>
      <c r="B314" s="26"/>
      <c r="C314" s="26"/>
      <c r="D314" s="26"/>
      <c r="E314" s="26"/>
      <c r="F314" s="26"/>
      <c r="G314" s="26"/>
      <c r="H314" s="26"/>
      <c r="I314" s="26"/>
      <c r="J314" s="26"/>
      <c r="K314" s="26"/>
      <c r="L314" s="26"/>
      <c r="M314" s="27"/>
      <c r="N314" s="26"/>
      <c r="O314" s="26"/>
      <c r="P314" s="26"/>
      <c r="Q314" s="26"/>
      <c r="R314" s="26"/>
      <c r="S314" s="26"/>
      <c r="T314" s="26"/>
      <c r="U314" s="26"/>
      <c r="V314" s="26"/>
      <c r="W314" s="26"/>
      <c r="X314" s="26"/>
      <c r="Y314" s="26"/>
    </row>
    <row r="315" spans="1:25" ht="15.75" customHeight="1">
      <c r="A315" s="26"/>
      <c r="B315" s="26"/>
      <c r="C315" s="26"/>
      <c r="D315" s="26"/>
      <c r="E315" s="26"/>
      <c r="F315" s="26"/>
      <c r="G315" s="26"/>
      <c r="H315" s="26"/>
      <c r="I315" s="26"/>
      <c r="J315" s="26"/>
      <c r="K315" s="26"/>
      <c r="L315" s="26"/>
      <c r="M315" s="27"/>
      <c r="N315" s="26"/>
      <c r="O315" s="26"/>
      <c r="P315" s="26"/>
      <c r="Q315" s="26"/>
      <c r="R315" s="26"/>
      <c r="S315" s="26"/>
      <c r="T315" s="26"/>
      <c r="U315" s="26"/>
      <c r="V315" s="26"/>
      <c r="W315" s="26"/>
      <c r="X315" s="26"/>
      <c r="Y315" s="26"/>
    </row>
    <row r="316" spans="1:25" ht="15.75" customHeight="1">
      <c r="A316" s="26"/>
      <c r="B316" s="26"/>
      <c r="C316" s="26"/>
      <c r="D316" s="26"/>
      <c r="E316" s="26"/>
      <c r="F316" s="26"/>
      <c r="G316" s="26"/>
      <c r="H316" s="26"/>
      <c r="I316" s="26"/>
      <c r="J316" s="26"/>
      <c r="K316" s="26"/>
      <c r="L316" s="26"/>
      <c r="M316" s="27"/>
      <c r="N316" s="26"/>
      <c r="O316" s="26"/>
      <c r="P316" s="26"/>
      <c r="Q316" s="26"/>
      <c r="R316" s="26"/>
      <c r="S316" s="26"/>
      <c r="T316" s="26"/>
      <c r="U316" s="26"/>
      <c r="V316" s="26"/>
      <c r="W316" s="26"/>
      <c r="X316" s="26"/>
      <c r="Y316" s="26"/>
    </row>
    <row r="317" spans="1:25" ht="15.75" customHeight="1">
      <c r="A317" s="26"/>
      <c r="B317" s="26"/>
      <c r="C317" s="26"/>
      <c r="D317" s="26"/>
      <c r="E317" s="26"/>
      <c r="F317" s="26"/>
      <c r="G317" s="26"/>
      <c r="H317" s="26"/>
      <c r="I317" s="26"/>
      <c r="J317" s="26"/>
      <c r="K317" s="26"/>
      <c r="L317" s="26"/>
      <c r="M317" s="27"/>
      <c r="N317" s="26"/>
      <c r="O317" s="26"/>
      <c r="P317" s="26"/>
      <c r="Q317" s="26"/>
      <c r="R317" s="26"/>
      <c r="S317" s="26"/>
      <c r="T317" s="26"/>
      <c r="U317" s="26"/>
      <c r="V317" s="26"/>
      <c r="W317" s="26"/>
      <c r="X317" s="26"/>
      <c r="Y317" s="26"/>
    </row>
    <row r="318" spans="1:25" ht="15.75" customHeight="1">
      <c r="A318" s="26"/>
      <c r="B318" s="26"/>
      <c r="C318" s="26"/>
      <c r="D318" s="26"/>
      <c r="E318" s="26"/>
      <c r="F318" s="26"/>
      <c r="G318" s="26"/>
      <c r="H318" s="26"/>
      <c r="I318" s="26"/>
      <c r="J318" s="26"/>
      <c r="K318" s="26"/>
      <c r="L318" s="26"/>
      <c r="M318" s="27"/>
      <c r="N318" s="26"/>
      <c r="O318" s="26"/>
      <c r="P318" s="26"/>
      <c r="Q318" s="26"/>
      <c r="R318" s="26"/>
      <c r="S318" s="26"/>
      <c r="T318" s="26"/>
      <c r="U318" s="26"/>
      <c r="V318" s="26"/>
      <c r="W318" s="26"/>
      <c r="X318" s="26"/>
      <c r="Y318" s="26"/>
    </row>
    <row r="319" spans="1:25" ht="15.75" customHeight="1">
      <c r="A319" s="26"/>
      <c r="B319" s="26"/>
      <c r="C319" s="26"/>
      <c r="D319" s="26"/>
      <c r="E319" s="26"/>
      <c r="F319" s="26"/>
      <c r="G319" s="26"/>
      <c r="H319" s="26"/>
      <c r="I319" s="26"/>
      <c r="J319" s="26"/>
      <c r="K319" s="26"/>
      <c r="L319" s="26"/>
      <c r="M319" s="27"/>
      <c r="N319" s="26"/>
      <c r="O319" s="26"/>
      <c r="P319" s="26"/>
      <c r="Q319" s="26"/>
      <c r="R319" s="26"/>
      <c r="S319" s="26"/>
      <c r="T319" s="26"/>
      <c r="U319" s="26"/>
      <c r="V319" s="26"/>
      <c r="W319" s="26"/>
      <c r="X319" s="26"/>
      <c r="Y319" s="26"/>
    </row>
    <row r="320" spans="1:25" ht="15.75" customHeight="1">
      <c r="A320" s="26"/>
      <c r="B320" s="26"/>
      <c r="C320" s="26"/>
      <c r="D320" s="26"/>
      <c r="E320" s="26"/>
      <c r="F320" s="26"/>
      <c r="G320" s="26"/>
      <c r="H320" s="26"/>
      <c r="I320" s="26"/>
      <c r="J320" s="26"/>
      <c r="K320" s="26"/>
      <c r="L320" s="26"/>
      <c r="M320" s="27"/>
      <c r="N320" s="26"/>
      <c r="O320" s="26"/>
      <c r="P320" s="26"/>
      <c r="Q320" s="26"/>
      <c r="R320" s="26"/>
      <c r="S320" s="26"/>
      <c r="T320" s="26"/>
      <c r="U320" s="26"/>
      <c r="V320" s="26"/>
      <c r="W320" s="26"/>
      <c r="X320" s="26"/>
      <c r="Y320" s="26"/>
    </row>
    <row r="321" spans="1:25" ht="15.75" customHeight="1">
      <c r="A321" s="26"/>
      <c r="B321" s="26"/>
      <c r="C321" s="26"/>
      <c r="D321" s="26"/>
      <c r="E321" s="26"/>
      <c r="F321" s="26"/>
      <c r="G321" s="26"/>
      <c r="H321" s="26"/>
      <c r="I321" s="26"/>
      <c r="J321" s="26"/>
      <c r="K321" s="26"/>
      <c r="L321" s="26"/>
      <c r="M321" s="27"/>
      <c r="N321" s="26"/>
      <c r="O321" s="26"/>
      <c r="P321" s="26"/>
      <c r="Q321" s="26"/>
      <c r="R321" s="26"/>
      <c r="S321" s="26"/>
      <c r="T321" s="26"/>
      <c r="U321" s="26"/>
      <c r="V321" s="26"/>
      <c r="W321" s="26"/>
      <c r="X321" s="26"/>
      <c r="Y321" s="26"/>
    </row>
    <row r="322" spans="1:25" ht="15.75" customHeight="1">
      <c r="A322" s="26"/>
      <c r="B322" s="26"/>
      <c r="C322" s="26"/>
      <c r="D322" s="26"/>
      <c r="E322" s="26"/>
      <c r="F322" s="26"/>
      <c r="G322" s="26"/>
      <c r="H322" s="26"/>
      <c r="I322" s="26"/>
      <c r="J322" s="26"/>
      <c r="K322" s="26"/>
      <c r="L322" s="26"/>
      <c r="M322" s="27"/>
      <c r="N322" s="26"/>
      <c r="O322" s="26"/>
      <c r="P322" s="26"/>
      <c r="Q322" s="26"/>
      <c r="R322" s="26"/>
      <c r="S322" s="26"/>
      <c r="T322" s="26"/>
      <c r="U322" s="26"/>
      <c r="V322" s="26"/>
      <c r="W322" s="26"/>
      <c r="X322" s="26"/>
      <c r="Y322" s="26"/>
    </row>
    <row r="323" spans="1:25" ht="15.75" customHeight="1">
      <c r="A323" s="26"/>
      <c r="B323" s="26"/>
      <c r="C323" s="26"/>
      <c r="D323" s="26"/>
      <c r="E323" s="26"/>
      <c r="F323" s="26"/>
      <c r="G323" s="26"/>
      <c r="H323" s="26"/>
      <c r="I323" s="26"/>
      <c r="J323" s="26"/>
      <c r="K323" s="26"/>
      <c r="L323" s="26"/>
      <c r="M323" s="27"/>
      <c r="N323" s="26"/>
      <c r="O323" s="26"/>
      <c r="P323" s="26"/>
      <c r="Q323" s="26"/>
      <c r="R323" s="26"/>
      <c r="S323" s="26"/>
      <c r="T323" s="26"/>
      <c r="U323" s="26"/>
      <c r="V323" s="26"/>
      <c r="W323" s="26"/>
      <c r="X323" s="26"/>
      <c r="Y323" s="26"/>
    </row>
    <row r="324" spans="1:25" ht="15.75" customHeight="1">
      <c r="A324" s="26"/>
      <c r="B324" s="26"/>
      <c r="C324" s="26"/>
      <c r="D324" s="26"/>
      <c r="E324" s="26"/>
      <c r="F324" s="26"/>
      <c r="G324" s="26"/>
      <c r="H324" s="26"/>
      <c r="I324" s="26"/>
      <c r="J324" s="26"/>
      <c r="K324" s="26"/>
      <c r="L324" s="26"/>
      <c r="M324" s="27"/>
      <c r="N324" s="26"/>
      <c r="O324" s="26"/>
      <c r="P324" s="26"/>
      <c r="Q324" s="26"/>
      <c r="R324" s="26"/>
      <c r="S324" s="26"/>
      <c r="T324" s="26"/>
      <c r="U324" s="26"/>
      <c r="V324" s="26"/>
      <c r="W324" s="26"/>
      <c r="X324" s="26"/>
      <c r="Y324" s="26"/>
    </row>
    <row r="325" spans="1:25" ht="15.75" customHeight="1">
      <c r="A325" s="26"/>
      <c r="B325" s="26"/>
      <c r="C325" s="26"/>
      <c r="D325" s="26"/>
      <c r="E325" s="26"/>
      <c r="F325" s="26"/>
      <c r="G325" s="26"/>
      <c r="H325" s="26"/>
      <c r="I325" s="26"/>
      <c r="J325" s="26"/>
      <c r="K325" s="26"/>
      <c r="L325" s="26"/>
      <c r="M325" s="27"/>
      <c r="N325" s="26"/>
      <c r="O325" s="26"/>
      <c r="P325" s="26"/>
      <c r="Q325" s="26"/>
      <c r="R325" s="26"/>
      <c r="S325" s="26"/>
      <c r="T325" s="26"/>
      <c r="U325" s="26"/>
      <c r="V325" s="26"/>
      <c r="W325" s="26"/>
      <c r="X325" s="26"/>
      <c r="Y325" s="26"/>
    </row>
    <row r="326" spans="1:25" ht="15.75" customHeight="1">
      <c r="A326" s="26"/>
      <c r="B326" s="26"/>
      <c r="C326" s="26"/>
      <c r="D326" s="26"/>
      <c r="E326" s="26"/>
      <c r="F326" s="26"/>
      <c r="G326" s="26"/>
      <c r="H326" s="26"/>
      <c r="I326" s="26"/>
      <c r="J326" s="26"/>
      <c r="K326" s="26"/>
      <c r="L326" s="26"/>
      <c r="M326" s="27"/>
      <c r="N326" s="26"/>
      <c r="O326" s="26"/>
      <c r="P326" s="26"/>
      <c r="Q326" s="26"/>
      <c r="R326" s="26"/>
      <c r="S326" s="26"/>
      <c r="T326" s="26"/>
      <c r="U326" s="26"/>
      <c r="V326" s="26"/>
      <c r="W326" s="26"/>
      <c r="X326" s="26"/>
      <c r="Y326" s="26"/>
    </row>
    <row r="327" spans="1:25" ht="15.75" customHeight="1">
      <c r="A327" s="26"/>
      <c r="B327" s="26"/>
      <c r="C327" s="26"/>
      <c r="D327" s="26"/>
      <c r="E327" s="26"/>
      <c r="F327" s="26"/>
      <c r="G327" s="26"/>
      <c r="H327" s="26"/>
      <c r="I327" s="26"/>
      <c r="J327" s="26"/>
      <c r="K327" s="26"/>
      <c r="L327" s="26"/>
      <c r="M327" s="27"/>
      <c r="N327" s="26"/>
      <c r="O327" s="26"/>
      <c r="P327" s="26"/>
      <c r="Q327" s="26"/>
      <c r="R327" s="26"/>
      <c r="S327" s="26"/>
      <c r="T327" s="26"/>
      <c r="U327" s="26"/>
      <c r="V327" s="26"/>
      <c r="W327" s="26"/>
      <c r="X327" s="26"/>
      <c r="Y327" s="26"/>
    </row>
    <row r="328" spans="1:25" ht="15.75" customHeight="1">
      <c r="A328" s="26"/>
      <c r="B328" s="26"/>
      <c r="C328" s="26"/>
      <c r="D328" s="26"/>
      <c r="E328" s="26"/>
      <c r="F328" s="26"/>
      <c r="G328" s="26"/>
      <c r="H328" s="26"/>
      <c r="I328" s="26"/>
      <c r="J328" s="26"/>
      <c r="K328" s="26"/>
      <c r="L328" s="26"/>
      <c r="M328" s="27"/>
      <c r="N328" s="26"/>
      <c r="O328" s="26"/>
      <c r="P328" s="26"/>
      <c r="Q328" s="26"/>
      <c r="R328" s="26"/>
      <c r="S328" s="26"/>
      <c r="T328" s="26"/>
      <c r="U328" s="26"/>
      <c r="V328" s="26"/>
      <c r="W328" s="26"/>
      <c r="X328" s="26"/>
      <c r="Y328" s="26"/>
    </row>
    <row r="329" spans="1:25" ht="15.75" customHeight="1">
      <c r="A329" s="26"/>
      <c r="B329" s="26"/>
      <c r="C329" s="26"/>
      <c r="D329" s="26"/>
      <c r="E329" s="26"/>
      <c r="F329" s="26"/>
      <c r="G329" s="26"/>
      <c r="H329" s="26"/>
      <c r="I329" s="26"/>
      <c r="J329" s="26"/>
      <c r="K329" s="26"/>
      <c r="L329" s="26"/>
      <c r="M329" s="27"/>
      <c r="N329" s="26"/>
      <c r="O329" s="26"/>
      <c r="P329" s="26"/>
      <c r="Q329" s="26"/>
      <c r="R329" s="26"/>
      <c r="S329" s="26"/>
      <c r="T329" s="26"/>
      <c r="U329" s="26"/>
      <c r="V329" s="26"/>
      <c r="W329" s="26"/>
      <c r="X329" s="26"/>
      <c r="Y329" s="26"/>
    </row>
    <row r="330" spans="1:25" ht="15.75" customHeight="1">
      <c r="A330" s="26"/>
      <c r="B330" s="26"/>
      <c r="C330" s="26"/>
      <c r="D330" s="26"/>
      <c r="E330" s="26"/>
      <c r="F330" s="26"/>
      <c r="G330" s="26"/>
      <c r="H330" s="26"/>
      <c r="I330" s="26"/>
      <c r="J330" s="26"/>
      <c r="K330" s="26"/>
      <c r="L330" s="26"/>
      <c r="M330" s="27"/>
      <c r="N330" s="26"/>
      <c r="O330" s="26"/>
      <c r="P330" s="26"/>
      <c r="Q330" s="26"/>
      <c r="R330" s="26"/>
      <c r="S330" s="26"/>
      <c r="T330" s="26"/>
      <c r="U330" s="26"/>
      <c r="V330" s="26"/>
      <c r="W330" s="26"/>
      <c r="X330" s="26"/>
      <c r="Y330" s="26"/>
    </row>
    <row r="331" spans="1:25" ht="15.75" customHeight="1">
      <c r="A331" s="26"/>
      <c r="B331" s="26"/>
      <c r="C331" s="26"/>
      <c r="D331" s="26"/>
      <c r="E331" s="26"/>
      <c r="F331" s="26"/>
      <c r="G331" s="26"/>
      <c r="H331" s="26"/>
      <c r="I331" s="26"/>
      <c r="J331" s="26"/>
      <c r="K331" s="26"/>
      <c r="L331" s="26"/>
      <c r="M331" s="27"/>
      <c r="N331" s="26"/>
      <c r="O331" s="26"/>
      <c r="P331" s="26"/>
      <c r="Q331" s="26"/>
      <c r="R331" s="26"/>
      <c r="S331" s="26"/>
      <c r="T331" s="26"/>
      <c r="U331" s="26"/>
      <c r="V331" s="26"/>
      <c r="W331" s="26"/>
      <c r="X331" s="26"/>
      <c r="Y331" s="26"/>
    </row>
    <row r="332" spans="1:25" ht="15.75" customHeight="1">
      <c r="A332" s="26"/>
      <c r="B332" s="26"/>
      <c r="C332" s="26"/>
      <c r="D332" s="26"/>
      <c r="E332" s="26"/>
      <c r="F332" s="26"/>
      <c r="G332" s="26"/>
      <c r="H332" s="26"/>
      <c r="I332" s="26"/>
      <c r="J332" s="26"/>
      <c r="K332" s="26"/>
      <c r="L332" s="26"/>
      <c r="M332" s="27"/>
      <c r="N332" s="26"/>
      <c r="O332" s="26"/>
      <c r="P332" s="26"/>
      <c r="Q332" s="26"/>
      <c r="R332" s="26"/>
      <c r="S332" s="26"/>
      <c r="T332" s="26"/>
      <c r="U332" s="26"/>
      <c r="V332" s="26"/>
      <c r="W332" s="26"/>
      <c r="X332" s="26"/>
      <c r="Y332" s="26"/>
    </row>
    <row r="333" spans="1:25" ht="15.75" customHeight="1">
      <c r="A333" s="26"/>
      <c r="B333" s="26"/>
      <c r="C333" s="26"/>
      <c r="D333" s="26"/>
      <c r="E333" s="26"/>
      <c r="F333" s="26"/>
      <c r="G333" s="26"/>
      <c r="H333" s="26"/>
      <c r="I333" s="26"/>
      <c r="J333" s="26"/>
      <c r="K333" s="26"/>
      <c r="L333" s="26"/>
      <c r="M333" s="27"/>
      <c r="N333" s="26"/>
      <c r="O333" s="26"/>
      <c r="P333" s="26"/>
      <c r="Q333" s="26"/>
      <c r="R333" s="26"/>
      <c r="S333" s="26"/>
      <c r="T333" s="26"/>
      <c r="U333" s="26"/>
      <c r="V333" s="26"/>
      <c r="W333" s="26"/>
      <c r="X333" s="26"/>
      <c r="Y333" s="26"/>
    </row>
    <row r="334" spans="1:25" ht="15.75" customHeight="1">
      <c r="A334" s="26"/>
      <c r="B334" s="26"/>
      <c r="C334" s="26"/>
      <c r="D334" s="26"/>
      <c r="E334" s="26"/>
      <c r="F334" s="26"/>
      <c r="G334" s="26"/>
      <c r="H334" s="26"/>
      <c r="I334" s="26"/>
      <c r="J334" s="26"/>
      <c r="K334" s="26"/>
      <c r="L334" s="26"/>
      <c r="M334" s="27"/>
      <c r="N334" s="26"/>
      <c r="O334" s="26"/>
      <c r="P334" s="26"/>
      <c r="Q334" s="26"/>
      <c r="R334" s="26"/>
      <c r="S334" s="26"/>
      <c r="T334" s="26"/>
      <c r="U334" s="26"/>
      <c r="V334" s="26"/>
      <c r="W334" s="26"/>
      <c r="X334" s="26"/>
      <c r="Y334" s="26"/>
    </row>
    <row r="335" spans="1:25" ht="15.75" customHeight="1">
      <c r="A335" s="26"/>
      <c r="B335" s="26"/>
      <c r="C335" s="26"/>
      <c r="D335" s="26"/>
      <c r="E335" s="26"/>
      <c r="F335" s="26"/>
      <c r="G335" s="26"/>
      <c r="H335" s="26"/>
      <c r="I335" s="26"/>
      <c r="J335" s="26"/>
      <c r="K335" s="26"/>
      <c r="L335" s="26"/>
      <c r="M335" s="27"/>
      <c r="N335" s="26"/>
      <c r="O335" s="26"/>
      <c r="P335" s="26"/>
      <c r="Q335" s="26"/>
      <c r="R335" s="26"/>
      <c r="S335" s="26"/>
      <c r="T335" s="26"/>
      <c r="U335" s="26"/>
      <c r="V335" s="26"/>
      <c r="W335" s="26"/>
      <c r="X335" s="26"/>
      <c r="Y335" s="26"/>
    </row>
    <row r="336" spans="1:25" ht="15.75" customHeight="1">
      <c r="A336" s="26"/>
      <c r="B336" s="26"/>
      <c r="C336" s="26"/>
      <c r="D336" s="26"/>
      <c r="E336" s="26"/>
      <c r="F336" s="26"/>
      <c r="G336" s="26"/>
      <c r="H336" s="26"/>
      <c r="I336" s="26"/>
      <c r="J336" s="26"/>
      <c r="K336" s="26"/>
      <c r="L336" s="26"/>
      <c r="M336" s="27"/>
      <c r="N336" s="26"/>
      <c r="O336" s="26"/>
      <c r="P336" s="26"/>
      <c r="Q336" s="26"/>
      <c r="R336" s="26"/>
      <c r="S336" s="26"/>
      <c r="T336" s="26"/>
      <c r="U336" s="26"/>
      <c r="V336" s="26"/>
      <c r="W336" s="26"/>
      <c r="X336" s="26"/>
      <c r="Y336" s="26"/>
    </row>
    <row r="337" spans="1:25" ht="15.75" customHeight="1">
      <c r="A337" s="26"/>
      <c r="B337" s="26"/>
      <c r="C337" s="26"/>
      <c r="D337" s="26"/>
      <c r="E337" s="26"/>
      <c r="F337" s="26"/>
      <c r="G337" s="26"/>
      <c r="H337" s="26"/>
      <c r="I337" s="26"/>
      <c r="J337" s="26"/>
      <c r="K337" s="26"/>
      <c r="L337" s="26"/>
      <c r="M337" s="27"/>
      <c r="N337" s="26"/>
      <c r="O337" s="26"/>
      <c r="P337" s="26"/>
      <c r="Q337" s="26"/>
      <c r="R337" s="26"/>
      <c r="S337" s="26"/>
      <c r="T337" s="26"/>
      <c r="U337" s="26"/>
      <c r="V337" s="26"/>
      <c r="W337" s="26"/>
      <c r="X337" s="26"/>
      <c r="Y337" s="26"/>
    </row>
    <row r="338" spans="1:25" ht="15.75" customHeight="1">
      <c r="A338" s="26"/>
      <c r="B338" s="26"/>
      <c r="C338" s="26"/>
      <c r="D338" s="26"/>
      <c r="E338" s="26"/>
      <c r="F338" s="26"/>
      <c r="G338" s="26"/>
      <c r="H338" s="26"/>
      <c r="I338" s="26"/>
      <c r="J338" s="26"/>
      <c r="K338" s="26"/>
      <c r="L338" s="26"/>
      <c r="M338" s="27"/>
      <c r="N338" s="26"/>
      <c r="O338" s="26"/>
      <c r="P338" s="26"/>
      <c r="Q338" s="26"/>
      <c r="R338" s="26"/>
      <c r="S338" s="26"/>
      <c r="T338" s="26"/>
      <c r="U338" s="26"/>
      <c r="V338" s="26"/>
      <c r="W338" s="26"/>
      <c r="X338" s="26"/>
      <c r="Y338" s="26"/>
    </row>
    <row r="339" spans="1:25" ht="15.75" customHeight="1">
      <c r="A339" s="26"/>
      <c r="B339" s="26"/>
      <c r="C339" s="26"/>
      <c r="D339" s="26"/>
      <c r="E339" s="26"/>
      <c r="F339" s="26"/>
      <c r="G339" s="26"/>
      <c r="H339" s="26"/>
      <c r="I339" s="26"/>
      <c r="J339" s="26"/>
      <c r="K339" s="26"/>
      <c r="L339" s="26"/>
      <c r="M339" s="27"/>
      <c r="N339" s="26"/>
      <c r="O339" s="26"/>
      <c r="P339" s="26"/>
      <c r="Q339" s="26"/>
      <c r="R339" s="26"/>
      <c r="S339" s="26"/>
      <c r="T339" s="26"/>
      <c r="U339" s="26"/>
      <c r="V339" s="26"/>
      <c r="W339" s="26"/>
      <c r="X339" s="26"/>
      <c r="Y339" s="26"/>
    </row>
    <row r="340" spans="1:25" ht="15.75" customHeight="1">
      <c r="A340" s="26"/>
      <c r="B340" s="26"/>
      <c r="C340" s="26"/>
      <c r="D340" s="26"/>
      <c r="E340" s="26"/>
      <c r="F340" s="26"/>
      <c r="G340" s="26"/>
      <c r="H340" s="26"/>
      <c r="I340" s="26"/>
      <c r="J340" s="26"/>
      <c r="K340" s="26"/>
      <c r="L340" s="26"/>
      <c r="M340" s="27"/>
      <c r="N340" s="26"/>
      <c r="O340" s="26"/>
      <c r="P340" s="26"/>
      <c r="Q340" s="26"/>
      <c r="R340" s="26"/>
      <c r="S340" s="26"/>
      <c r="T340" s="26"/>
      <c r="U340" s="26"/>
      <c r="V340" s="26"/>
      <c r="W340" s="26"/>
      <c r="X340" s="26"/>
      <c r="Y340" s="26"/>
    </row>
    <row r="341" spans="1:25" ht="15.75" customHeight="1">
      <c r="A341" s="26"/>
      <c r="B341" s="26"/>
      <c r="C341" s="26"/>
      <c r="D341" s="26"/>
      <c r="E341" s="26"/>
      <c r="F341" s="26"/>
      <c r="G341" s="26"/>
      <c r="H341" s="26"/>
      <c r="I341" s="26"/>
      <c r="J341" s="26"/>
      <c r="K341" s="26"/>
      <c r="L341" s="26"/>
      <c r="M341" s="27"/>
      <c r="N341" s="26"/>
      <c r="O341" s="26"/>
      <c r="P341" s="26"/>
      <c r="Q341" s="26"/>
      <c r="R341" s="26"/>
      <c r="S341" s="26"/>
      <c r="T341" s="26"/>
      <c r="U341" s="26"/>
      <c r="V341" s="26"/>
      <c r="W341" s="26"/>
      <c r="X341" s="26"/>
      <c r="Y341" s="26"/>
    </row>
    <row r="342" spans="1:25" ht="15.75" customHeight="1">
      <c r="A342" s="26"/>
      <c r="B342" s="26"/>
      <c r="C342" s="26"/>
      <c r="D342" s="26"/>
      <c r="E342" s="26"/>
      <c r="F342" s="26"/>
      <c r="G342" s="26"/>
      <c r="H342" s="26"/>
      <c r="I342" s="26"/>
      <c r="J342" s="26"/>
      <c r="K342" s="26"/>
      <c r="L342" s="26"/>
      <c r="M342" s="27"/>
      <c r="N342" s="26"/>
      <c r="O342" s="26"/>
      <c r="P342" s="26"/>
      <c r="Q342" s="26"/>
      <c r="R342" s="26"/>
      <c r="S342" s="26"/>
      <c r="T342" s="26"/>
      <c r="U342" s="26"/>
      <c r="V342" s="26"/>
      <c r="W342" s="26"/>
      <c r="X342" s="26"/>
      <c r="Y342" s="26"/>
    </row>
    <row r="343" spans="1:25" ht="15.75" customHeight="1">
      <c r="A343" s="26"/>
      <c r="B343" s="26"/>
      <c r="C343" s="26"/>
      <c r="D343" s="26"/>
      <c r="E343" s="26"/>
      <c r="F343" s="26"/>
      <c r="G343" s="26"/>
      <c r="H343" s="26"/>
      <c r="I343" s="26"/>
      <c r="J343" s="26"/>
      <c r="K343" s="26"/>
      <c r="L343" s="26"/>
      <c r="M343" s="27"/>
      <c r="N343" s="26"/>
      <c r="O343" s="26"/>
      <c r="P343" s="26"/>
      <c r="Q343" s="26"/>
      <c r="R343" s="26"/>
      <c r="S343" s="26"/>
      <c r="T343" s="26"/>
      <c r="U343" s="26"/>
      <c r="V343" s="26"/>
      <c r="W343" s="26"/>
      <c r="X343" s="26"/>
      <c r="Y343" s="26"/>
    </row>
    <row r="344" spans="1:25" ht="15.75" customHeight="1">
      <c r="A344" s="26"/>
      <c r="B344" s="26"/>
      <c r="C344" s="26"/>
      <c r="D344" s="26"/>
      <c r="E344" s="26"/>
      <c r="F344" s="26"/>
      <c r="G344" s="26"/>
      <c r="H344" s="26"/>
      <c r="I344" s="26"/>
      <c r="J344" s="26"/>
      <c r="K344" s="26"/>
      <c r="L344" s="26"/>
      <c r="M344" s="27"/>
      <c r="N344" s="26"/>
      <c r="O344" s="26"/>
      <c r="P344" s="26"/>
      <c r="Q344" s="26"/>
      <c r="R344" s="26"/>
      <c r="S344" s="26"/>
      <c r="T344" s="26"/>
      <c r="U344" s="26"/>
      <c r="V344" s="26"/>
      <c r="W344" s="26"/>
      <c r="X344" s="26"/>
      <c r="Y344" s="26"/>
    </row>
    <row r="345" spans="1:25" ht="15.75" customHeight="1">
      <c r="A345" s="26"/>
      <c r="B345" s="26"/>
      <c r="C345" s="26"/>
      <c r="D345" s="26"/>
      <c r="E345" s="26"/>
      <c r="F345" s="26"/>
      <c r="G345" s="26"/>
      <c r="H345" s="26"/>
      <c r="I345" s="26"/>
      <c r="J345" s="26"/>
      <c r="K345" s="26"/>
      <c r="L345" s="26"/>
      <c r="M345" s="27"/>
      <c r="N345" s="26"/>
      <c r="O345" s="26"/>
      <c r="P345" s="26"/>
      <c r="Q345" s="26"/>
      <c r="R345" s="26"/>
      <c r="S345" s="26"/>
      <c r="T345" s="26"/>
      <c r="U345" s="26"/>
      <c r="V345" s="26"/>
      <c r="W345" s="26"/>
      <c r="X345" s="26"/>
      <c r="Y345" s="26"/>
    </row>
    <row r="346" spans="1:25" ht="15.75" customHeight="1">
      <c r="A346" s="26"/>
      <c r="B346" s="26"/>
      <c r="C346" s="26"/>
      <c r="D346" s="26"/>
      <c r="E346" s="26"/>
      <c r="F346" s="26"/>
      <c r="G346" s="26"/>
      <c r="H346" s="26"/>
      <c r="I346" s="26"/>
      <c r="J346" s="26"/>
      <c r="K346" s="26"/>
      <c r="L346" s="26"/>
      <c r="M346" s="27"/>
      <c r="N346" s="26"/>
      <c r="O346" s="26"/>
      <c r="P346" s="26"/>
      <c r="Q346" s="26"/>
      <c r="R346" s="26"/>
      <c r="S346" s="26"/>
      <c r="T346" s="26"/>
      <c r="U346" s="26"/>
      <c r="V346" s="26"/>
      <c r="W346" s="26"/>
      <c r="X346" s="26"/>
      <c r="Y346" s="26"/>
    </row>
    <row r="347" spans="1:25" ht="15.75" customHeight="1">
      <c r="A347" s="26"/>
      <c r="B347" s="26"/>
      <c r="C347" s="26"/>
      <c r="D347" s="26"/>
      <c r="E347" s="26"/>
      <c r="F347" s="26"/>
      <c r="G347" s="26"/>
      <c r="H347" s="26"/>
      <c r="I347" s="26"/>
      <c r="J347" s="26"/>
      <c r="K347" s="26"/>
      <c r="L347" s="26"/>
      <c r="M347" s="27"/>
      <c r="N347" s="26"/>
      <c r="O347" s="26"/>
      <c r="P347" s="26"/>
      <c r="Q347" s="26"/>
      <c r="R347" s="26"/>
      <c r="S347" s="26"/>
      <c r="T347" s="26"/>
      <c r="U347" s="26"/>
      <c r="V347" s="26"/>
      <c r="W347" s="26"/>
      <c r="X347" s="26"/>
      <c r="Y347" s="26"/>
    </row>
    <row r="348" spans="1:25" ht="15.75" customHeight="1">
      <c r="A348" s="26"/>
      <c r="B348" s="26"/>
      <c r="C348" s="26"/>
      <c r="D348" s="26"/>
      <c r="E348" s="26"/>
      <c r="F348" s="26"/>
      <c r="G348" s="26"/>
      <c r="H348" s="26"/>
      <c r="I348" s="26"/>
      <c r="J348" s="26"/>
      <c r="K348" s="26"/>
      <c r="L348" s="26"/>
      <c r="M348" s="27"/>
      <c r="N348" s="26"/>
      <c r="O348" s="26"/>
      <c r="P348" s="26"/>
      <c r="Q348" s="26"/>
      <c r="R348" s="26"/>
      <c r="S348" s="26"/>
      <c r="T348" s="26"/>
      <c r="U348" s="26"/>
      <c r="V348" s="26"/>
      <c r="W348" s="26"/>
      <c r="X348" s="26"/>
      <c r="Y348" s="26"/>
    </row>
    <row r="349" spans="1:25" ht="15.75" customHeight="1">
      <c r="A349" s="26"/>
      <c r="B349" s="26"/>
      <c r="C349" s="26"/>
      <c r="D349" s="26"/>
      <c r="E349" s="26"/>
      <c r="F349" s="26"/>
      <c r="G349" s="26"/>
      <c r="H349" s="26"/>
      <c r="I349" s="26"/>
      <c r="J349" s="26"/>
      <c r="K349" s="26"/>
      <c r="L349" s="26"/>
      <c r="M349" s="27"/>
      <c r="N349" s="26"/>
      <c r="O349" s="26"/>
      <c r="P349" s="26"/>
      <c r="Q349" s="26"/>
      <c r="R349" s="26"/>
      <c r="S349" s="26"/>
      <c r="T349" s="26"/>
      <c r="U349" s="26"/>
      <c r="V349" s="26"/>
      <c r="W349" s="26"/>
      <c r="X349" s="26"/>
      <c r="Y349" s="26"/>
    </row>
    <row r="350" spans="1:25" ht="15.75" customHeight="1">
      <c r="A350" s="26"/>
      <c r="B350" s="26"/>
      <c r="C350" s="26"/>
      <c r="D350" s="26"/>
      <c r="E350" s="26"/>
      <c r="F350" s="26"/>
      <c r="G350" s="26"/>
      <c r="H350" s="26"/>
      <c r="I350" s="26"/>
      <c r="J350" s="26"/>
      <c r="K350" s="26"/>
      <c r="L350" s="26"/>
      <c r="M350" s="27"/>
      <c r="N350" s="26"/>
      <c r="O350" s="26"/>
      <c r="P350" s="26"/>
      <c r="Q350" s="26"/>
      <c r="R350" s="26"/>
      <c r="S350" s="26"/>
      <c r="T350" s="26"/>
      <c r="U350" s="26"/>
      <c r="V350" s="26"/>
      <c r="W350" s="26"/>
      <c r="X350" s="26"/>
      <c r="Y350" s="26"/>
    </row>
    <row r="351" spans="1:25" ht="15.75" customHeight="1">
      <c r="A351" s="26"/>
      <c r="B351" s="26"/>
      <c r="C351" s="26"/>
      <c r="D351" s="26"/>
      <c r="E351" s="26"/>
      <c r="F351" s="26"/>
      <c r="G351" s="26"/>
      <c r="H351" s="26"/>
      <c r="I351" s="26"/>
      <c r="J351" s="26"/>
      <c r="K351" s="26"/>
      <c r="L351" s="26"/>
      <c r="M351" s="27"/>
      <c r="N351" s="26"/>
      <c r="O351" s="26"/>
      <c r="P351" s="26"/>
      <c r="Q351" s="26"/>
      <c r="R351" s="26"/>
      <c r="S351" s="26"/>
      <c r="T351" s="26"/>
      <c r="U351" s="26"/>
      <c r="V351" s="26"/>
      <c r="W351" s="26"/>
      <c r="X351" s="26"/>
      <c r="Y351" s="26"/>
    </row>
    <row r="352" spans="1:25" ht="15.75" customHeight="1">
      <c r="A352" s="26"/>
      <c r="B352" s="26"/>
      <c r="C352" s="26"/>
      <c r="D352" s="26"/>
      <c r="E352" s="26"/>
      <c r="F352" s="26"/>
      <c r="G352" s="26"/>
      <c r="H352" s="26"/>
      <c r="I352" s="26"/>
      <c r="J352" s="26"/>
      <c r="K352" s="26"/>
      <c r="L352" s="26"/>
      <c r="M352" s="27"/>
      <c r="N352" s="26"/>
      <c r="O352" s="26"/>
      <c r="P352" s="26"/>
      <c r="Q352" s="26"/>
      <c r="R352" s="26"/>
      <c r="S352" s="26"/>
      <c r="T352" s="26"/>
      <c r="U352" s="26"/>
      <c r="V352" s="26"/>
      <c r="W352" s="26"/>
      <c r="X352" s="26"/>
      <c r="Y352" s="26"/>
    </row>
    <row r="353" spans="1:25" ht="15.75" customHeight="1">
      <c r="A353" s="26"/>
      <c r="B353" s="26"/>
      <c r="C353" s="26"/>
      <c r="D353" s="26"/>
      <c r="E353" s="26"/>
      <c r="F353" s="26"/>
      <c r="G353" s="26"/>
      <c r="H353" s="26"/>
      <c r="I353" s="26"/>
      <c r="J353" s="26"/>
      <c r="K353" s="26"/>
      <c r="L353" s="26"/>
      <c r="M353" s="27"/>
      <c r="N353" s="26"/>
      <c r="O353" s="26"/>
      <c r="P353" s="26"/>
      <c r="Q353" s="26"/>
      <c r="R353" s="26"/>
      <c r="S353" s="26"/>
      <c r="T353" s="26"/>
      <c r="U353" s="26"/>
      <c r="V353" s="26"/>
      <c r="W353" s="26"/>
      <c r="X353" s="26"/>
      <c r="Y353" s="26"/>
    </row>
    <row r="354" spans="1:25" ht="15.75" customHeight="1">
      <c r="A354" s="26"/>
      <c r="B354" s="26"/>
      <c r="C354" s="26"/>
      <c r="D354" s="26"/>
      <c r="E354" s="26"/>
      <c r="F354" s="26"/>
      <c r="G354" s="26"/>
      <c r="H354" s="26"/>
      <c r="I354" s="26"/>
      <c r="J354" s="26"/>
      <c r="K354" s="26"/>
      <c r="L354" s="26"/>
      <c r="M354" s="27"/>
      <c r="N354" s="26"/>
      <c r="O354" s="26"/>
      <c r="P354" s="26"/>
      <c r="Q354" s="26"/>
      <c r="R354" s="26"/>
      <c r="S354" s="26"/>
      <c r="T354" s="26"/>
      <c r="U354" s="26"/>
      <c r="V354" s="26"/>
      <c r="W354" s="26"/>
      <c r="X354" s="26"/>
      <c r="Y354" s="26"/>
    </row>
    <row r="355" spans="1:25" ht="15.75" customHeight="1">
      <c r="A355" s="26"/>
      <c r="B355" s="26"/>
      <c r="C355" s="26"/>
      <c r="D355" s="26"/>
      <c r="E355" s="26"/>
      <c r="F355" s="26"/>
      <c r="G355" s="26"/>
      <c r="H355" s="26"/>
      <c r="I355" s="26"/>
      <c r="J355" s="26"/>
      <c r="K355" s="26"/>
      <c r="L355" s="26"/>
      <c r="M355" s="27"/>
      <c r="N355" s="26"/>
      <c r="O355" s="26"/>
      <c r="P355" s="26"/>
      <c r="Q355" s="26"/>
      <c r="R355" s="26"/>
      <c r="S355" s="26"/>
      <c r="T355" s="26"/>
      <c r="U355" s="26"/>
      <c r="V355" s="26"/>
      <c r="W355" s="26"/>
      <c r="X355" s="26"/>
      <c r="Y355" s="26"/>
    </row>
    <row r="356" spans="1:25" ht="15.75" customHeight="1">
      <c r="A356" s="26"/>
      <c r="B356" s="26"/>
      <c r="C356" s="26"/>
      <c r="D356" s="26"/>
      <c r="E356" s="26"/>
      <c r="F356" s="26"/>
      <c r="G356" s="26"/>
      <c r="H356" s="26"/>
      <c r="I356" s="26"/>
      <c r="J356" s="26"/>
      <c r="K356" s="26"/>
      <c r="L356" s="26"/>
      <c r="M356" s="27"/>
      <c r="N356" s="26"/>
      <c r="O356" s="26"/>
      <c r="P356" s="26"/>
      <c r="Q356" s="26"/>
      <c r="R356" s="26"/>
      <c r="S356" s="26"/>
      <c r="T356" s="26"/>
      <c r="U356" s="26"/>
      <c r="V356" s="26"/>
      <c r="W356" s="26"/>
      <c r="X356" s="26"/>
      <c r="Y356" s="26"/>
    </row>
    <row r="357" spans="1:25" ht="15.75" customHeight="1">
      <c r="A357" s="26"/>
      <c r="B357" s="26"/>
      <c r="C357" s="26"/>
      <c r="D357" s="26"/>
      <c r="E357" s="26"/>
      <c r="F357" s="26"/>
      <c r="G357" s="26"/>
      <c r="H357" s="26"/>
      <c r="I357" s="26"/>
      <c r="J357" s="26"/>
      <c r="K357" s="26"/>
      <c r="L357" s="26"/>
      <c r="M357" s="27"/>
      <c r="N357" s="26"/>
      <c r="O357" s="26"/>
      <c r="P357" s="26"/>
      <c r="Q357" s="26"/>
      <c r="R357" s="26"/>
      <c r="S357" s="26"/>
      <c r="T357" s="26"/>
      <c r="U357" s="26"/>
      <c r="V357" s="26"/>
      <c r="W357" s="26"/>
      <c r="X357" s="26"/>
      <c r="Y357" s="26"/>
    </row>
    <row r="358" spans="1:25" ht="15.75" customHeight="1">
      <c r="A358" s="26"/>
      <c r="B358" s="26"/>
      <c r="C358" s="26"/>
      <c r="D358" s="26"/>
      <c r="E358" s="26"/>
      <c r="F358" s="26"/>
      <c r="G358" s="26"/>
      <c r="H358" s="26"/>
      <c r="I358" s="26"/>
      <c r="J358" s="26"/>
      <c r="K358" s="26"/>
      <c r="L358" s="26"/>
      <c r="M358" s="27"/>
      <c r="N358" s="26"/>
      <c r="O358" s="26"/>
      <c r="P358" s="26"/>
      <c r="Q358" s="26"/>
      <c r="R358" s="26"/>
      <c r="S358" s="26"/>
      <c r="T358" s="26"/>
      <c r="U358" s="26"/>
      <c r="V358" s="26"/>
      <c r="W358" s="26"/>
      <c r="X358" s="26"/>
      <c r="Y358" s="26"/>
    </row>
    <row r="359" spans="1:25" ht="15.75" customHeight="1">
      <c r="A359" s="26"/>
      <c r="B359" s="26"/>
      <c r="C359" s="26"/>
      <c r="D359" s="26"/>
      <c r="E359" s="26"/>
      <c r="F359" s="26"/>
      <c r="G359" s="26"/>
      <c r="H359" s="26"/>
      <c r="I359" s="26"/>
      <c r="J359" s="26"/>
      <c r="K359" s="26"/>
      <c r="L359" s="26"/>
      <c r="M359" s="27"/>
      <c r="N359" s="26"/>
      <c r="O359" s="26"/>
      <c r="P359" s="26"/>
      <c r="Q359" s="26"/>
      <c r="R359" s="26"/>
      <c r="S359" s="26"/>
      <c r="T359" s="26"/>
      <c r="U359" s="26"/>
      <c r="V359" s="26"/>
      <c r="W359" s="26"/>
      <c r="X359" s="26"/>
      <c r="Y359" s="26"/>
    </row>
    <row r="360" spans="1:25" ht="15.75" customHeight="1">
      <c r="A360" s="26"/>
      <c r="B360" s="26"/>
      <c r="C360" s="26"/>
      <c r="D360" s="26"/>
      <c r="E360" s="26"/>
      <c r="F360" s="26"/>
      <c r="G360" s="26"/>
      <c r="H360" s="26"/>
      <c r="I360" s="26"/>
      <c r="J360" s="26"/>
      <c r="K360" s="26"/>
      <c r="L360" s="26"/>
      <c r="M360" s="27"/>
      <c r="N360" s="26"/>
      <c r="O360" s="26"/>
      <c r="P360" s="26"/>
      <c r="Q360" s="26"/>
      <c r="R360" s="26"/>
      <c r="S360" s="26"/>
      <c r="T360" s="26"/>
      <c r="U360" s="26"/>
      <c r="V360" s="26"/>
      <c r="W360" s="26"/>
      <c r="X360" s="26"/>
      <c r="Y360" s="26"/>
    </row>
    <row r="361" spans="1:25" ht="15.75" customHeight="1">
      <c r="A361" s="26"/>
      <c r="B361" s="26"/>
      <c r="C361" s="26"/>
      <c r="D361" s="26"/>
      <c r="E361" s="26"/>
      <c r="F361" s="26"/>
      <c r="G361" s="26"/>
      <c r="H361" s="26"/>
      <c r="I361" s="26"/>
      <c r="J361" s="26"/>
      <c r="K361" s="26"/>
      <c r="L361" s="26"/>
      <c r="M361" s="27"/>
      <c r="N361" s="26"/>
      <c r="O361" s="26"/>
      <c r="P361" s="26"/>
      <c r="Q361" s="26"/>
      <c r="R361" s="26"/>
      <c r="S361" s="26"/>
      <c r="T361" s="26"/>
      <c r="U361" s="26"/>
      <c r="V361" s="26"/>
      <c r="W361" s="26"/>
      <c r="X361" s="26"/>
      <c r="Y361" s="26"/>
    </row>
    <row r="362" spans="1:25" ht="15.75" customHeight="1">
      <c r="A362" s="26"/>
      <c r="B362" s="26"/>
      <c r="C362" s="26"/>
      <c r="D362" s="26"/>
      <c r="E362" s="26"/>
      <c r="F362" s="26"/>
      <c r="G362" s="26"/>
      <c r="H362" s="26"/>
      <c r="I362" s="26"/>
      <c r="J362" s="26"/>
      <c r="K362" s="26"/>
      <c r="L362" s="26"/>
      <c r="M362" s="27"/>
      <c r="N362" s="26"/>
      <c r="O362" s="26"/>
      <c r="P362" s="26"/>
      <c r="Q362" s="26"/>
      <c r="R362" s="26"/>
      <c r="S362" s="26"/>
      <c r="T362" s="26"/>
      <c r="U362" s="26"/>
      <c r="V362" s="26"/>
      <c r="W362" s="26"/>
      <c r="X362" s="26"/>
      <c r="Y362" s="26"/>
    </row>
    <row r="363" spans="1:25" ht="15.75" customHeight="1">
      <c r="A363" s="26"/>
      <c r="B363" s="26"/>
      <c r="C363" s="26"/>
      <c r="D363" s="26"/>
      <c r="E363" s="26"/>
      <c r="F363" s="26"/>
      <c r="G363" s="26"/>
      <c r="H363" s="26"/>
      <c r="I363" s="26"/>
      <c r="J363" s="26"/>
      <c r="K363" s="26"/>
      <c r="L363" s="26"/>
      <c r="M363" s="27"/>
      <c r="N363" s="26"/>
      <c r="O363" s="26"/>
      <c r="P363" s="26"/>
      <c r="Q363" s="26"/>
      <c r="R363" s="26"/>
      <c r="S363" s="26"/>
      <c r="T363" s="26"/>
      <c r="U363" s="26"/>
      <c r="V363" s="26"/>
      <c r="W363" s="26"/>
      <c r="X363" s="26"/>
      <c r="Y363" s="26"/>
    </row>
    <row r="364" spans="1:25" ht="15.75" customHeight="1">
      <c r="A364" s="26"/>
      <c r="B364" s="26"/>
      <c r="C364" s="26"/>
      <c r="D364" s="26"/>
      <c r="E364" s="26"/>
      <c r="F364" s="26"/>
      <c r="G364" s="26"/>
      <c r="H364" s="26"/>
      <c r="I364" s="26"/>
      <c r="J364" s="26"/>
      <c r="K364" s="26"/>
      <c r="L364" s="26"/>
      <c r="M364" s="27"/>
      <c r="N364" s="26"/>
      <c r="O364" s="26"/>
      <c r="P364" s="26"/>
      <c r="Q364" s="26"/>
      <c r="R364" s="26"/>
      <c r="S364" s="26"/>
      <c r="T364" s="26"/>
      <c r="U364" s="26"/>
      <c r="V364" s="26"/>
      <c r="W364" s="26"/>
      <c r="X364" s="26"/>
      <c r="Y364" s="26"/>
    </row>
    <row r="365" spans="1:25" ht="15.75" customHeight="1">
      <c r="A365" s="26"/>
      <c r="B365" s="26"/>
      <c r="C365" s="26"/>
      <c r="D365" s="26"/>
      <c r="E365" s="26"/>
      <c r="F365" s="26"/>
      <c r="G365" s="26"/>
      <c r="H365" s="26"/>
      <c r="I365" s="26"/>
      <c r="J365" s="26"/>
      <c r="K365" s="26"/>
      <c r="L365" s="26"/>
      <c r="M365" s="27"/>
      <c r="N365" s="26"/>
      <c r="O365" s="26"/>
      <c r="P365" s="26"/>
      <c r="Q365" s="26"/>
      <c r="R365" s="26"/>
      <c r="S365" s="26"/>
      <c r="T365" s="26"/>
      <c r="U365" s="26"/>
      <c r="V365" s="26"/>
      <c r="W365" s="26"/>
      <c r="X365" s="26"/>
      <c r="Y365" s="26"/>
    </row>
    <row r="366" spans="1:25" ht="15.75" customHeight="1">
      <c r="A366" s="26"/>
      <c r="B366" s="26"/>
      <c r="C366" s="26"/>
      <c r="D366" s="26"/>
      <c r="E366" s="26"/>
      <c r="F366" s="26"/>
      <c r="G366" s="26"/>
      <c r="H366" s="26"/>
      <c r="I366" s="26"/>
      <c r="J366" s="26"/>
      <c r="K366" s="26"/>
      <c r="L366" s="26"/>
      <c r="M366" s="27"/>
      <c r="N366" s="26"/>
      <c r="O366" s="26"/>
      <c r="P366" s="26"/>
      <c r="Q366" s="26"/>
      <c r="R366" s="26"/>
      <c r="S366" s="26"/>
      <c r="T366" s="26"/>
      <c r="U366" s="26"/>
      <c r="V366" s="26"/>
      <c r="W366" s="26"/>
      <c r="X366" s="26"/>
      <c r="Y366" s="26"/>
    </row>
    <row r="367" spans="1:25" ht="15.75" customHeight="1">
      <c r="A367" s="26"/>
      <c r="B367" s="26"/>
      <c r="C367" s="26"/>
      <c r="D367" s="26"/>
      <c r="E367" s="26"/>
      <c r="F367" s="26"/>
      <c r="G367" s="26"/>
      <c r="H367" s="26"/>
      <c r="I367" s="26"/>
      <c r="J367" s="26"/>
      <c r="K367" s="26"/>
      <c r="L367" s="26"/>
      <c r="M367" s="27"/>
      <c r="N367" s="26"/>
      <c r="O367" s="26"/>
      <c r="P367" s="26"/>
      <c r="Q367" s="26"/>
      <c r="R367" s="26"/>
      <c r="S367" s="26"/>
      <c r="T367" s="26"/>
      <c r="U367" s="26"/>
      <c r="V367" s="26"/>
      <c r="W367" s="26"/>
      <c r="X367" s="26"/>
      <c r="Y367" s="26"/>
    </row>
    <row r="368" spans="1:25" ht="15.75" customHeight="1">
      <c r="A368" s="26"/>
      <c r="B368" s="26"/>
      <c r="C368" s="26"/>
      <c r="D368" s="26"/>
      <c r="E368" s="26"/>
      <c r="F368" s="26"/>
      <c r="G368" s="26"/>
      <c r="H368" s="26"/>
      <c r="I368" s="26"/>
      <c r="J368" s="26"/>
      <c r="K368" s="26"/>
      <c r="L368" s="26"/>
      <c r="M368" s="27"/>
      <c r="N368" s="26"/>
      <c r="O368" s="26"/>
      <c r="P368" s="26"/>
      <c r="Q368" s="26"/>
      <c r="R368" s="26"/>
      <c r="S368" s="26"/>
      <c r="T368" s="26"/>
      <c r="U368" s="26"/>
      <c r="V368" s="26"/>
      <c r="W368" s="26"/>
      <c r="X368" s="26"/>
      <c r="Y368" s="26"/>
    </row>
    <row r="369" spans="1:25" ht="15.75" customHeight="1">
      <c r="A369" s="26"/>
      <c r="B369" s="26"/>
      <c r="C369" s="26"/>
      <c r="D369" s="26"/>
      <c r="E369" s="26"/>
      <c r="F369" s="26"/>
      <c r="G369" s="26"/>
      <c r="H369" s="26"/>
      <c r="I369" s="26"/>
      <c r="J369" s="26"/>
      <c r="K369" s="26"/>
      <c r="L369" s="26"/>
      <c r="M369" s="27"/>
      <c r="N369" s="26"/>
      <c r="O369" s="26"/>
      <c r="P369" s="26"/>
      <c r="Q369" s="26"/>
      <c r="R369" s="26"/>
      <c r="S369" s="26"/>
      <c r="T369" s="26"/>
      <c r="U369" s="26"/>
      <c r="V369" s="26"/>
      <c r="W369" s="26"/>
      <c r="X369" s="26"/>
      <c r="Y369" s="26"/>
    </row>
    <row r="370" spans="1:25" ht="15.75" customHeight="1">
      <c r="A370" s="26"/>
      <c r="B370" s="26"/>
      <c r="C370" s="26"/>
      <c r="D370" s="26"/>
      <c r="E370" s="26"/>
      <c r="F370" s="26"/>
      <c r="G370" s="26"/>
      <c r="H370" s="26"/>
      <c r="I370" s="26"/>
      <c r="J370" s="26"/>
      <c r="K370" s="26"/>
      <c r="L370" s="26"/>
      <c r="M370" s="27"/>
      <c r="N370" s="26"/>
      <c r="O370" s="26"/>
      <c r="P370" s="26"/>
      <c r="Q370" s="26"/>
      <c r="R370" s="26"/>
      <c r="S370" s="26"/>
      <c r="T370" s="26"/>
      <c r="U370" s="26"/>
      <c r="V370" s="26"/>
      <c r="W370" s="26"/>
      <c r="X370" s="26"/>
      <c r="Y370" s="26"/>
    </row>
    <row r="371" spans="1:25" ht="15.75" customHeight="1">
      <c r="A371" s="26"/>
      <c r="B371" s="26"/>
      <c r="C371" s="26"/>
      <c r="D371" s="26"/>
      <c r="E371" s="26"/>
      <c r="F371" s="26"/>
      <c r="G371" s="26"/>
      <c r="H371" s="26"/>
      <c r="I371" s="26"/>
      <c r="J371" s="26"/>
      <c r="K371" s="26"/>
      <c r="L371" s="26"/>
      <c r="M371" s="27"/>
      <c r="N371" s="26"/>
      <c r="O371" s="26"/>
      <c r="P371" s="26"/>
      <c r="Q371" s="26"/>
      <c r="R371" s="26"/>
      <c r="S371" s="26"/>
      <c r="T371" s="26"/>
      <c r="U371" s="26"/>
      <c r="V371" s="26"/>
      <c r="W371" s="26"/>
      <c r="X371" s="26"/>
      <c r="Y371" s="26"/>
    </row>
    <row r="372" spans="1:25" ht="15.75" customHeight="1">
      <c r="A372" s="26"/>
      <c r="B372" s="26"/>
      <c r="C372" s="26"/>
      <c r="D372" s="26"/>
      <c r="E372" s="26"/>
      <c r="F372" s="26"/>
      <c r="G372" s="26"/>
      <c r="H372" s="26"/>
      <c r="I372" s="26"/>
      <c r="J372" s="26"/>
      <c r="K372" s="26"/>
      <c r="L372" s="26"/>
      <c r="M372" s="27"/>
      <c r="N372" s="26"/>
      <c r="O372" s="26"/>
      <c r="P372" s="26"/>
      <c r="Q372" s="26"/>
      <c r="R372" s="26"/>
      <c r="S372" s="26"/>
      <c r="T372" s="26"/>
      <c r="U372" s="26"/>
      <c r="V372" s="26"/>
      <c r="W372" s="26"/>
      <c r="X372" s="26"/>
      <c r="Y372" s="26"/>
    </row>
    <row r="373" spans="1:25" ht="15.75" customHeight="1">
      <c r="A373" s="26"/>
      <c r="B373" s="26"/>
      <c r="C373" s="26"/>
      <c r="D373" s="26"/>
      <c r="E373" s="26"/>
      <c r="F373" s="26"/>
      <c r="G373" s="26"/>
      <c r="H373" s="26"/>
      <c r="I373" s="26"/>
      <c r="J373" s="26"/>
      <c r="K373" s="26"/>
      <c r="L373" s="26"/>
      <c r="M373" s="27"/>
      <c r="N373" s="26"/>
      <c r="O373" s="26"/>
      <c r="P373" s="26"/>
      <c r="Q373" s="26"/>
      <c r="R373" s="26"/>
      <c r="S373" s="26"/>
      <c r="T373" s="26"/>
      <c r="U373" s="26"/>
      <c r="V373" s="26"/>
      <c r="W373" s="26"/>
      <c r="X373" s="26"/>
      <c r="Y373" s="26"/>
    </row>
    <row r="374" spans="1:25" ht="15.75" customHeight="1">
      <c r="A374" s="26"/>
      <c r="B374" s="26"/>
      <c r="C374" s="26"/>
      <c r="D374" s="26"/>
      <c r="E374" s="26"/>
      <c r="F374" s="26"/>
      <c r="G374" s="26"/>
      <c r="H374" s="26"/>
      <c r="I374" s="26"/>
      <c r="J374" s="26"/>
      <c r="K374" s="26"/>
      <c r="L374" s="26"/>
      <c r="M374" s="27"/>
      <c r="N374" s="26"/>
      <c r="O374" s="26"/>
      <c r="P374" s="26"/>
      <c r="Q374" s="26"/>
      <c r="R374" s="26"/>
      <c r="S374" s="26"/>
      <c r="T374" s="26"/>
      <c r="U374" s="26"/>
      <c r="V374" s="26"/>
      <c r="W374" s="26"/>
      <c r="X374" s="26"/>
      <c r="Y374" s="26"/>
    </row>
    <row r="375" spans="1:25" ht="15.75" customHeight="1">
      <c r="A375" s="26"/>
      <c r="B375" s="26"/>
      <c r="C375" s="26"/>
      <c r="D375" s="26"/>
      <c r="E375" s="26"/>
      <c r="F375" s="26"/>
      <c r="G375" s="26"/>
      <c r="H375" s="26"/>
      <c r="I375" s="26"/>
      <c r="J375" s="26"/>
      <c r="K375" s="26"/>
      <c r="L375" s="26"/>
      <c r="M375" s="27"/>
      <c r="N375" s="26"/>
      <c r="O375" s="26"/>
      <c r="P375" s="26"/>
      <c r="Q375" s="26"/>
      <c r="R375" s="26"/>
      <c r="S375" s="26"/>
      <c r="T375" s="26"/>
      <c r="U375" s="26"/>
      <c r="V375" s="26"/>
      <c r="W375" s="26"/>
      <c r="X375" s="26"/>
      <c r="Y375" s="26"/>
    </row>
    <row r="376" spans="1:25" ht="15.75" customHeight="1">
      <c r="A376" s="26"/>
      <c r="B376" s="26"/>
      <c r="C376" s="26"/>
      <c r="D376" s="26"/>
      <c r="E376" s="26"/>
      <c r="F376" s="26"/>
      <c r="G376" s="26"/>
      <c r="H376" s="26"/>
      <c r="I376" s="26"/>
      <c r="J376" s="26"/>
      <c r="K376" s="26"/>
      <c r="L376" s="26"/>
      <c r="M376" s="27"/>
      <c r="N376" s="26"/>
      <c r="O376" s="26"/>
      <c r="P376" s="26"/>
      <c r="Q376" s="26"/>
      <c r="R376" s="26"/>
      <c r="S376" s="26"/>
      <c r="T376" s="26"/>
      <c r="U376" s="26"/>
      <c r="V376" s="26"/>
      <c r="W376" s="26"/>
      <c r="X376" s="26"/>
      <c r="Y376" s="26"/>
    </row>
    <row r="377" spans="1:25" ht="15.75" customHeight="1">
      <c r="A377" s="26"/>
      <c r="B377" s="26"/>
      <c r="C377" s="26"/>
      <c r="D377" s="26"/>
      <c r="E377" s="26"/>
      <c r="F377" s="26"/>
      <c r="G377" s="26"/>
      <c r="H377" s="26"/>
      <c r="I377" s="26"/>
      <c r="J377" s="26"/>
      <c r="K377" s="26"/>
      <c r="L377" s="26"/>
      <c r="M377" s="27"/>
      <c r="N377" s="26"/>
      <c r="O377" s="26"/>
      <c r="P377" s="26"/>
      <c r="Q377" s="26"/>
      <c r="R377" s="26"/>
      <c r="S377" s="26"/>
      <c r="T377" s="26"/>
      <c r="U377" s="26"/>
      <c r="V377" s="26"/>
      <c r="W377" s="26"/>
      <c r="X377" s="26"/>
      <c r="Y377" s="26"/>
    </row>
    <row r="378" spans="1:25" ht="15.75" customHeight="1">
      <c r="A378" s="26"/>
      <c r="B378" s="26"/>
      <c r="C378" s="26"/>
      <c r="D378" s="26"/>
      <c r="E378" s="26"/>
      <c r="F378" s="26"/>
      <c r="G378" s="26"/>
      <c r="H378" s="26"/>
      <c r="I378" s="26"/>
      <c r="J378" s="26"/>
      <c r="K378" s="26"/>
      <c r="L378" s="26"/>
      <c r="M378" s="27"/>
      <c r="N378" s="26"/>
      <c r="O378" s="26"/>
      <c r="P378" s="26"/>
      <c r="Q378" s="26"/>
      <c r="R378" s="26"/>
      <c r="S378" s="26"/>
      <c r="T378" s="26"/>
      <c r="U378" s="26"/>
      <c r="V378" s="26"/>
      <c r="W378" s="26"/>
      <c r="X378" s="26"/>
      <c r="Y378" s="26"/>
    </row>
    <row r="379" spans="1:25" ht="15.75" customHeight="1">
      <c r="A379" s="26"/>
      <c r="B379" s="26"/>
      <c r="C379" s="26"/>
      <c r="D379" s="26"/>
      <c r="E379" s="26"/>
      <c r="F379" s="26"/>
      <c r="G379" s="26"/>
      <c r="H379" s="26"/>
      <c r="I379" s="26"/>
      <c r="J379" s="26"/>
      <c r="K379" s="26"/>
      <c r="L379" s="26"/>
      <c r="M379" s="27"/>
      <c r="N379" s="26"/>
      <c r="O379" s="26"/>
      <c r="P379" s="26"/>
      <c r="Q379" s="26"/>
      <c r="R379" s="26"/>
      <c r="S379" s="26"/>
      <c r="T379" s="26"/>
      <c r="U379" s="26"/>
      <c r="V379" s="26"/>
      <c r="W379" s="26"/>
      <c r="X379" s="26"/>
      <c r="Y379" s="26"/>
    </row>
    <row r="380" spans="1:25" ht="15.75" customHeight="1">
      <c r="A380" s="26"/>
      <c r="B380" s="26"/>
      <c r="C380" s="26"/>
      <c r="D380" s="26"/>
      <c r="E380" s="26"/>
      <c r="F380" s="26"/>
      <c r="G380" s="26"/>
      <c r="H380" s="26"/>
      <c r="I380" s="26"/>
      <c r="J380" s="26"/>
      <c r="K380" s="26"/>
      <c r="L380" s="26"/>
      <c r="M380" s="27"/>
      <c r="N380" s="26"/>
      <c r="O380" s="26"/>
      <c r="P380" s="26"/>
      <c r="Q380" s="26"/>
      <c r="R380" s="26"/>
      <c r="S380" s="26"/>
      <c r="T380" s="26"/>
      <c r="U380" s="26"/>
      <c r="V380" s="26"/>
      <c r="W380" s="26"/>
      <c r="X380" s="26"/>
      <c r="Y380" s="26"/>
    </row>
    <row r="381" spans="1:25" ht="15.75" customHeight="1">
      <c r="A381" s="26"/>
      <c r="B381" s="26"/>
      <c r="C381" s="26"/>
      <c r="D381" s="26"/>
      <c r="E381" s="26"/>
      <c r="F381" s="26"/>
      <c r="G381" s="26"/>
      <c r="H381" s="26"/>
      <c r="I381" s="26"/>
      <c r="J381" s="26"/>
      <c r="K381" s="26"/>
      <c r="L381" s="26"/>
      <c r="M381" s="27"/>
      <c r="N381" s="26"/>
      <c r="O381" s="26"/>
      <c r="P381" s="26"/>
      <c r="Q381" s="26"/>
      <c r="R381" s="26"/>
      <c r="S381" s="26"/>
      <c r="T381" s="26"/>
      <c r="U381" s="26"/>
      <c r="V381" s="26"/>
      <c r="W381" s="26"/>
      <c r="X381" s="26"/>
      <c r="Y381" s="26"/>
    </row>
    <row r="382" spans="1:25" ht="15.75" customHeight="1">
      <c r="A382" s="26"/>
      <c r="B382" s="26"/>
      <c r="C382" s="26"/>
      <c r="D382" s="26"/>
      <c r="E382" s="26"/>
      <c r="F382" s="26"/>
      <c r="G382" s="26"/>
      <c r="H382" s="26"/>
      <c r="I382" s="26"/>
      <c r="J382" s="26"/>
      <c r="K382" s="26"/>
      <c r="L382" s="26"/>
      <c r="M382" s="27"/>
      <c r="N382" s="26"/>
      <c r="O382" s="26"/>
      <c r="P382" s="26"/>
      <c r="Q382" s="26"/>
      <c r="R382" s="26"/>
      <c r="S382" s="26"/>
      <c r="T382" s="26"/>
      <c r="U382" s="26"/>
      <c r="V382" s="26"/>
      <c r="W382" s="26"/>
      <c r="X382" s="26"/>
      <c r="Y382" s="26"/>
    </row>
    <row r="383" spans="1:25" ht="15.75" customHeight="1">
      <c r="A383" s="26"/>
      <c r="B383" s="26"/>
      <c r="C383" s="26"/>
      <c r="D383" s="26"/>
      <c r="E383" s="26"/>
      <c r="F383" s="26"/>
      <c r="G383" s="26"/>
      <c r="H383" s="26"/>
      <c r="I383" s="26"/>
      <c r="J383" s="26"/>
      <c r="K383" s="26"/>
      <c r="L383" s="26"/>
      <c r="M383" s="27"/>
      <c r="N383" s="26"/>
      <c r="O383" s="26"/>
      <c r="P383" s="26"/>
      <c r="Q383" s="26"/>
      <c r="R383" s="26"/>
      <c r="S383" s="26"/>
      <c r="T383" s="26"/>
      <c r="U383" s="26"/>
      <c r="V383" s="26"/>
      <c r="W383" s="26"/>
      <c r="X383" s="26"/>
      <c r="Y383" s="26"/>
    </row>
    <row r="384" spans="1:25" ht="15.75" customHeight="1">
      <c r="A384" s="26"/>
      <c r="B384" s="26"/>
      <c r="C384" s="26"/>
      <c r="D384" s="26"/>
      <c r="E384" s="26"/>
      <c r="F384" s="26"/>
      <c r="G384" s="26"/>
      <c r="H384" s="26"/>
      <c r="I384" s="26"/>
      <c r="J384" s="26"/>
      <c r="K384" s="26"/>
      <c r="L384" s="26"/>
      <c r="M384" s="27"/>
      <c r="N384" s="26"/>
      <c r="O384" s="26"/>
      <c r="P384" s="26"/>
      <c r="Q384" s="26"/>
      <c r="R384" s="26"/>
      <c r="S384" s="26"/>
      <c r="T384" s="26"/>
      <c r="U384" s="26"/>
      <c r="V384" s="26"/>
      <c r="W384" s="26"/>
      <c r="X384" s="26"/>
      <c r="Y384" s="26"/>
    </row>
    <row r="385" spans="1:25" ht="15.75" customHeight="1">
      <c r="A385" s="26"/>
      <c r="B385" s="26"/>
      <c r="C385" s="26"/>
      <c r="D385" s="26"/>
      <c r="E385" s="26"/>
      <c r="F385" s="26"/>
      <c r="G385" s="26"/>
      <c r="H385" s="26"/>
      <c r="I385" s="26"/>
      <c r="J385" s="26"/>
      <c r="K385" s="26"/>
      <c r="L385" s="26"/>
      <c r="M385" s="27"/>
      <c r="N385" s="26"/>
      <c r="O385" s="26"/>
      <c r="P385" s="26"/>
      <c r="Q385" s="26"/>
      <c r="R385" s="26"/>
      <c r="S385" s="26"/>
      <c r="T385" s="26"/>
      <c r="U385" s="26"/>
      <c r="V385" s="26"/>
      <c r="W385" s="26"/>
      <c r="X385" s="26"/>
      <c r="Y385" s="26"/>
    </row>
    <row r="386" spans="1:25" ht="15.75" customHeight="1">
      <c r="A386" s="26"/>
      <c r="B386" s="26"/>
      <c r="C386" s="26"/>
      <c r="D386" s="26"/>
      <c r="E386" s="26"/>
      <c r="F386" s="26"/>
      <c r="G386" s="26"/>
      <c r="H386" s="26"/>
      <c r="I386" s="26"/>
      <c r="J386" s="26"/>
      <c r="K386" s="26"/>
      <c r="L386" s="26"/>
      <c r="M386" s="27"/>
      <c r="N386" s="26"/>
      <c r="O386" s="26"/>
      <c r="P386" s="26"/>
      <c r="Q386" s="26"/>
      <c r="R386" s="26"/>
      <c r="S386" s="26"/>
      <c r="T386" s="26"/>
      <c r="U386" s="26"/>
      <c r="V386" s="26"/>
      <c r="W386" s="26"/>
      <c r="X386" s="26"/>
      <c r="Y386" s="26"/>
    </row>
    <row r="387" spans="1:25" ht="15.75" customHeight="1">
      <c r="A387" s="26"/>
      <c r="B387" s="26"/>
      <c r="C387" s="26"/>
      <c r="D387" s="26"/>
      <c r="E387" s="26"/>
      <c r="F387" s="26"/>
      <c r="G387" s="26"/>
      <c r="H387" s="26"/>
      <c r="I387" s="26"/>
      <c r="J387" s="26"/>
      <c r="K387" s="26"/>
      <c r="L387" s="26"/>
      <c r="M387" s="27"/>
      <c r="N387" s="26"/>
      <c r="O387" s="26"/>
      <c r="P387" s="26"/>
      <c r="Q387" s="26"/>
      <c r="R387" s="26"/>
      <c r="S387" s="26"/>
      <c r="T387" s="26"/>
      <c r="U387" s="26"/>
      <c r="V387" s="26"/>
      <c r="W387" s="26"/>
      <c r="X387" s="26"/>
      <c r="Y387" s="26"/>
    </row>
    <row r="388" spans="1:25" ht="15.75" customHeight="1">
      <c r="A388" s="26"/>
      <c r="B388" s="26"/>
      <c r="C388" s="26"/>
      <c r="D388" s="26"/>
      <c r="E388" s="26"/>
      <c r="F388" s="26"/>
      <c r="G388" s="26"/>
      <c r="H388" s="26"/>
      <c r="I388" s="26"/>
      <c r="J388" s="26"/>
      <c r="K388" s="26"/>
      <c r="L388" s="26"/>
      <c r="M388" s="27"/>
      <c r="N388" s="26"/>
      <c r="O388" s="26"/>
      <c r="P388" s="26"/>
      <c r="Q388" s="26"/>
      <c r="R388" s="26"/>
      <c r="S388" s="26"/>
      <c r="T388" s="26"/>
      <c r="U388" s="26"/>
      <c r="V388" s="26"/>
      <c r="W388" s="26"/>
      <c r="X388" s="26"/>
      <c r="Y388" s="26"/>
    </row>
    <row r="389" spans="1:25" ht="15.75" customHeight="1">
      <c r="A389" s="26"/>
      <c r="B389" s="26"/>
      <c r="C389" s="26"/>
      <c r="D389" s="26"/>
      <c r="E389" s="26"/>
      <c r="F389" s="26"/>
      <c r="G389" s="26"/>
      <c r="H389" s="26"/>
      <c r="I389" s="26"/>
      <c r="J389" s="26"/>
      <c r="K389" s="26"/>
      <c r="L389" s="26"/>
      <c r="M389" s="27"/>
      <c r="N389" s="26"/>
      <c r="O389" s="26"/>
      <c r="P389" s="26"/>
      <c r="Q389" s="26"/>
      <c r="R389" s="26"/>
      <c r="S389" s="26"/>
      <c r="T389" s="26"/>
      <c r="U389" s="26"/>
      <c r="V389" s="26"/>
      <c r="W389" s="26"/>
      <c r="X389" s="26"/>
      <c r="Y389" s="26"/>
    </row>
    <row r="390" spans="1:25" ht="15.75" customHeight="1">
      <c r="A390" s="26"/>
      <c r="B390" s="26"/>
      <c r="C390" s="26"/>
      <c r="D390" s="26"/>
      <c r="E390" s="26"/>
      <c r="F390" s="26"/>
      <c r="G390" s="26"/>
      <c r="H390" s="26"/>
      <c r="I390" s="26"/>
      <c r="J390" s="26"/>
      <c r="K390" s="26"/>
      <c r="L390" s="26"/>
      <c r="M390" s="27"/>
      <c r="N390" s="26"/>
      <c r="O390" s="26"/>
      <c r="P390" s="26"/>
      <c r="Q390" s="26"/>
      <c r="R390" s="26"/>
      <c r="S390" s="26"/>
      <c r="T390" s="26"/>
      <c r="U390" s="26"/>
      <c r="V390" s="26"/>
      <c r="W390" s="26"/>
      <c r="X390" s="26"/>
      <c r="Y390" s="26"/>
    </row>
    <row r="391" spans="1:25" ht="15.75" customHeight="1">
      <c r="A391" s="26"/>
      <c r="B391" s="26"/>
      <c r="C391" s="26"/>
      <c r="D391" s="26"/>
      <c r="E391" s="26"/>
      <c r="F391" s="26"/>
      <c r="G391" s="26"/>
      <c r="H391" s="26"/>
      <c r="I391" s="26"/>
      <c r="J391" s="26"/>
      <c r="K391" s="26"/>
      <c r="L391" s="26"/>
      <c r="M391" s="27"/>
      <c r="N391" s="26"/>
      <c r="O391" s="26"/>
      <c r="P391" s="26"/>
      <c r="Q391" s="26"/>
      <c r="R391" s="26"/>
      <c r="S391" s="26"/>
      <c r="T391" s="26"/>
      <c r="U391" s="26"/>
      <c r="V391" s="26"/>
      <c r="W391" s="26"/>
      <c r="X391" s="26"/>
      <c r="Y391" s="26"/>
    </row>
    <row r="392" spans="1:25" ht="15.75" customHeight="1">
      <c r="A392" s="26"/>
      <c r="B392" s="26"/>
      <c r="C392" s="26"/>
      <c r="D392" s="26"/>
      <c r="E392" s="26"/>
      <c r="F392" s="26"/>
      <c r="G392" s="26"/>
      <c r="H392" s="26"/>
      <c r="I392" s="26"/>
      <c r="J392" s="26"/>
      <c r="K392" s="26"/>
      <c r="L392" s="26"/>
      <c r="M392" s="27"/>
      <c r="N392" s="26"/>
      <c r="O392" s="26"/>
      <c r="P392" s="26"/>
      <c r="Q392" s="26"/>
      <c r="R392" s="26"/>
      <c r="S392" s="26"/>
      <c r="T392" s="26"/>
      <c r="U392" s="26"/>
      <c r="V392" s="26"/>
      <c r="W392" s="26"/>
      <c r="X392" s="26"/>
      <c r="Y392" s="26"/>
    </row>
    <row r="393" spans="1:25" ht="15.75" customHeight="1">
      <c r="A393" s="26"/>
      <c r="B393" s="26"/>
      <c r="C393" s="26"/>
      <c r="D393" s="26"/>
      <c r="E393" s="26"/>
      <c r="F393" s="26"/>
      <c r="G393" s="26"/>
      <c r="H393" s="26"/>
      <c r="I393" s="26"/>
      <c r="J393" s="26"/>
      <c r="K393" s="26"/>
      <c r="L393" s="26"/>
      <c r="M393" s="27"/>
      <c r="N393" s="26"/>
      <c r="O393" s="26"/>
      <c r="P393" s="26"/>
      <c r="Q393" s="26"/>
      <c r="R393" s="26"/>
      <c r="S393" s="26"/>
      <c r="T393" s="26"/>
      <c r="U393" s="26"/>
      <c r="V393" s="26"/>
      <c r="W393" s="26"/>
      <c r="X393" s="26"/>
      <c r="Y393" s="26"/>
    </row>
    <row r="394" spans="1:25" ht="15.75" customHeight="1">
      <c r="A394" s="26"/>
      <c r="B394" s="26"/>
      <c r="C394" s="26"/>
      <c r="D394" s="26"/>
      <c r="E394" s="26"/>
      <c r="F394" s="26"/>
      <c r="G394" s="26"/>
      <c r="H394" s="26"/>
      <c r="I394" s="26"/>
      <c r="J394" s="26"/>
      <c r="K394" s="26"/>
      <c r="L394" s="26"/>
      <c r="M394" s="27"/>
      <c r="N394" s="26"/>
      <c r="O394" s="26"/>
      <c r="P394" s="26"/>
      <c r="Q394" s="26"/>
      <c r="R394" s="26"/>
      <c r="S394" s="26"/>
      <c r="T394" s="26"/>
      <c r="U394" s="26"/>
      <c r="V394" s="26"/>
      <c r="W394" s="26"/>
      <c r="X394" s="26"/>
      <c r="Y394" s="26"/>
    </row>
    <row r="395" spans="1:25" ht="15.75" customHeight="1">
      <c r="A395" s="26"/>
      <c r="B395" s="26"/>
      <c r="C395" s="26"/>
      <c r="D395" s="26"/>
      <c r="E395" s="26"/>
      <c r="F395" s="26"/>
      <c r="G395" s="26"/>
      <c r="H395" s="26"/>
      <c r="I395" s="26"/>
      <c r="J395" s="26"/>
      <c r="K395" s="26"/>
      <c r="L395" s="26"/>
      <c r="M395" s="27"/>
      <c r="N395" s="26"/>
      <c r="O395" s="26"/>
      <c r="P395" s="26"/>
      <c r="Q395" s="26"/>
      <c r="R395" s="26"/>
      <c r="S395" s="26"/>
      <c r="T395" s="26"/>
      <c r="U395" s="26"/>
      <c r="V395" s="26"/>
      <c r="W395" s="26"/>
      <c r="X395" s="26"/>
      <c r="Y395" s="26"/>
    </row>
    <row r="396" spans="1:25" ht="15.75" customHeight="1">
      <c r="A396" s="26"/>
      <c r="B396" s="26"/>
      <c r="C396" s="26"/>
      <c r="D396" s="26"/>
      <c r="E396" s="26"/>
      <c r="F396" s="26"/>
      <c r="G396" s="26"/>
      <c r="H396" s="26"/>
      <c r="I396" s="26"/>
      <c r="J396" s="26"/>
      <c r="K396" s="26"/>
      <c r="L396" s="26"/>
      <c r="M396" s="27"/>
      <c r="N396" s="26"/>
      <c r="O396" s="26"/>
      <c r="P396" s="26"/>
      <c r="Q396" s="26"/>
      <c r="R396" s="26"/>
      <c r="S396" s="26"/>
      <c r="T396" s="26"/>
      <c r="U396" s="26"/>
      <c r="V396" s="26"/>
      <c r="W396" s="26"/>
      <c r="X396" s="26"/>
      <c r="Y396" s="26"/>
    </row>
    <row r="397" spans="1:25" ht="15.75" customHeight="1">
      <c r="A397" s="26"/>
      <c r="B397" s="26"/>
      <c r="C397" s="26"/>
      <c r="D397" s="26"/>
      <c r="E397" s="26"/>
      <c r="F397" s="26"/>
      <c r="G397" s="26"/>
      <c r="H397" s="26"/>
      <c r="I397" s="26"/>
      <c r="J397" s="26"/>
      <c r="K397" s="26"/>
      <c r="L397" s="26"/>
      <c r="M397" s="27"/>
      <c r="N397" s="26"/>
      <c r="O397" s="26"/>
      <c r="P397" s="26"/>
      <c r="Q397" s="26"/>
      <c r="R397" s="26"/>
      <c r="S397" s="26"/>
      <c r="T397" s="26"/>
      <c r="U397" s="26"/>
      <c r="V397" s="26"/>
      <c r="W397" s="26"/>
      <c r="X397" s="26"/>
      <c r="Y397" s="26"/>
    </row>
    <row r="398" spans="1:25" ht="15.75" customHeight="1">
      <c r="A398" s="26"/>
      <c r="B398" s="26"/>
      <c r="C398" s="26"/>
      <c r="D398" s="26"/>
      <c r="E398" s="26"/>
      <c r="F398" s="26"/>
      <c r="G398" s="26"/>
      <c r="H398" s="26"/>
      <c r="I398" s="26"/>
      <c r="J398" s="26"/>
      <c r="K398" s="26"/>
      <c r="L398" s="26"/>
      <c r="M398" s="27"/>
      <c r="N398" s="26"/>
      <c r="O398" s="26"/>
      <c r="P398" s="26"/>
      <c r="Q398" s="26"/>
      <c r="R398" s="26"/>
      <c r="S398" s="26"/>
      <c r="T398" s="26"/>
      <c r="U398" s="26"/>
      <c r="V398" s="26"/>
      <c r="W398" s="26"/>
      <c r="X398" s="26"/>
      <c r="Y398" s="26"/>
    </row>
    <row r="399" spans="1:25" ht="15.75" customHeight="1">
      <c r="A399" s="26"/>
      <c r="B399" s="26"/>
      <c r="C399" s="26"/>
      <c r="D399" s="26"/>
      <c r="E399" s="26"/>
      <c r="F399" s="26"/>
      <c r="G399" s="26"/>
      <c r="H399" s="26"/>
      <c r="I399" s="26"/>
      <c r="J399" s="26"/>
      <c r="K399" s="26"/>
      <c r="L399" s="26"/>
      <c r="M399" s="27"/>
      <c r="N399" s="26"/>
      <c r="O399" s="26"/>
      <c r="P399" s="26"/>
      <c r="Q399" s="26"/>
      <c r="R399" s="26"/>
      <c r="S399" s="26"/>
      <c r="T399" s="26"/>
      <c r="U399" s="26"/>
      <c r="V399" s="26"/>
      <c r="W399" s="26"/>
      <c r="X399" s="26"/>
      <c r="Y399" s="26"/>
    </row>
    <row r="400" spans="1:25" ht="15.75" customHeight="1">
      <c r="A400" s="26"/>
      <c r="B400" s="26"/>
      <c r="C400" s="26"/>
      <c r="D400" s="26"/>
      <c r="E400" s="26"/>
      <c r="F400" s="26"/>
      <c r="G400" s="26"/>
      <c r="H400" s="26"/>
      <c r="I400" s="26"/>
      <c r="J400" s="26"/>
      <c r="K400" s="26"/>
      <c r="L400" s="26"/>
      <c r="M400" s="27"/>
      <c r="N400" s="26"/>
      <c r="O400" s="26"/>
      <c r="P400" s="26"/>
      <c r="Q400" s="26"/>
      <c r="R400" s="26"/>
      <c r="S400" s="26"/>
      <c r="T400" s="26"/>
      <c r="U400" s="26"/>
      <c r="V400" s="26"/>
      <c r="W400" s="26"/>
      <c r="X400" s="26"/>
      <c r="Y400" s="26"/>
    </row>
    <row r="401" spans="1:25" ht="15.75" customHeight="1">
      <c r="A401" s="26"/>
      <c r="B401" s="26"/>
      <c r="C401" s="26"/>
      <c r="D401" s="26"/>
      <c r="E401" s="26"/>
      <c r="F401" s="26"/>
      <c r="G401" s="26"/>
      <c r="H401" s="26"/>
      <c r="I401" s="26"/>
      <c r="J401" s="26"/>
      <c r="K401" s="26"/>
      <c r="L401" s="26"/>
      <c r="M401" s="27"/>
      <c r="N401" s="26"/>
      <c r="O401" s="26"/>
      <c r="P401" s="26"/>
      <c r="Q401" s="26"/>
      <c r="R401" s="26"/>
      <c r="S401" s="26"/>
      <c r="T401" s="26"/>
      <c r="U401" s="26"/>
      <c r="V401" s="26"/>
      <c r="W401" s="26"/>
      <c r="X401" s="26"/>
      <c r="Y401" s="26"/>
    </row>
    <row r="402" spans="1:25" ht="15.75" customHeight="1">
      <c r="A402" s="26"/>
      <c r="B402" s="26"/>
      <c r="C402" s="26"/>
      <c r="D402" s="26"/>
      <c r="E402" s="26"/>
      <c r="F402" s="26"/>
      <c r="G402" s="26"/>
      <c r="H402" s="26"/>
      <c r="I402" s="26"/>
      <c r="J402" s="26"/>
      <c r="K402" s="26"/>
      <c r="L402" s="26"/>
      <c r="M402" s="27"/>
      <c r="N402" s="26"/>
      <c r="O402" s="26"/>
      <c r="P402" s="26"/>
      <c r="Q402" s="26"/>
      <c r="R402" s="26"/>
      <c r="S402" s="26"/>
      <c r="T402" s="26"/>
      <c r="U402" s="26"/>
      <c r="V402" s="26"/>
      <c r="W402" s="26"/>
      <c r="X402" s="26"/>
      <c r="Y402" s="26"/>
    </row>
    <row r="403" spans="1:25" ht="15.75" customHeight="1">
      <c r="A403" s="26"/>
      <c r="B403" s="26"/>
      <c r="C403" s="26"/>
      <c r="D403" s="26"/>
      <c r="E403" s="26"/>
      <c r="F403" s="26"/>
      <c r="G403" s="26"/>
      <c r="H403" s="26"/>
      <c r="I403" s="26"/>
      <c r="J403" s="26"/>
      <c r="K403" s="26"/>
      <c r="L403" s="26"/>
      <c r="M403" s="27"/>
      <c r="N403" s="26"/>
      <c r="O403" s="26"/>
      <c r="P403" s="26"/>
      <c r="Q403" s="26"/>
      <c r="R403" s="26"/>
      <c r="S403" s="26"/>
      <c r="T403" s="26"/>
      <c r="U403" s="26"/>
      <c r="V403" s="26"/>
      <c r="W403" s="26"/>
      <c r="X403" s="26"/>
      <c r="Y403" s="26"/>
    </row>
    <row r="404" spans="1:25" ht="15.75" customHeight="1">
      <c r="A404" s="26"/>
      <c r="B404" s="26"/>
      <c r="C404" s="26"/>
      <c r="D404" s="26"/>
      <c r="E404" s="26"/>
      <c r="F404" s="26"/>
      <c r="G404" s="26"/>
      <c r="H404" s="26"/>
      <c r="I404" s="26"/>
      <c r="J404" s="26"/>
      <c r="K404" s="26"/>
      <c r="L404" s="26"/>
      <c r="M404" s="27"/>
      <c r="N404" s="26"/>
      <c r="O404" s="26"/>
      <c r="P404" s="26"/>
      <c r="Q404" s="26"/>
      <c r="R404" s="26"/>
      <c r="S404" s="26"/>
      <c r="T404" s="26"/>
      <c r="U404" s="26"/>
      <c r="V404" s="26"/>
      <c r="W404" s="26"/>
      <c r="X404" s="26"/>
      <c r="Y404" s="26"/>
    </row>
    <row r="405" spans="1:25" ht="15.75" customHeight="1">
      <c r="A405" s="26"/>
      <c r="B405" s="26"/>
      <c r="C405" s="26"/>
      <c r="D405" s="26"/>
      <c r="E405" s="26"/>
      <c r="F405" s="26"/>
      <c r="G405" s="26"/>
      <c r="H405" s="26"/>
      <c r="I405" s="26"/>
      <c r="J405" s="26"/>
      <c r="K405" s="26"/>
      <c r="L405" s="26"/>
      <c r="M405" s="27"/>
      <c r="N405" s="26"/>
      <c r="O405" s="26"/>
      <c r="P405" s="26"/>
      <c r="Q405" s="26"/>
      <c r="R405" s="26"/>
      <c r="S405" s="26"/>
      <c r="T405" s="26"/>
      <c r="U405" s="26"/>
      <c r="V405" s="26"/>
      <c r="W405" s="26"/>
      <c r="X405" s="26"/>
      <c r="Y405" s="26"/>
    </row>
    <row r="406" spans="1:25" ht="15.75" customHeight="1">
      <c r="A406" s="26"/>
      <c r="B406" s="26"/>
      <c r="C406" s="26"/>
      <c r="D406" s="26"/>
      <c r="E406" s="26"/>
      <c r="F406" s="26"/>
      <c r="G406" s="26"/>
      <c r="H406" s="26"/>
      <c r="I406" s="26"/>
      <c r="J406" s="26"/>
      <c r="K406" s="26"/>
      <c r="L406" s="26"/>
      <c r="M406" s="27"/>
      <c r="N406" s="26"/>
      <c r="O406" s="26"/>
      <c r="P406" s="26"/>
      <c r="Q406" s="26"/>
      <c r="R406" s="26"/>
      <c r="S406" s="26"/>
      <c r="T406" s="26"/>
      <c r="U406" s="26"/>
      <c r="V406" s="26"/>
      <c r="W406" s="26"/>
      <c r="X406" s="26"/>
      <c r="Y406" s="26"/>
    </row>
    <row r="407" spans="1:25" ht="15.75" customHeight="1">
      <c r="A407" s="26"/>
      <c r="B407" s="26"/>
      <c r="C407" s="26"/>
      <c r="D407" s="26"/>
      <c r="E407" s="26"/>
      <c r="F407" s="26"/>
      <c r="G407" s="26"/>
      <c r="H407" s="26"/>
      <c r="I407" s="26"/>
      <c r="J407" s="26"/>
      <c r="K407" s="26"/>
      <c r="L407" s="26"/>
      <c r="M407" s="27"/>
      <c r="N407" s="26"/>
      <c r="O407" s="26"/>
      <c r="P407" s="26"/>
      <c r="Q407" s="26"/>
      <c r="R407" s="26"/>
      <c r="S407" s="26"/>
      <c r="T407" s="26"/>
      <c r="U407" s="26"/>
      <c r="V407" s="26"/>
      <c r="W407" s="26"/>
      <c r="X407" s="26"/>
      <c r="Y407" s="26"/>
    </row>
    <row r="408" spans="1:25" ht="15.75" customHeight="1">
      <c r="A408" s="26"/>
      <c r="B408" s="26"/>
      <c r="C408" s="26"/>
      <c r="D408" s="26"/>
      <c r="E408" s="26"/>
      <c r="F408" s="26"/>
      <c r="G408" s="26"/>
      <c r="H408" s="26"/>
      <c r="I408" s="26"/>
      <c r="J408" s="26"/>
      <c r="K408" s="26"/>
      <c r="L408" s="26"/>
      <c r="M408" s="27"/>
      <c r="N408" s="26"/>
      <c r="O408" s="26"/>
      <c r="P408" s="26"/>
      <c r="Q408" s="26"/>
      <c r="R408" s="26"/>
      <c r="S408" s="26"/>
      <c r="T408" s="26"/>
      <c r="U408" s="26"/>
      <c r="V408" s="26"/>
      <c r="W408" s="26"/>
      <c r="X408" s="26"/>
      <c r="Y408" s="26"/>
    </row>
    <row r="409" spans="1:25" ht="15.75" customHeight="1">
      <c r="A409" s="26"/>
      <c r="B409" s="26"/>
      <c r="C409" s="26"/>
      <c r="D409" s="26"/>
      <c r="E409" s="26"/>
      <c r="F409" s="26"/>
      <c r="G409" s="26"/>
      <c r="H409" s="26"/>
      <c r="I409" s="26"/>
      <c r="J409" s="26"/>
      <c r="K409" s="26"/>
      <c r="L409" s="26"/>
      <c r="M409" s="27"/>
      <c r="N409" s="26"/>
      <c r="O409" s="26"/>
      <c r="P409" s="26"/>
      <c r="Q409" s="26"/>
      <c r="R409" s="26"/>
      <c r="S409" s="26"/>
      <c r="T409" s="26"/>
      <c r="U409" s="26"/>
      <c r="V409" s="26"/>
      <c r="W409" s="26"/>
      <c r="X409" s="26"/>
      <c r="Y409" s="26"/>
    </row>
    <row r="410" spans="1:25" ht="15.75" customHeight="1">
      <c r="A410" s="26"/>
      <c r="B410" s="26"/>
      <c r="C410" s="26"/>
      <c r="D410" s="26"/>
      <c r="E410" s="26"/>
      <c r="F410" s="26"/>
      <c r="G410" s="26"/>
      <c r="H410" s="26"/>
      <c r="I410" s="26"/>
      <c r="J410" s="26"/>
      <c r="K410" s="26"/>
      <c r="L410" s="26"/>
      <c r="M410" s="27"/>
      <c r="N410" s="26"/>
      <c r="O410" s="26"/>
      <c r="P410" s="26"/>
      <c r="Q410" s="26"/>
      <c r="R410" s="26"/>
      <c r="S410" s="26"/>
      <c r="T410" s="26"/>
      <c r="U410" s="26"/>
      <c r="V410" s="26"/>
      <c r="W410" s="26"/>
      <c r="X410" s="26"/>
      <c r="Y410" s="26"/>
    </row>
    <row r="411" spans="1:25" ht="15.75" customHeight="1">
      <c r="A411" s="26"/>
      <c r="B411" s="26"/>
      <c r="C411" s="26"/>
      <c r="D411" s="26"/>
      <c r="E411" s="26"/>
      <c r="F411" s="26"/>
      <c r="G411" s="26"/>
      <c r="H411" s="26"/>
      <c r="I411" s="26"/>
      <c r="J411" s="26"/>
      <c r="K411" s="26"/>
      <c r="L411" s="26"/>
      <c r="M411" s="27"/>
      <c r="N411" s="26"/>
      <c r="O411" s="26"/>
      <c r="P411" s="26"/>
      <c r="Q411" s="26"/>
      <c r="R411" s="26"/>
      <c r="S411" s="26"/>
      <c r="T411" s="26"/>
      <c r="U411" s="26"/>
      <c r="V411" s="26"/>
      <c r="W411" s="26"/>
      <c r="X411" s="26"/>
      <c r="Y411" s="26"/>
    </row>
    <row r="412" spans="1:25" ht="15.75" customHeight="1">
      <c r="A412" s="26"/>
      <c r="B412" s="26"/>
      <c r="C412" s="26"/>
      <c r="D412" s="26"/>
      <c r="E412" s="26"/>
      <c r="F412" s="26"/>
      <c r="G412" s="26"/>
      <c r="H412" s="26"/>
      <c r="I412" s="26"/>
      <c r="J412" s="26"/>
      <c r="K412" s="26"/>
      <c r="L412" s="26"/>
      <c r="M412" s="27"/>
      <c r="N412" s="26"/>
      <c r="O412" s="26"/>
      <c r="P412" s="26"/>
      <c r="Q412" s="26"/>
      <c r="R412" s="26"/>
      <c r="S412" s="26"/>
      <c r="T412" s="26"/>
      <c r="U412" s="26"/>
      <c r="V412" s="26"/>
      <c r="W412" s="26"/>
      <c r="X412" s="26"/>
      <c r="Y412" s="26"/>
    </row>
    <row r="413" spans="1:25" ht="15.75" customHeight="1">
      <c r="A413" s="26"/>
      <c r="B413" s="26"/>
      <c r="C413" s="26"/>
      <c r="D413" s="26"/>
      <c r="E413" s="26"/>
      <c r="F413" s="26"/>
      <c r="G413" s="26"/>
      <c r="H413" s="26"/>
      <c r="I413" s="26"/>
      <c r="J413" s="26"/>
      <c r="K413" s="26"/>
      <c r="L413" s="26"/>
      <c r="M413" s="27"/>
      <c r="N413" s="26"/>
      <c r="O413" s="26"/>
      <c r="P413" s="26"/>
      <c r="Q413" s="26"/>
      <c r="R413" s="26"/>
      <c r="S413" s="26"/>
      <c r="T413" s="26"/>
      <c r="U413" s="26"/>
      <c r="V413" s="26"/>
      <c r="W413" s="26"/>
      <c r="X413" s="26"/>
      <c r="Y413" s="26"/>
    </row>
    <row r="414" spans="1:25" ht="15.75" customHeight="1">
      <c r="A414" s="26"/>
      <c r="B414" s="26"/>
      <c r="C414" s="26"/>
      <c r="D414" s="26"/>
      <c r="E414" s="26"/>
      <c r="F414" s="26"/>
      <c r="G414" s="26"/>
      <c r="H414" s="26"/>
      <c r="I414" s="26"/>
      <c r="J414" s="26"/>
      <c r="K414" s="26"/>
      <c r="L414" s="26"/>
      <c r="M414" s="27"/>
      <c r="N414" s="26"/>
      <c r="O414" s="26"/>
      <c r="P414" s="26"/>
      <c r="Q414" s="26"/>
      <c r="R414" s="26"/>
      <c r="S414" s="26"/>
      <c r="T414" s="26"/>
      <c r="U414" s="26"/>
      <c r="V414" s="26"/>
      <c r="W414" s="26"/>
      <c r="X414" s="26"/>
      <c r="Y414" s="26"/>
    </row>
    <row r="415" spans="1:25" ht="15.75" customHeight="1">
      <c r="A415" s="26"/>
      <c r="B415" s="26"/>
      <c r="C415" s="26"/>
      <c r="D415" s="26"/>
      <c r="E415" s="26"/>
      <c r="F415" s="26"/>
      <c r="G415" s="26"/>
      <c r="H415" s="26"/>
      <c r="I415" s="26"/>
      <c r="J415" s="26"/>
      <c r="K415" s="26"/>
      <c r="L415" s="26"/>
      <c r="M415" s="27"/>
      <c r="N415" s="26"/>
      <c r="O415" s="26"/>
      <c r="P415" s="26"/>
      <c r="Q415" s="26"/>
      <c r="R415" s="26"/>
      <c r="S415" s="26"/>
      <c r="T415" s="26"/>
      <c r="U415" s="26"/>
      <c r="V415" s="26"/>
      <c r="W415" s="26"/>
      <c r="X415" s="26"/>
      <c r="Y415" s="26"/>
    </row>
    <row r="416" spans="1:25" ht="15.75" customHeight="1">
      <c r="A416" s="26"/>
      <c r="B416" s="26"/>
      <c r="C416" s="26"/>
      <c r="D416" s="26"/>
      <c r="E416" s="26"/>
      <c r="F416" s="26"/>
      <c r="G416" s="26"/>
      <c r="H416" s="26"/>
      <c r="I416" s="26"/>
      <c r="J416" s="26"/>
      <c r="K416" s="26"/>
      <c r="L416" s="26"/>
      <c r="M416" s="27"/>
      <c r="N416" s="26"/>
      <c r="O416" s="26"/>
      <c r="P416" s="26"/>
      <c r="Q416" s="26"/>
      <c r="R416" s="26"/>
      <c r="S416" s="26"/>
      <c r="T416" s="26"/>
      <c r="U416" s="26"/>
      <c r="V416" s="26"/>
      <c r="W416" s="26"/>
      <c r="X416" s="26"/>
      <c r="Y416" s="26"/>
    </row>
    <row r="417" spans="1:25" ht="15.75" customHeight="1">
      <c r="A417" s="26"/>
      <c r="B417" s="26"/>
      <c r="C417" s="26"/>
      <c r="D417" s="26"/>
      <c r="E417" s="26"/>
      <c r="F417" s="26"/>
      <c r="G417" s="26"/>
      <c r="H417" s="26"/>
      <c r="I417" s="26"/>
      <c r="J417" s="26"/>
      <c r="K417" s="26"/>
      <c r="L417" s="26"/>
      <c r="M417" s="27"/>
      <c r="N417" s="26"/>
      <c r="O417" s="26"/>
      <c r="P417" s="26"/>
      <c r="Q417" s="26"/>
      <c r="R417" s="26"/>
      <c r="S417" s="26"/>
      <c r="T417" s="26"/>
      <c r="U417" s="26"/>
      <c r="V417" s="26"/>
      <c r="W417" s="26"/>
      <c r="X417" s="26"/>
      <c r="Y417" s="26"/>
    </row>
    <row r="418" spans="1:25" ht="15.75" customHeight="1">
      <c r="A418" s="26"/>
      <c r="B418" s="26"/>
      <c r="C418" s="26"/>
      <c r="D418" s="26"/>
      <c r="E418" s="26"/>
      <c r="F418" s="26"/>
      <c r="G418" s="26"/>
      <c r="H418" s="26"/>
      <c r="I418" s="26"/>
      <c r="J418" s="26"/>
      <c r="K418" s="26"/>
      <c r="L418" s="26"/>
      <c r="M418" s="27"/>
      <c r="N418" s="26"/>
      <c r="O418" s="26"/>
      <c r="P418" s="26"/>
      <c r="Q418" s="26"/>
      <c r="R418" s="26"/>
      <c r="S418" s="26"/>
      <c r="T418" s="26"/>
      <c r="U418" s="26"/>
      <c r="V418" s="26"/>
      <c r="W418" s="26"/>
      <c r="X418" s="26"/>
      <c r="Y418" s="26"/>
    </row>
    <row r="419" spans="1:25" ht="15.75" customHeight="1">
      <c r="A419" s="26"/>
      <c r="B419" s="26"/>
      <c r="C419" s="26"/>
      <c r="D419" s="26"/>
      <c r="E419" s="26"/>
      <c r="F419" s="26"/>
      <c r="G419" s="26"/>
      <c r="H419" s="26"/>
      <c r="I419" s="26"/>
      <c r="J419" s="26"/>
      <c r="K419" s="26"/>
      <c r="L419" s="26"/>
      <c r="M419" s="27"/>
      <c r="N419" s="26"/>
      <c r="O419" s="26"/>
      <c r="P419" s="26"/>
      <c r="Q419" s="26"/>
      <c r="R419" s="26"/>
      <c r="S419" s="26"/>
      <c r="T419" s="26"/>
      <c r="U419" s="26"/>
      <c r="V419" s="26"/>
      <c r="W419" s="26"/>
      <c r="X419" s="26"/>
      <c r="Y419" s="26"/>
    </row>
    <row r="420" spans="1:25" ht="15.75" customHeight="1">
      <c r="A420" s="26"/>
      <c r="B420" s="26"/>
      <c r="C420" s="26"/>
      <c r="D420" s="26"/>
      <c r="E420" s="26"/>
      <c r="F420" s="26"/>
      <c r="G420" s="26"/>
      <c r="H420" s="26"/>
      <c r="I420" s="26"/>
      <c r="J420" s="26"/>
      <c r="K420" s="26"/>
      <c r="L420" s="26"/>
      <c r="M420" s="27"/>
      <c r="N420" s="26"/>
      <c r="O420" s="26"/>
      <c r="P420" s="26"/>
      <c r="Q420" s="26"/>
      <c r="R420" s="26"/>
      <c r="S420" s="26"/>
      <c r="T420" s="26"/>
      <c r="U420" s="26"/>
      <c r="V420" s="26"/>
      <c r="W420" s="26"/>
      <c r="X420" s="26"/>
      <c r="Y420" s="26"/>
    </row>
    <row r="421" spans="1:25" ht="15.75" customHeight="1">
      <c r="A421" s="26"/>
      <c r="B421" s="26"/>
      <c r="C421" s="26"/>
      <c r="D421" s="26"/>
      <c r="E421" s="26"/>
      <c r="F421" s="26"/>
      <c r="G421" s="26"/>
      <c r="H421" s="26"/>
      <c r="I421" s="26"/>
      <c r="J421" s="26"/>
      <c r="K421" s="26"/>
      <c r="L421" s="26"/>
      <c r="M421" s="27"/>
      <c r="N421" s="26"/>
      <c r="O421" s="26"/>
      <c r="P421" s="26"/>
      <c r="Q421" s="26"/>
      <c r="R421" s="26"/>
      <c r="S421" s="26"/>
      <c r="T421" s="26"/>
      <c r="U421" s="26"/>
      <c r="V421" s="26"/>
      <c r="W421" s="26"/>
      <c r="X421" s="26"/>
      <c r="Y421" s="26"/>
    </row>
    <row r="422" spans="1:25" ht="15.75" customHeight="1">
      <c r="A422" s="26"/>
      <c r="B422" s="26"/>
      <c r="C422" s="26"/>
      <c r="D422" s="26"/>
      <c r="E422" s="26"/>
      <c r="F422" s="26"/>
      <c r="G422" s="26"/>
      <c r="H422" s="26"/>
      <c r="I422" s="26"/>
      <c r="J422" s="26"/>
      <c r="K422" s="26"/>
      <c r="L422" s="26"/>
      <c r="M422" s="27"/>
      <c r="N422" s="26"/>
      <c r="O422" s="26"/>
      <c r="P422" s="26"/>
      <c r="Q422" s="26"/>
      <c r="R422" s="26"/>
      <c r="S422" s="26"/>
      <c r="T422" s="26"/>
      <c r="U422" s="26"/>
      <c r="V422" s="26"/>
      <c r="W422" s="26"/>
      <c r="X422" s="26"/>
      <c r="Y422" s="26"/>
    </row>
    <row r="423" spans="1:25" ht="15.75" customHeight="1">
      <c r="A423" s="26"/>
      <c r="B423" s="26"/>
      <c r="C423" s="26"/>
      <c r="D423" s="26"/>
      <c r="E423" s="26"/>
      <c r="F423" s="26"/>
      <c r="G423" s="26"/>
      <c r="H423" s="26"/>
      <c r="I423" s="26"/>
      <c r="J423" s="26"/>
      <c r="K423" s="26"/>
      <c r="L423" s="26"/>
      <c r="M423" s="27"/>
      <c r="N423" s="26"/>
      <c r="O423" s="26"/>
      <c r="P423" s="26"/>
      <c r="Q423" s="26"/>
      <c r="R423" s="26"/>
      <c r="S423" s="26"/>
      <c r="T423" s="26"/>
      <c r="U423" s="26"/>
      <c r="V423" s="26"/>
      <c r="W423" s="26"/>
      <c r="X423" s="26"/>
      <c r="Y423" s="26"/>
    </row>
    <row r="424" spans="1:25" ht="15.75" customHeight="1">
      <c r="A424" s="26"/>
      <c r="B424" s="26"/>
      <c r="C424" s="26"/>
      <c r="D424" s="26"/>
      <c r="E424" s="26"/>
      <c r="F424" s="26"/>
      <c r="G424" s="26"/>
      <c r="H424" s="26"/>
      <c r="I424" s="26"/>
      <c r="J424" s="26"/>
      <c r="K424" s="26"/>
      <c r="L424" s="26"/>
      <c r="M424" s="27"/>
      <c r="N424" s="26"/>
      <c r="O424" s="26"/>
      <c r="P424" s="26"/>
      <c r="Q424" s="26"/>
      <c r="R424" s="26"/>
      <c r="S424" s="26"/>
      <c r="T424" s="26"/>
      <c r="U424" s="26"/>
      <c r="V424" s="26"/>
      <c r="W424" s="26"/>
      <c r="X424" s="26"/>
      <c r="Y424" s="26"/>
    </row>
    <row r="425" spans="1:25" ht="15.75" customHeight="1">
      <c r="A425" s="26"/>
      <c r="B425" s="26"/>
      <c r="C425" s="26"/>
      <c r="D425" s="26"/>
      <c r="E425" s="26"/>
      <c r="F425" s="26"/>
      <c r="G425" s="26"/>
      <c r="H425" s="26"/>
      <c r="I425" s="26"/>
      <c r="J425" s="26"/>
      <c r="K425" s="26"/>
      <c r="L425" s="26"/>
      <c r="M425" s="27"/>
      <c r="N425" s="26"/>
      <c r="O425" s="26"/>
      <c r="P425" s="26"/>
      <c r="Q425" s="26"/>
      <c r="R425" s="26"/>
      <c r="S425" s="26"/>
      <c r="T425" s="26"/>
      <c r="U425" s="26"/>
      <c r="V425" s="26"/>
      <c r="W425" s="26"/>
      <c r="X425" s="26"/>
      <c r="Y425" s="26"/>
    </row>
    <row r="426" spans="1:25" ht="15.75" customHeight="1">
      <c r="A426" s="26"/>
      <c r="B426" s="26"/>
      <c r="C426" s="26"/>
      <c r="D426" s="26"/>
      <c r="E426" s="26"/>
      <c r="F426" s="26"/>
      <c r="G426" s="26"/>
      <c r="H426" s="26"/>
      <c r="I426" s="26"/>
      <c r="J426" s="26"/>
      <c r="K426" s="26"/>
      <c r="L426" s="26"/>
      <c r="M426" s="27"/>
      <c r="N426" s="26"/>
      <c r="O426" s="26"/>
      <c r="P426" s="26"/>
      <c r="Q426" s="26"/>
      <c r="R426" s="26"/>
      <c r="S426" s="26"/>
      <c r="T426" s="26"/>
      <c r="U426" s="26"/>
      <c r="V426" s="26"/>
      <c r="W426" s="26"/>
      <c r="X426" s="26"/>
      <c r="Y426" s="26"/>
    </row>
    <row r="427" spans="1:25" ht="15.75" customHeight="1">
      <c r="A427" s="26"/>
      <c r="B427" s="26"/>
      <c r="C427" s="26"/>
      <c r="D427" s="26"/>
      <c r="E427" s="26"/>
      <c r="F427" s="26"/>
      <c r="G427" s="26"/>
      <c r="H427" s="26"/>
      <c r="I427" s="26"/>
      <c r="J427" s="26"/>
      <c r="K427" s="26"/>
      <c r="L427" s="26"/>
      <c r="M427" s="27"/>
      <c r="N427" s="26"/>
      <c r="O427" s="26"/>
      <c r="P427" s="26"/>
      <c r="Q427" s="26"/>
      <c r="R427" s="26"/>
      <c r="S427" s="26"/>
      <c r="T427" s="26"/>
      <c r="U427" s="26"/>
      <c r="V427" s="26"/>
      <c r="W427" s="26"/>
      <c r="X427" s="26"/>
      <c r="Y427" s="26"/>
    </row>
    <row r="428" spans="1:25" ht="15.75" customHeight="1">
      <c r="A428" s="26"/>
      <c r="B428" s="26"/>
      <c r="C428" s="26"/>
      <c r="D428" s="26"/>
      <c r="E428" s="26"/>
      <c r="F428" s="26"/>
      <c r="G428" s="26"/>
      <c r="H428" s="26"/>
      <c r="I428" s="26"/>
      <c r="J428" s="26"/>
      <c r="K428" s="26"/>
      <c r="L428" s="26"/>
      <c r="M428" s="27"/>
      <c r="N428" s="26"/>
      <c r="O428" s="26"/>
      <c r="P428" s="26"/>
      <c r="Q428" s="26"/>
      <c r="R428" s="26"/>
      <c r="S428" s="26"/>
      <c r="T428" s="26"/>
      <c r="U428" s="26"/>
      <c r="V428" s="26"/>
      <c r="W428" s="26"/>
      <c r="X428" s="26"/>
      <c r="Y428" s="26"/>
    </row>
    <row r="429" spans="1:25" ht="15.75" customHeight="1">
      <c r="A429" s="26"/>
      <c r="B429" s="26"/>
      <c r="C429" s="26"/>
      <c r="D429" s="26"/>
      <c r="E429" s="26"/>
      <c r="F429" s="26"/>
      <c r="G429" s="26"/>
      <c r="H429" s="26"/>
      <c r="I429" s="26"/>
      <c r="J429" s="26"/>
      <c r="K429" s="26"/>
      <c r="L429" s="26"/>
      <c r="M429" s="27"/>
      <c r="N429" s="26"/>
      <c r="O429" s="26"/>
      <c r="P429" s="26"/>
      <c r="Q429" s="26"/>
      <c r="R429" s="26"/>
      <c r="S429" s="26"/>
      <c r="T429" s="26"/>
      <c r="U429" s="26"/>
      <c r="V429" s="26"/>
      <c r="W429" s="26"/>
      <c r="X429" s="26"/>
      <c r="Y429" s="26"/>
    </row>
    <row r="430" spans="1:25" ht="15.75" customHeight="1">
      <c r="A430" s="26"/>
      <c r="B430" s="26"/>
      <c r="C430" s="26"/>
      <c r="D430" s="26"/>
      <c r="E430" s="26"/>
      <c r="F430" s="26"/>
      <c r="G430" s="26"/>
      <c r="H430" s="26"/>
      <c r="I430" s="26"/>
      <c r="J430" s="26"/>
      <c r="K430" s="26"/>
      <c r="L430" s="26"/>
      <c r="M430" s="27"/>
      <c r="N430" s="26"/>
      <c r="O430" s="26"/>
      <c r="P430" s="26"/>
      <c r="Q430" s="26"/>
      <c r="R430" s="26"/>
      <c r="S430" s="26"/>
      <c r="T430" s="26"/>
      <c r="U430" s="26"/>
      <c r="V430" s="26"/>
      <c r="W430" s="26"/>
      <c r="X430" s="26"/>
      <c r="Y430" s="26"/>
    </row>
    <row r="431" spans="1:25" ht="15.75" customHeight="1">
      <c r="A431" s="26"/>
      <c r="B431" s="26"/>
      <c r="C431" s="26"/>
      <c r="D431" s="26"/>
      <c r="E431" s="26"/>
      <c r="F431" s="26"/>
      <c r="G431" s="26"/>
      <c r="H431" s="26"/>
      <c r="I431" s="26"/>
      <c r="J431" s="26"/>
      <c r="K431" s="26"/>
      <c r="L431" s="26"/>
      <c r="M431" s="27"/>
      <c r="N431" s="26"/>
      <c r="O431" s="26"/>
      <c r="P431" s="26"/>
      <c r="Q431" s="26"/>
      <c r="R431" s="26"/>
      <c r="S431" s="26"/>
      <c r="T431" s="26"/>
      <c r="U431" s="26"/>
      <c r="V431" s="26"/>
      <c r="W431" s="26"/>
      <c r="X431" s="26"/>
      <c r="Y431" s="26"/>
    </row>
    <row r="432" spans="1:25" ht="15.75" customHeight="1">
      <c r="A432" s="26"/>
      <c r="B432" s="26"/>
      <c r="C432" s="26"/>
      <c r="D432" s="26"/>
      <c r="E432" s="26"/>
      <c r="F432" s="26"/>
      <c r="G432" s="26"/>
      <c r="H432" s="26"/>
      <c r="I432" s="26"/>
      <c r="J432" s="26"/>
      <c r="K432" s="26"/>
      <c r="L432" s="26"/>
      <c r="M432" s="27"/>
      <c r="N432" s="26"/>
      <c r="O432" s="26"/>
      <c r="P432" s="26"/>
      <c r="Q432" s="26"/>
      <c r="R432" s="26"/>
      <c r="S432" s="26"/>
      <c r="T432" s="26"/>
      <c r="U432" s="26"/>
      <c r="V432" s="26"/>
      <c r="W432" s="26"/>
      <c r="X432" s="26"/>
      <c r="Y432" s="26"/>
    </row>
    <row r="433" spans="1:25" ht="15.75" customHeight="1">
      <c r="A433" s="26"/>
      <c r="B433" s="26"/>
      <c r="C433" s="26"/>
      <c r="D433" s="26"/>
      <c r="E433" s="26"/>
      <c r="F433" s="26"/>
      <c r="G433" s="26"/>
      <c r="H433" s="26"/>
      <c r="I433" s="26"/>
      <c r="J433" s="26"/>
      <c r="K433" s="26"/>
      <c r="L433" s="26"/>
      <c r="M433" s="27"/>
      <c r="N433" s="26"/>
      <c r="O433" s="26"/>
      <c r="P433" s="26"/>
      <c r="Q433" s="26"/>
      <c r="R433" s="26"/>
      <c r="S433" s="26"/>
      <c r="T433" s="26"/>
      <c r="U433" s="26"/>
      <c r="V433" s="26"/>
      <c r="W433" s="26"/>
      <c r="X433" s="26"/>
      <c r="Y433" s="26"/>
    </row>
    <row r="434" spans="1:25" ht="15.75" customHeight="1">
      <c r="A434" s="26"/>
      <c r="B434" s="26"/>
      <c r="C434" s="26"/>
      <c r="D434" s="26"/>
      <c r="E434" s="26"/>
      <c r="F434" s="26"/>
      <c r="G434" s="26"/>
      <c r="H434" s="26"/>
      <c r="I434" s="26"/>
      <c r="J434" s="26"/>
      <c r="K434" s="26"/>
      <c r="L434" s="26"/>
      <c r="M434" s="27"/>
      <c r="N434" s="26"/>
      <c r="O434" s="26"/>
      <c r="P434" s="26"/>
      <c r="Q434" s="26"/>
      <c r="R434" s="26"/>
      <c r="S434" s="26"/>
      <c r="T434" s="26"/>
      <c r="U434" s="26"/>
      <c r="V434" s="26"/>
      <c r="W434" s="26"/>
      <c r="X434" s="26"/>
      <c r="Y434" s="26"/>
    </row>
    <row r="435" spans="1:25" ht="15.75" customHeight="1">
      <c r="A435" s="26"/>
      <c r="B435" s="26"/>
      <c r="C435" s="26"/>
      <c r="D435" s="26"/>
      <c r="E435" s="26"/>
      <c r="F435" s="26"/>
      <c r="G435" s="26"/>
      <c r="H435" s="26"/>
      <c r="I435" s="26"/>
      <c r="J435" s="26"/>
      <c r="K435" s="26"/>
      <c r="L435" s="26"/>
      <c r="M435" s="27"/>
      <c r="N435" s="26"/>
      <c r="O435" s="26"/>
      <c r="P435" s="26"/>
      <c r="Q435" s="26"/>
      <c r="R435" s="26"/>
      <c r="S435" s="26"/>
      <c r="T435" s="26"/>
      <c r="U435" s="26"/>
      <c r="V435" s="26"/>
      <c r="W435" s="26"/>
      <c r="X435" s="26"/>
      <c r="Y435" s="26"/>
    </row>
    <row r="436" spans="1:25" ht="15.75" customHeight="1">
      <c r="A436" s="26"/>
      <c r="B436" s="26"/>
      <c r="C436" s="26"/>
      <c r="D436" s="26"/>
      <c r="E436" s="26"/>
      <c r="F436" s="26"/>
      <c r="G436" s="26"/>
      <c r="H436" s="26"/>
      <c r="I436" s="26"/>
      <c r="J436" s="26"/>
      <c r="K436" s="26"/>
      <c r="L436" s="26"/>
      <c r="M436" s="27"/>
      <c r="N436" s="26"/>
      <c r="O436" s="26"/>
      <c r="P436" s="26"/>
      <c r="Q436" s="26"/>
      <c r="R436" s="26"/>
      <c r="S436" s="26"/>
      <c r="T436" s="26"/>
      <c r="U436" s="26"/>
      <c r="V436" s="26"/>
      <c r="W436" s="26"/>
      <c r="X436" s="26"/>
      <c r="Y436" s="26"/>
    </row>
    <row r="437" spans="1:25" ht="15.75" customHeight="1">
      <c r="A437" s="26"/>
      <c r="B437" s="26"/>
      <c r="C437" s="26"/>
      <c r="D437" s="26"/>
      <c r="E437" s="26"/>
      <c r="F437" s="26"/>
      <c r="G437" s="26"/>
      <c r="H437" s="26"/>
      <c r="I437" s="26"/>
      <c r="J437" s="26"/>
      <c r="K437" s="26"/>
      <c r="L437" s="26"/>
      <c r="M437" s="27"/>
      <c r="N437" s="26"/>
      <c r="O437" s="26"/>
      <c r="P437" s="26"/>
      <c r="Q437" s="26"/>
      <c r="R437" s="26"/>
      <c r="S437" s="26"/>
      <c r="T437" s="26"/>
      <c r="U437" s="26"/>
      <c r="V437" s="26"/>
      <c r="W437" s="26"/>
      <c r="X437" s="26"/>
      <c r="Y437" s="26"/>
    </row>
    <row r="438" spans="1:25" ht="15.75" customHeight="1">
      <c r="A438" s="26"/>
      <c r="B438" s="26"/>
      <c r="C438" s="26"/>
      <c r="D438" s="26"/>
      <c r="E438" s="26"/>
      <c r="F438" s="26"/>
      <c r="G438" s="26"/>
      <c r="H438" s="26"/>
      <c r="I438" s="26"/>
      <c r="J438" s="26"/>
      <c r="K438" s="26"/>
      <c r="L438" s="26"/>
      <c r="M438" s="27"/>
      <c r="N438" s="26"/>
      <c r="O438" s="26"/>
      <c r="P438" s="26"/>
      <c r="Q438" s="26"/>
      <c r="R438" s="26"/>
      <c r="S438" s="26"/>
      <c r="T438" s="26"/>
      <c r="U438" s="26"/>
      <c r="V438" s="26"/>
      <c r="W438" s="26"/>
      <c r="X438" s="26"/>
      <c r="Y438" s="26"/>
    </row>
    <row r="439" spans="1:25" ht="15.75" customHeight="1">
      <c r="A439" s="26"/>
      <c r="B439" s="26"/>
      <c r="C439" s="26"/>
      <c r="D439" s="26"/>
      <c r="E439" s="26"/>
      <c r="F439" s="26"/>
      <c r="G439" s="26"/>
      <c r="H439" s="26"/>
      <c r="I439" s="26"/>
      <c r="J439" s="26"/>
      <c r="K439" s="26"/>
      <c r="L439" s="26"/>
      <c r="M439" s="27"/>
      <c r="N439" s="26"/>
      <c r="O439" s="26"/>
      <c r="P439" s="26"/>
      <c r="Q439" s="26"/>
      <c r="R439" s="26"/>
      <c r="S439" s="26"/>
      <c r="T439" s="26"/>
      <c r="U439" s="26"/>
      <c r="V439" s="26"/>
      <c r="W439" s="26"/>
      <c r="X439" s="26"/>
      <c r="Y439" s="26"/>
    </row>
    <row r="440" spans="1:25" ht="15.75" customHeight="1">
      <c r="A440" s="26"/>
      <c r="B440" s="26"/>
      <c r="C440" s="26"/>
      <c r="D440" s="26"/>
      <c r="E440" s="26"/>
      <c r="F440" s="26"/>
      <c r="G440" s="26"/>
      <c r="H440" s="26"/>
      <c r="I440" s="26"/>
      <c r="J440" s="26"/>
      <c r="K440" s="26"/>
      <c r="L440" s="26"/>
      <c r="M440" s="27"/>
      <c r="N440" s="26"/>
      <c r="O440" s="26"/>
      <c r="P440" s="26"/>
      <c r="Q440" s="26"/>
      <c r="R440" s="26"/>
      <c r="S440" s="26"/>
      <c r="T440" s="26"/>
      <c r="U440" s="26"/>
      <c r="V440" s="26"/>
      <c r="W440" s="26"/>
      <c r="X440" s="26"/>
      <c r="Y440" s="26"/>
    </row>
    <row r="441" spans="1:25" ht="15.75" customHeight="1">
      <c r="A441" s="26"/>
      <c r="B441" s="26"/>
      <c r="C441" s="26"/>
      <c r="D441" s="26"/>
      <c r="E441" s="26"/>
      <c r="F441" s="26"/>
      <c r="G441" s="26"/>
      <c r="H441" s="26"/>
      <c r="I441" s="26"/>
      <c r="J441" s="26"/>
      <c r="K441" s="26"/>
      <c r="L441" s="26"/>
      <c r="M441" s="27"/>
      <c r="N441" s="26"/>
      <c r="O441" s="26"/>
      <c r="P441" s="26"/>
      <c r="Q441" s="26"/>
      <c r="R441" s="26"/>
      <c r="S441" s="26"/>
      <c r="T441" s="26"/>
      <c r="U441" s="26"/>
      <c r="V441" s="26"/>
      <c r="W441" s="26"/>
      <c r="X441" s="26"/>
      <c r="Y441" s="26"/>
    </row>
    <row r="442" spans="1:25" ht="15.75" customHeight="1">
      <c r="A442" s="26"/>
      <c r="B442" s="26"/>
      <c r="C442" s="26"/>
      <c r="D442" s="26"/>
      <c r="E442" s="26"/>
      <c r="F442" s="26"/>
      <c r="G442" s="26"/>
      <c r="H442" s="26"/>
      <c r="I442" s="26"/>
      <c r="J442" s="26"/>
      <c r="K442" s="26"/>
      <c r="L442" s="26"/>
      <c r="M442" s="27"/>
      <c r="N442" s="26"/>
      <c r="O442" s="26"/>
      <c r="P442" s="26"/>
      <c r="Q442" s="26"/>
      <c r="R442" s="26"/>
      <c r="S442" s="26"/>
      <c r="T442" s="26"/>
      <c r="U442" s="26"/>
      <c r="V442" s="26"/>
      <c r="W442" s="26"/>
      <c r="X442" s="26"/>
      <c r="Y442" s="26"/>
    </row>
    <row r="443" spans="1:25" ht="15.75" customHeight="1">
      <c r="A443" s="26"/>
      <c r="B443" s="26"/>
      <c r="C443" s="26"/>
      <c r="D443" s="26"/>
      <c r="E443" s="26"/>
      <c r="F443" s="26"/>
      <c r="G443" s="26"/>
      <c r="H443" s="26"/>
      <c r="I443" s="26"/>
      <c r="J443" s="26"/>
      <c r="K443" s="26"/>
      <c r="L443" s="26"/>
      <c r="M443" s="27"/>
      <c r="N443" s="26"/>
      <c r="O443" s="26"/>
      <c r="P443" s="26"/>
      <c r="Q443" s="26"/>
      <c r="R443" s="26"/>
      <c r="S443" s="26"/>
      <c r="T443" s="26"/>
      <c r="U443" s="26"/>
      <c r="V443" s="26"/>
      <c r="W443" s="26"/>
      <c r="X443" s="26"/>
      <c r="Y443" s="26"/>
    </row>
    <row r="444" spans="1:25" ht="15.75" customHeight="1">
      <c r="A444" s="26"/>
      <c r="B444" s="26"/>
      <c r="C444" s="26"/>
      <c r="D444" s="26"/>
      <c r="E444" s="26"/>
      <c r="F444" s="26"/>
      <c r="G444" s="26"/>
      <c r="H444" s="26"/>
      <c r="I444" s="26"/>
      <c r="J444" s="26"/>
      <c r="K444" s="26"/>
      <c r="L444" s="26"/>
      <c r="M444" s="27"/>
      <c r="N444" s="26"/>
      <c r="O444" s="26"/>
      <c r="P444" s="26"/>
      <c r="Q444" s="26"/>
      <c r="R444" s="26"/>
      <c r="S444" s="26"/>
      <c r="T444" s="26"/>
      <c r="U444" s="26"/>
      <c r="V444" s="26"/>
      <c r="W444" s="26"/>
      <c r="X444" s="26"/>
      <c r="Y444" s="26"/>
    </row>
    <row r="445" spans="1:25" ht="15.75" customHeight="1">
      <c r="A445" s="26"/>
      <c r="B445" s="26"/>
      <c r="C445" s="26"/>
      <c r="D445" s="26"/>
      <c r="E445" s="26"/>
      <c r="F445" s="26"/>
      <c r="G445" s="26"/>
      <c r="H445" s="26"/>
      <c r="I445" s="26"/>
      <c r="J445" s="26"/>
      <c r="K445" s="26"/>
      <c r="L445" s="26"/>
      <c r="M445" s="27"/>
      <c r="N445" s="26"/>
      <c r="O445" s="26"/>
      <c r="P445" s="26"/>
      <c r="Q445" s="26"/>
      <c r="R445" s="26"/>
      <c r="S445" s="26"/>
      <c r="T445" s="26"/>
      <c r="U445" s="26"/>
      <c r="V445" s="26"/>
      <c r="W445" s="26"/>
      <c r="X445" s="26"/>
      <c r="Y445" s="26"/>
    </row>
    <row r="446" spans="1:25" ht="15.75" customHeight="1">
      <c r="A446" s="26"/>
      <c r="B446" s="26"/>
      <c r="C446" s="26"/>
      <c r="D446" s="26"/>
      <c r="E446" s="26"/>
      <c r="F446" s="26"/>
      <c r="G446" s="26"/>
      <c r="H446" s="26"/>
      <c r="I446" s="26"/>
      <c r="J446" s="26"/>
      <c r="K446" s="26"/>
      <c r="L446" s="26"/>
      <c r="M446" s="27"/>
      <c r="N446" s="26"/>
      <c r="O446" s="26"/>
      <c r="P446" s="26"/>
      <c r="Q446" s="26"/>
      <c r="R446" s="26"/>
      <c r="S446" s="26"/>
      <c r="T446" s="26"/>
      <c r="U446" s="26"/>
      <c r="V446" s="26"/>
      <c r="W446" s="26"/>
      <c r="X446" s="26"/>
      <c r="Y446" s="26"/>
    </row>
    <row r="447" spans="1:25" ht="15.75" customHeight="1">
      <c r="A447" s="26"/>
      <c r="B447" s="26"/>
      <c r="C447" s="26"/>
      <c r="D447" s="26"/>
      <c r="E447" s="26"/>
      <c r="F447" s="26"/>
      <c r="G447" s="26"/>
      <c r="H447" s="26"/>
      <c r="I447" s="26"/>
      <c r="J447" s="26"/>
      <c r="K447" s="26"/>
      <c r="L447" s="26"/>
      <c r="M447" s="27"/>
      <c r="N447" s="26"/>
      <c r="O447" s="26"/>
      <c r="P447" s="26"/>
      <c r="Q447" s="26"/>
      <c r="R447" s="26"/>
      <c r="S447" s="26"/>
      <c r="T447" s="26"/>
      <c r="U447" s="26"/>
      <c r="V447" s="26"/>
      <c r="W447" s="26"/>
      <c r="X447" s="26"/>
      <c r="Y447" s="26"/>
    </row>
    <row r="448" spans="1:25" ht="15.75" customHeight="1">
      <c r="A448" s="26"/>
      <c r="B448" s="26"/>
      <c r="C448" s="26"/>
      <c r="D448" s="26"/>
      <c r="E448" s="26"/>
      <c r="F448" s="26"/>
      <c r="G448" s="26"/>
      <c r="H448" s="26"/>
      <c r="I448" s="26"/>
      <c r="J448" s="26"/>
      <c r="K448" s="26"/>
      <c r="L448" s="26"/>
      <c r="M448" s="27"/>
      <c r="N448" s="26"/>
      <c r="O448" s="26"/>
      <c r="P448" s="26"/>
      <c r="Q448" s="26"/>
      <c r="R448" s="26"/>
      <c r="S448" s="26"/>
      <c r="T448" s="26"/>
      <c r="U448" s="26"/>
      <c r="V448" s="26"/>
      <c r="W448" s="26"/>
      <c r="X448" s="26"/>
      <c r="Y448" s="26"/>
    </row>
    <row r="449" spans="1:25" ht="15.75" customHeight="1">
      <c r="A449" s="26"/>
      <c r="B449" s="26"/>
      <c r="C449" s="26"/>
      <c r="D449" s="26"/>
      <c r="E449" s="26"/>
      <c r="F449" s="26"/>
      <c r="G449" s="26"/>
      <c r="H449" s="26"/>
      <c r="I449" s="26"/>
      <c r="J449" s="26"/>
      <c r="K449" s="26"/>
      <c r="L449" s="26"/>
      <c r="M449" s="27"/>
      <c r="N449" s="26"/>
      <c r="O449" s="26"/>
      <c r="P449" s="26"/>
      <c r="Q449" s="26"/>
      <c r="R449" s="26"/>
      <c r="S449" s="26"/>
      <c r="T449" s="26"/>
      <c r="U449" s="26"/>
      <c r="V449" s="26"/>
      <c r="W449" s="26"/>
      <c r="X449" s="26"/>
      <c r="Y449" s="26"/>
    </row>
    <row r="450" spans="1:25" ht="15.75" customHeight="1">
      <c r="A450" s="26"/>
      <c r="B450" s="26"/>
      <c r="C450" s="26"/>
      <c r="D450" s="26"/>
      <c r="E450" s="26"/>
      <c r="F450" s="26"/>
      <c r="G450" s="26"/>
      <c r="H450" s="26"/>
      <c r="I450" s="26"/>
      <c r="J450" s="26"/>
      <c r="K450" s="26"/>
      <c r="L450" s="26"/>
      <c r="M450" s="27"/>
      <c r="N450" s="26"/>
      <c r="O450" s="26"/>
      <c r="P450" s="26"/>
      <c r="Q450" s="26"/>
      <c r="R450" s="26"/>
      <c r="S450" s="26"/>
      <c r="T450" s="26"/>
      <c r="U450" s="26"/>
      <c r="V450" s="26"/>
      <c r="W450" s="26"/>
      <c r="X450" s="26"/>
      <c r="Y450" s="26"/>
    </row>
    <row r="451" spans="1:25" ht="15.75" customHeight="1">
      <c r="A451" s="26"/>
      <c r="B451" s="26"/>
      <c r="C451" s="26"/>
      <c r="D451" s="26"/>
      <c r="E451" s="26"/>
      <c r="F451" s="26"/>
      <c r="G451" s="26"/>
      <c r="H451" s="26"/>
      <c r="I451" s="26"/>
      <c r="J451" s="26"/>
      <c r="K451" s="26"/>
      <c r="L451" s="26"/>
      <c r="M451" s="27"/>
      <c r="N451" s="26"/>
      <c r="O451" s="26"/>
      <c r="P451" s="26"/>
      <c r="Q451" s="26"/>
      <c r="R451" s="26"/>
      <c r="S451" s="26"/>
      <c r="T451" s="26"/>
      <c r="U451" s="26"/>
      <c r="V451" s="26"/>
      <c r="W451" s="26"/>
      <c r="X451" s="26"/>
      <c r="Y451" s="26"/>
    </row>
    <row r="452" spans="1:25" ht="15.75" customHeight="1">
      <c r="A452" s="26"/>
      <c r="B452" s="26"/>
      <c r="C452" s="26"/>
      <c r="D452" s="26"/>
      <c r="E452" s="26"/>
      <c r="F452" s="26"/>
      <c r="G452" s="26"/>
      <c r="H452" s="26"/>
      <c r="I452" s="26"/>
      <c r="J452" s="26"/>
      <c r="K452" s="26"/>
      <c r="L452" s="26"/>
      <c r="M452" s="27"/>
      <c r="N452" s="26"/>
      <c r="O452" s="26"/>
      <c r="P452" s="26"/>
      <c r="Q452" s="26"/>
      <c r="R452" s="26"/>
      <c r="S452" s="26"/>
      <c r="T452" s="26"/>
      <c r="U452" s="26"/>
      <c r="V452" s="26"/>
      <c r="W452" s="26"/>
      <c r="X452" s="26"/>
      <c r="Y452" s="26"/>
    </row>
    <row r="453" spans="1:25" ht="15.75" customHeight="1">
      <c r="A453" s="26"/>
      <c r="B453" s="26"/>
      <c r="C453" s="26"/>
      <c r="D453" s="26"/>
      <c r="E453" s="26"/>
      <c r="F453" s="26"/>
      <c r="G453" s="26"/>
      <c r="H453" s="26"/>
      <c r="I453" s="26"/>
      <c r="J453" s="26"/>
      <c r="K453" s="26"/>
      <c r="L453" s="26"/>
      <c r="M453" s="27"/>
      <c r="N453" s="26"/>
      <c r="O453" s="26"/>
      <c r="P453" s="26"/>
      <c r="Q453" s="26"/>
      <c r="R453" s="26"/>
      <c r="S453" s="26"/>
      <c r="T453" s="26"/>
      <c r="U453" s="26"/>
      <c r="V453" s="26"/>
      <c r="W453" s="26"/>
      <c r="X453" s="26"/>
      <c r="Y453" s="26"/>
    </row>
    <row r="454" spans="1:25" ht="15.75" customHeight="1">
      <c r="A454" s="26"/>
      <c r="B454" s="26"/>
      <c r="C454" s="26"/>
      <c r="D454" s="26"/>
      <c r="E454" s="26"/>
      <c r="F454" s="26"/>
      <c r="G454" s="26"/>
      <c r="H454" s="26"/>
      <c r="I454" s="26"/>
      <c r="J454" s="26"/>
      <c r="K454" s="26"/>
      <c r="L454" s="26"/>
      <c r="M454" s="27"/>
      <c r="N454" s="26"/>
      <c r="O454" s="26"/>
      <c r="P454" s="26"/>
      <c r="Q454" s="26"/>
      <c r="R454" s="26"/>
      <c r="S454" s="26"/>
      <c r="T454" s="26"/>
      <c r="U454" s="26"/>
      <c r="V454" s="26"/>
      <c r="W454" s="26"/>
      <c r="X454" s="26"/>
      <c r="Y454" s="26"/>
    </row>
    <row r="455" spans="1:25" ht="15.75" customHeight="1">
      <c r="A455" s="26"/>
      <c r="B455" s="26"/>
      <c r="C455" s="26"/>
      <c r="D455" s="26"/>
      <c r="E455" s="26"/>
      <c r="F455" s="26"/>
      <c r="G455" s="26"/>
      <c r="H455" s="26"/>
      <c r="I455" s="26"/>
      <c r="J455" s="26"/>
      <c r="K455" s="26"/>
      <c r="L455" s="26"/>
      <c r="M455" s="27"/>
      <c r="N455" s="26"/>
      <c r="O455" s="26"/>
      <c r="P455" s="26"/>
      <c r="Q455" s="26"/>
      <c r="R455" s="26"/>
      <c r="S455" s="26"/>
      <c r="T455" s="26"/>
      <c r="U455" s="26"/>
      <c r="V455" s="26"/>
      <c r="W455" s="26"/>
      <c r="X455" s="26"/>
      <c r="Y455" s="26"/>
    </row>
    <row r="456" spans="1:25" ht="15.75" customHeight="1">
      <c r="A456" s="26"/>
      <c r="B456" s="26"/>
      <c r="C456" s="26"/>
      <c r="D456" s="26"/>
      <c r="E456" s="26"/>
      <c r="F456" s="26"/>
      <c r="G456" s="26"/>
      <c r="H456" s="26"/>
      <c r="I456" s="26"/>
      <c r="J456" s="26"/>
      <c r="K456" s="26"/>
      <c r="L456" s="26"/>
      <c r="M456" s="27"/>
      <c r="N456" s="26"/>
      <c r="O456" s="26"/>
      <c r="P456" s="26"/>
      <c r="Q456" s="26"/>
      <c r="R456" s="26"/>
      <c r="S456" s="26"/>
      <c r="T456" s="26"/>
      <c r="U456" s="26"/>
      <c r="V456" s="26"/>
      <c r="W456" s="26"/>
      <c r="X456" s="26"/>
      <c r="Y456" s="26"/>
    </row>
    <row r="457" spans="1:25" ht="15.75" customHeight="1">
      <c r="A457" s="26"/>
      <c r="B457" s="26"/>
      <c r="C457" s="26"/>
      <c r="D457" s="26"/>
      <c r="E457" s="26"/>
      <c r="F457" s="26"/>
      <c r="G457" s="26"/>
      <c r="H457" s="26"/>
      <c r="I457" s="26"/>
      <c r="J457" s="26"/>
      <c r="K457" s="26"/>
      <c r="L457" s="26"/>
      <c r="M457" s="27"/>
      <c r="N457" s="26"/>
      <c r="O457" s="26"/>
      <c r="P457" s="26"/>
      <c r="Q457" s="26"/>
      <c r="R457" s="26"/>
      <c r="S457" s="26"/>
      <c r="T457" s="26"/>
      <c r="U457" s="26"/>
      <c r="V457" s="26"/>
      <c r="W457" s="26"/>
      <c r="X457" s="26"/>
      <c r="Y457" s="26"/>
    </row>
    <row r="458" spans="1:25" ht="15.75" customHeight="1">
      <c r="A458" s="26"/>
      <c r="B458" s="26"/>
      <c r="C458" s="26"/>
      <c r="D458" s="26"/>
      <c r="E458" s="26"/>
      <c r="F458" s="26"/>
      <c r="G458" s="26"/>
      <c r="H458" s="26"/>
      <c r="I458" s="26"/>
      <c r="J458" s="26"/>
      <c r="K458" s="26"/>
      <c r="L458" s="26"/>
      <c r="M458" s="27"/>
      <c r="N458" s="26"/>
      <c r="O458" s="26"/>
      <c r="P458" s="26"/>
      <c r="Q458" s="26"/>
      <c r="R458" s="26"/>
      <c r="S458" s="26"/>
      <c r="T458" s="26"/>
      <c r="U458" s="26"/>
      <c r="V458" s="26"/>
      <c r="W458" s="26"/>
      <c r="X458" s="26"/>
      <c r="Y458" s="26"/>
    </row>
    <row r="459" spans="1:25" ht="15.75" customHeight="1">
      <c r="A459" s="26"/>
      <c r="B459" s="26"/>
      <c r="C459" s="26"/>
      <c r="D459" s="26"/>
      <c r="E459" s="26"/>
      <c r="F459" s="26"/>
      <c r="G459" s="26"/>
      <c r="H459" s="26"/>
      <c r="I459" s="26"/>
      <c r="J459" s="26"/>
      <c r="K459" s="26"/>
      <c r="L459" s="26"/>
      <c r="M459" s="27"/>
      <c r="N459" s="26"/>
      <c r="O459" s="26"/>
      <c r="P459" s="26"/>
      <c r="Q459" s="26"/>
      <c r="R459" s="26"/>
      <c r="S459" s="26"/>
      <c r="T459" s="26"/>
      <c r="U459" s="26"/>
      <c r="V459" s="26"/>
      <c r="W459" s="26"/>
      <c r="X459" s="26"/>
      <c r="Y459" s="26"/>
    </row>
    <row r="460" spans="1:25" ht="15.75" customHeight="1">
      <c r="A460" s="26"/>
      <c r="B460" s="26"/>
      <c r="C460" s="26"/>
      <c r="D460" s="26"/>
      <c r="E460" s="26"/>
      <c r="F460" s="26"/>
      <c r="G460" s="26"/>
      <c r="H460" s="26"/>
      <c r="I460" s="26"/>
      <c r="J460" s="26"/>
      <c r="K460" s="26"/>
      <c r="L460" s="26"/>
      <c r="M460" s="27"/>
      <c r="N460" s="26"/>
      <c r="O460" s="26"/>
      <c r="P460" s="26"/>
      <c r="Q460" s="26"/>
      <c r="R460" s="26"/>
      <c r="S460" s="26"/>
      <c r="T460" s="26"/>
      <c r="U460" s="26"/>
      <c r="V460" s="26"/>
      <c r="W460" s="26"/>
      <c r="X460" s="26"/>
      <c r="Y460" s="26"/>
    </row>
    <row r="461" spans="1:25" ht="15.75" customHeight="1">
      <c r="A461" s="26"/>
      <c r="B461" s="26"/>
      <c r="C461" s="26"/>
      <c r="D461" s="26"/>
      <c r="E461" s="26"/>
      <c r="F461" s="26"/>
      <c r="G461" s="26"/>
      <c r="H461" s="26"/>
      <c r="I461" s="26"/>
      <c r="J461" s="26"/>
      <c r="K461" s="26"/>
      <c r="L461" s="26"/>
      <c r="M461" s="27"/>
      <c r="N461" s="26"/>
      <c r="O461" s="26"/>
      <c r="P461" s="26"/>
      <c r="Q461" s="26"/>
      <c r="R461" s="26"/>
      <c r="S461" s="26"/>
      <c r="T461" s="26"/>
      <c r="U461" s="26"/>
      <c r="V461" s="26"/>
      <c r="W461" s="26"/>
      <c r="X461" s="26"/>
      <c r="Y461" s="26"/>
    </row>
    <row r="462" spans="1:25" ht="15.75" customHeight="1">
      <c r="A462" s="26"/>
      <c r="B462" s="26"/>
      <c r="C462" s="26"/>
      <c r="D462" s="26"/>
      <c r="E462" s="26"/>
      <c r="F462" s="26"/>
      <c r="G462" s="26"/>
      <c r="H462" s="26"/>
      <c r="I462" s="26"/>
      <c r="J462" s="26"/>
      <c r="K462" s="26"/>
      <c r="L462" s="26"/>
      <c r="M462" s="27"/>
      <c r="N462" s="26"/>
      <c r="O462" s="26"/>
      <c r="P462" s="26"/>
      <c r="Q462" s="26"/>
      <c r="R462" s="26"/>
      <c r="S462" s="26"/>
      <c r="T462" s="26"/>
      <c r="U462" s="26"/>
      <c r="V462" s="26"/>
      <c r="W462" s="26"/>
      <c r="X462" s="26"/>
      <c r="Y462" s="26"/>
    </row>
    <row r="463" spans="1:25" ht="15.75" customHeight="1">
      <c r="A463" s="26"/>
      <c r="B463" s="26"/>
      <c r="C463" s="26"/>
      <c r="D463" s="26"/>
      <c r="E463" s="26"/>
      <c r="F463" s="26"/>
      <c r="G463" s="26"/>
      <c r="H463" s="26"/>
      <c r="I463" s="26"/>
      <c r="J463" s="26"/>
      <c r="K463" s="26"/>
      <c r="L463" s="26"/>
      <c r="M463" s="27"/>
      <c r="N463" s="26"/>
      <c r="O463" s="26"/>
      <c r="P463" s="26"/>
      <c r="Q463" s="26"/>
      <c r="R463" s="26"/>
      <c r="S463" s="26"/>
      <c r="T463" s="26"/>
      <c r="U463" s="26"/>
      <c r="V463" s="26"/>
      <c r="W463" s="26"/>
      <c r="X463" s="26"/>
      <c r="Y463" s="26"/>
    </row>
    <row r="464" spans="1:25" ht="15.75" customHeight="1">
      <c r="A464" s="26"/>
      <c r="B464" s="26"/>
      <c r="C464" s="26"/>
      <c r="D464" s="26"/>
      <c r="E464" s="26"/>
      <c r="F464" s="26"/>
      <c r="G464" s="26"/>
      <c r="H464" s="26"/>
      <c r="I464" s="26"/>
      <c r="J464" s="26"/>
      <c r="K464" s="26"/>
      <c r="L464" s="26"/>
      <c r="M464" s="27"/>
      <c r="N464" s="26"/>
      <c r="O464" s="26"/>
      <c r="P464" s="26"/>
      <c r="Q464" s="26"/>
      <c r="R464" s="26"/>
      <c r="S464" s="26"/>
      <c r="T464" s="26"/>
      <c r="U464" s="26"/>
      <c r="V464" s="26"/>
      <c r="W464" s="26"/>
      <c r="X464" s="26"/>
      <c r="Y464" s="26"/>
    </row>
    <row r="465" spans="1:25" ht="15.75" customHeight="1">
      <c r="A465" s="26"/>
      <c r="B465" s="26"/>
      <c r="C465" s="26"/>
      <c r="D465" s="26"/>
      <c r="E465" s="26"/>
      <c r="F465" s="26"/>
      <c r="G465" s="26"/>
      <c r="H465" s="26"/>
      <c r="I465" s="26"/>
      <c r="J465" s="26"/>
      <c r="K465" s="26"/>
      <c r="L465" s="26"/>
      <c r="M465" s="27"/>
      <c r="N465" s="26"/>
      <c r="O465" s="26"/>
      <c r="P465" s="26"/>
      <c r="Q465" s="26"/>
      <c r="R465" s="26"/>
      <c r="S465" s="26"/>
      <c r="T465" s="26"/>
      <c r="U465" s="26"/>
      <c r="V465" s="26"/>
      <c r="W465" s="26"/>
      <c r="X465" s="26"/>
      <c r="Y465" s="26"/>
    </row>
    <row r="466" spans="1:25" ht="15.75" customHeight="1">
      <c r="A466" s="26"/>
      <c r="B466" s="26"/>
      <c r="C466" s="26"/>
      <c r="D466" s="26"/>
      <c r="E466" s="26"/>
      <c r="F466" s="26"/>
      <c r="G466" s="26"/>
      <c r="H466" s="26"/>
      <c r="I466" s="26"/>
      <c r="J466" s="26"/>
      <c r="K466" s="26"/>
      <c r="L466" s="26"/>
      <c r="M466" s="27"/>
      <c r="N466" s="26"/>
      <c r="O466" s="26"/>
      <c r="P466" s="26"/>
      <c r="Q466" s="26"/>
      <c r="R466" s="26"/>
      <c r="S466" s="26"/>
      <c r="T466" s="26"/>
      <c r="U466" s="26"/>
      <c r="V466" s="26"/>
      <c r="W466" s="26"/>
      <c r="X466" s="26"/>
      <c r="Y466" s="26"/>
    </row>
    <row r="467" spans="1:25" ht="15.75" customHeight="1">
      <c r="A467" s="26"/>
      <c r="B467" s="26"/>
      <c r="C467" s="26"/>
      <c r="D467" s="26"/>
      <c r="E467" s="26"/>
      <c r="F467" s="26"/>
      <c r="G467" s="26"/>
      <c r="H467" s="26"/>
      <c r="I467" s="26"/>
      <c r="J467" s="26"/>
      <c r="K467" s="26"/>
      <c r="L467" s="26"/>
      <c r="M467" s="27"/>
      <c r="N467" s="26"/>
      <c r="O467" s="26"/>
      <c r="P467" s="26"/>
      <c r="Q467" s="26"/>
      <c r="R467" s="26"/>
      <c r="S467" s="26"/>
      <c r="T467" s="26"/>
      <c r="U467" s="26"/>
      <c r="V467" s="26"/>
      <c r="W467" s="26"/>
      <c r="X467" s="26"/>
      <c r="Y467" s="26"/>
    </row>
    <row r="468" spans="1:25" ht="15.75" customHeight="1">
      <c r="A468" s="26"/>
      <c r="B468" s="26"/>
      <c r="C468" s="26"/>
      <c r="D468" s="26"/>
      <c r="E468" s="26"/>
      <c r="F468" s="26"/>
      <c r="G468" s="26"/>
      <c r="H468" s="26"/>
      <c r="I468" s="26"/>
      <c r="J468" s="26"/>
      <c r="K468" s="26"/>
      <c r="L468" s="26"/>
      <c r="M468" s="27"/>
      <c r="N468" s="26"/>
      <c r="O468" s="26"/>
      <c r="P468" s="26"/>
      <c r="Q468" s="26"/>
      <c r="R468" s="26"/>
      <c r="S468" s="26"/>
      <c r="T468" s="26"/>
      <c r="U468" s="26"/>
      <c r="V468" s="26"/>
      <c r="W468" s="26"/>
      <c r="X468" s="26"/>
      <c r="Y468" s="26"/>
    </row>
    <row r="469" spans="1:25" ht="15.75" customHeight="1">
      <c r="A469" s="26"/>
      <c r="B469" s="26"/>
      <c r="C469" s="26"/>
      <c r="D469" s="26"/>
      <c r="E469" s="26"/>
      <c r="F469" s="26"/>
      <c r="G469" s="26"/>
      <c r="H469" s="26"/>
      <c r="I469" s="26"/>
      <c r="J469" s="26"/>
      <c r="K469" s="26"/>
      <c r="L469" s="26"/>
      <c r="M469" s="27"/>
      <c r="N469" s="26"/>
      <c r="O469" s="26"/>
      <c r="P469" s="26"/>
      <c r="Q469" s="26"/>
      <c r="R469" s="26"/>
      <c r="S469" s="26"/>
      <c r="T469" s="26"/>
      <c r="U469" s="26"/>
      <c r="V469" s="26"/>
      <c r="W469" s="26"/>
      <c r="X469" s="26"/>
      <c r="Y469" s="26"/>
    </row>
    <row r="470" spans="1:25" ht="15.75" customHeight="1">
      <c r="A470" s="26"/>
      <c r="B470" s="26"/>
      <c r="C470" s="26"/>
      <c r="D470" s="26"/>
      <c r="E470" s="26"/>
      <c r="F470" s="26"/>
      <c r="G470" s="26"/>
      <c r="H470" s="26"/>
      <c r="I470" s="26"/>
      <c r="J470" s="26"/>
      <c r="K470" s="26"/>
      <c r="L470" s="26"/>
      <c r="M470" s="27"/>
      <c r="N470" s="26"/>
      <c r="O470" s="26"/>
      <c r="P470" s="26"/>
      <c r="Q470" s="26"/>
      <c r="R470" s="26"/>
      <c r="S470" s="26"/>
      <c r="T470" s="26"/>
      <c r="U470" s="26"/>
      <c r="V470" s="26"/>
      <c r="W470" s="26"/>
      <c r="X470" s="26"/>
      <c r="Y470" s="26"/>
    </row>
    <row r="471" spans="1:25" ht="15.75" customHeight="1">
      <c r="A471" s="26"/>
      <c r="B471" s="26"/>
      <c r="C471" s="26"/>
      <c r="D471" s="26"/>
      <c r="E471" s="26"/>
      <c r="F471" s="26"/>
      <c r="G471" s="26"/>
      <c r="H471" s="26"/>
      <c r="I471" s="26"/>
      <c r="J471" s="26"/>
      <c r="K471" s="26"/>
      <c r="L471" s="26"/>
      <c r="M471" s="27"/>
      <c r="N471" s="26"/>
      <c r="O471" s="26"/>
      <c r="P471" s="26"/>
      <c r="Q471" s="26"/>
      <c r="R471" s="26"/>
      <c r="S471" s="26"/>
      <c r="T471" s="26"/>
      <c r="U471" s="26"/>
      <c r="V471" s="26"/>
      <c r="W471" s="26"/>
      <c r="X471" s="26"/>
      <c r="Y471" s="26"/>
    </row>
    <row r="472" spans="1:25" ht="15.75" customHeight="1">
      <c r="A472" s="26"/>
      <c r="B472" s="26"/>
      <c r="C472" s="26"/>
      <c r="D472" s="26"/>
      <c r="E472" s="26"/>
      <c r="F472" s="26"/>
      <c r="G472" s="26"/>
      <c r="H472" s="26"/>
      <c r="I472" s="26"/>
      <c r="J472" s="26"/>
      <c r="K472" s="26"/>
      <c r="L472" s="26"/>
      <c r="M472" s="27"/>
      <c r="N472" s="26"/>
      <c r="O472" s="26"/>
      <c r="P472" s="26"/>
      <c r="Q472" s="26"/>
      <c r="R472" s="26"/>
      <c r="S472" s="26"/>
      <c r="T472" s="26"/>
      <c r="U472" s="26"/>
      <c r="V472" s="26"/>
      <c r="W472" s="26"/>
      <c r="X472" s="26"/>
      <c r="Y472" s="26"/>
    </row>
    <row r="473" spans="1:25" ht="15.75" customHeight="1">
      <c r="A473" s="26"/>
      <c r="B473" s="26"/>
      <c r="C473" s="26"/>
      <c r="D473" s="26"/>
      <c r="E473" s="26"/>
      <c r="F473" s="26"/>
      <c r="G473" s="26"/>
      <c r="H473" s="26"/>
      <c r="I473" s="26"/>
      <c r="J473" s="26"/>
      <c r="K473" s="26"/>
      <c r="L473" s="26"/>
      <c r="M473" s="27"/>
      <c r="N473" s="26"/>
      <c r="O473" s="26"/>
      <c r="P473" s="26"/>
      <c r="Q473" s="26"/>
      <c r="R473" s="26"/>
      <c r="S473" s="26"/>
      <c r="T473" s="26"/>
      <c r="U473" s="26"/>
      <c r="V473" s="26"/>
      <c r="W473" s="26"/>
      <c r="X473" s="26"/>
      <c r="Y473" s="26"/>
    </row>
    <row r="474" spans="1:25" ht="15.75" customHeight="1">
      <c r="A474" s="26"/>
      <c r="B474" s="26"/>
      <c r="C474" s="26"/>
      <c r="D474" s="26"/>
      <c r="E474" s="26"/>
      <c r="F474" s="26"/>
      <c r="G474" s="26"/>
      <c r="H474" s="26"/>
      <c r="I474" s="26"/>
      <c r="J474" s="26"/>
      <c r="K474" s="26"/>
      <c r="L474" s="26"/>
      <c r="M474" s="27"/>
      <c r="N474" s="26"/>
      <c r="O474" s="26"/>
      <c r="P474" s="26"/>
      <c r="Q474" s="26"/>
      <c r="R474" s="26"/>
      <c r="S474" s="26"/>
      <c r="T474" s="26"/>
      <c r="U474" s="26"/>
      <c r="V474" s="26"/>
      <c r="W474" s="26"/>
      <c r="X474" s="26"/>
      <c r="Y474" s="26"/>
    </row>
    <row r="475" spans="1:25" ht="15.75" customHeight="1">
      <c r="A475" s="26"/>
      <c r="B475" s="26"/>
      <c r="C475" s="26"/>
      <c r="D475" s="26"/>
      <c r="E475" s="26"/>
      <c r="F475" s="26"/>
      <c r="G475" s="26"/>
      <c r="H475" s="26"/>
      <c r="I475" s="26"/>
      <c r="J475" s="26"/>
      <c r="K475" s="26"/>
      <c r="L475" s="26"/>
      <c r="M475" s="27"/>
      <c r="N475" s="26"/>
      <c r="O475" s="26"/>
      <c r="P475" s="26"/>
      <c r="Q475" s="26"/>
      <c r="R475" s="26"/>
      <c r="S475" s="26"/>
      <c r="T475" s="26"/>
      <c r="U475" s="26"/>
      <c r="V475" s="26"/>
      <c r="W475" s="26"/>
      <c r="X475" s="26"/>
      <c r="Y475" s="26"/>
    </row>
    <row r="476" spans="1:25" ht="15.75" customHeight="1">
      <c r="A476" s="26"/>
      <c r="B476" s="26"/>
      <c r="C476" s="26"/>
      <c r="D476" s="26"/>
      <c r="E476" s="26"/>
      <c r="F476" s="26"/>
      <c r="G476" s="26"/>
      <c r="H476" s="26"/>
      <c r="I476" s="26"/>
      <c r="J476" s="26"/>
      <c r="K476" s="26"/>
      <c r="L476" s="26"/>
      <c r="M476" s="27"/>
      <c r="N476" s="26"/>
      <c r="O476" s="26"/>
      <c r="P476" s="26"/>
      <c r="Q476" s="26"/>
      <c r="R476" s="26"/>
      <c r="S476" s="26"/>
      <c r="T476" s="26"/>
      <c r="U476" s="26"/>
      <c r="V476" s="26"/>
      <c r="W476" s="26"/>
      <c r="X476" s="26"/>
      <c r="Y476" s="26"/>
    </row>
    <row r="477" spans="1:25" ht="15.75" customHeight="1">
      <c r="A477" s="26"/>
      <c r="B477" s="26"/>
      <c r="C477" s="26"/>
      <c r="D477" s="26"/>
      <c r="E477" s="26"/>
      <c r="F477" s="26"/>
      <c r="G477" s="26"/>
      <c r="H477" s="26"/>
      <c r="I477" s="26"/>
      <c r="J477" s="26"/>
      <c r="K477" s="26"/>
      <c r="L477" s="26"/>
      <c r="M477" s="27"/>
      <c r="N477" s="26"/>
      <c r="O477" s="26"/>
      <c r="P477" s="26"/>
      <c r="Q477" s="26"/>
      <c r="R477" s="26"/>
      <c r="S477" s="26"/>
      <c r="T477" s="26"/>
      <c r="U477" s="26"/>
      <c r="V477" s="26"/>
      <c r="W477" s="26"/>
      <c r="X477" s="26"/>
      <c r="Y477" s="26"/>
    </row>
    <row r="478" spans="1:25" ht="15.75" customHeight="1">
      <c r="A478" s="26"/>
      <c r="B478" s="26"/>
      <c r="C478" s="26"/>
      <c r="D478" s="26"/>
      <c r="E478" s="26"/>
      <c r="F478" s="26"/>
      <c r="G478" s="26"/>
      <c r="H478" s="26"/>
      <c r="I478" s="26"/>
      <c r="J478" s="26"/>
      <c r="K478" s="26"/>
      <c r="L478" s="26"/>
      <c r="M478" s="27"/>
      <c r="N478" s="26"/>
      <c r="O478" s="26"/>
      <c r="P478" s="26"/>
      <c r="Q478" s="26"/>
      <c r="R478" s="26"/>
      <c r="S478" s="26"/>
      <c r="T478" s="26"/>
      <c r="U478" s="26"/>
      <c r="V478" s="26"/>
      <c r="W478" s="26"/>
      <c r="X478" s="26"/>
      <c r="Y478" s="26"/>
    </row>
    <row r="479" spans="1:25" ht="15.75" customHeight="1">
      <c r="A479" s="26"/>
      <c r="B479" s="26"/>
      <c r="C479" s="26"/>
      <c r="D479" s="26"/>
      <c r="E479" s="26"/>
      <c r="F479" s="26"/>
      <c r="G479" s="26"/>
      <c r="H479" s="26"/>
      <c r="I479" s="26"/>
      <c r="J479" s="26"/>
      <c r="K479" s="26"/>
      <c r="L479" s="26"/>
      <c r="M479" s="27"/>
      <c r="N479" s="26"/>
      <c r="O479" s="26"/>
      <c r="P479" s="26"/>
      <c r="Q479" s="26"/>
      <c r="R479" s="26"/>
      <c r="S479" s="26"/>
      <c r="T479" s="26"/>
      <c r="U479" s="26"/>
      <c r="V479" s="26"/>
      <c r="W479" s="26"/>
      <c r="X479" s="26"/>
      <c r="Y479" s="26"/>
    </row>
    <row r="480" spans="1:25" ht="15.75" customHeight="1">
      <c r="A480" s="26"/>
      <c r="B480" s="26"/>
      <c r="C480" s="26"/>
      <c r="D480" s="26"/>
      <c r="E480" s="26"/>
      <c r="F480" s="26"/>
      <c r="G480" s="26"/>
      <c r="H480" s="26"/>
      <c r="I480" s="26"/>
      <c r="J480" s="26"/>
      <c r="K480" s="26"/>
      <c r="L480" s="26"/>
      <c r="M480" s="27"/>
      <c r="N480" s="26"/>
      <c r="O480" s="26"/>
      <c r="P480" s="26"/>
      <c r="Q480" s="26"/>
      <c r="R480" s="26"/>
      <c r="S480" s="26"/>
      <c r="T480" s="26"/>
      <c r="U480" s="26"/>
      <c r="V480" s="26"/>
      <c r="W480" s="26"/>
      <c r="X480" s="26"/>
      <c r="Y480" s="26"/>
    </row>
    <row r="481" spans="1:25" ht="15.75" customHeight="1">
      <c r="A481" s="26"/>
      <c r="B481" s="26"/>
      <c r="C481" s="26"/>
      <c r="D481" s="26"/>
      <c r="E481" s="26"/>
      <c r="F481" s="26"/>
      <c r="G481" s="26"/>
      <c r="H481" s="26"/>
      <c r="I481" s="26"/>
      <c r="J481" s="26"/>
      <c r="K481" s="26"/>
      <c r="L481" s="26"/>
      <c r="M481" s="27"/>
      <c r="N481" s="26"/>
      <c r="O481" s="26"/>
      <c r="P481" s="26"/>
      <c r="Q481" s="26"/>
      <c r="R481" s="26"/>
      <c r="S481" s="26"/>
      <c r="T481" s="26"/>
      <c r="U481" s="26"/>
      <c r="V481" s="26"/>
      <c r="W481" s="26"/>
      <c r="X481" s="26"/>
      <c r="Y481" s="26"/>
    </row>
    <row r="482" spans="1:25" ht="15.75" customHeight="1">
      <c r="A482" s="26"/>
      <c r="B482" s="26"/>
      <c r="C482" s="26"/>
      <c r="D482" s="26"/>
      <c r="E482" s="26"/>
      <c r="F482" s="26"/>
      <c r="G482" s="26"/>
      <c r="H482" s="26"/>
      <c r="I482" s="26"/>
      <c r="J482" s="26"/>
      <c r="K482" s="26"/>
      <c r="L482" s="26"/>
      <c r="M482" s="27"/>
      <c r="N482" s="26"/>
      <c r="O482" s="26"/>
      <c r="P482" s="26"/>
      <c r="Q482" s="26"/>
      <c r="R482" s="26"/>
      <c r="S482" s="26"/>
      <c r="T482" s="26"/>
      <c r="U482" s="26"/>
      <c r="V482" s="26"/>
      <c r="W482" s="26"/>
      <c r="X482" s="26"/>
      <c r="Y482" s="26"/>
    </row>
    <row r="483" spans="1:25" ht="15.75" customHeight="1">
      <c r="A483" s="26"/>
      <c r="B483" s="26"/>
      <c r="C483" s="26"/>
      <c r="D483" s="26"/>
      <c r="E483" s="26"/>
      <c r="F483" s="26"/>
      <c r="G483" s="26"/>
      <c r="H483" s="26"/>
      <c r="I483" s="26"/>
      <c r="J483" s="26"/>
      <c r="K483" s="26"/>
      <c r="L483" s="26"/>
      <c r="M483" s="27"/>
      <c r="N483" s="26"/>
      <c r="O483" s="26"/>
      <c r="P483" s="26"/>
      <c r="Q483" s="26"/>
      <c r="R483" s="26"/>
      <c r="S483" s="26"/>
      <c r="T483" s="26"/>
      <c r="U483" s="26"/>
      <c r="V483" s="26"/>
      <c r="W483" s="26"/>
      <c r="X483" s="26"/>
      <c r="Y483" s="26"/>
    </row>
    <row r="484" spans="1:25" ht="15.75" customHeight="1">
      <c r="A484" s="26"/>
      <c r="B484" s="26"/>
      <c r="C484" s="26"/>
      <c r="D484" s="26"/>
      <c r="E484" s="26"/>
      <c r="F484" s="26"/>
      <c r="G484" s="26"/>
      <c r="H484" s="26"/>
      <c r="I484" s="26"/>
      <c r="J484" s="26"/>
      <c r="K484" s="26"/>
      <c r="L484" s="26"/>
      <c r="M484" s="27"/>
      <c r="N484" s="26"/>
      <c r="O484" s="26"/>
      <c r="P484" s="26"/>
      <c r="Q484" s="26"/>
      <c r="R484" s="26"/>
      <c r="S484" s="26"/>
      <c r="T484" s="26"/>
      <c r="U484" s="26"/>
      <c r="V484" s="26"/>
      <c r="W484" s="26"/>
      <c r="X484" s="26"/>
      <c r="Y484" s="26"/>
    </row>
    <row r="485" spans="1:25" ht="15.75" customHeight="1">
      <c r="A485" s="26"/>
      <c r="B485" s="26"/>
      <c r="C485" s="26"/>
      <c r="D485" s="26"/>
      <c r="E485" s="26"/>
      <c r="F485" s="26"/>
      <c r="G485" s="26"/>
      <c r="H485" s="26"/>
      <c r="I485" s="26"/>
      <c r="J485" s="26"/>
      <c r="K485" s="26"/>
      <c r="L485" s="26"/>
      <c r="M485" s="27"/>
      <c r="N485" s="26"/>
      <c r="O485" s="26"/>
      <c r="P485" s="26"/>
      <c r="Q485" s="26"/>
      <c r="R485" s="26"/>
      <c r="S485" s="26"/>
      <c r="T485" s="26"/>
      <c r="U485" s="26"/>
      <c r="V485" s="26"/>
      <c r="W485" s="26"/>
      <c r="X485" s="26"/>
      <c r="Y485" s="26"/>
    </row>
    <row r="486" spans="1:25" ht="15.75" customHeight="1">
      <c r="A486" s="26"/>
      <c r="B486" s="26"/>
      <c r="C486" s="26"/>
      <c r="D486" s="26"/>
      <c r="E486" s="26"/>
      <c r="F486" s="26"/>
      <c r="G486" s="26"/>
      <c r="H486" s="26"/>
      <c r="I486" s="26"/>
      <c r="J486" s="26"/>
      <c r="K486" s="26"/>
      <c r="L486" s="26"/>
      <c r="M486" s="27"/>
      <c r="N486" s="26"/>
      <c r="O486" s="26"/>
      <c r="P486" s="26"/>
      <c r="Q486" s="26"/>
      <c r="R486" s="26"/>
      <c r="S486" s="26"/>
      <c r="T486" s="26"/>
      <c r="U486" s="26"/>
      <c r="V486" s="26"/>
      <c r="W486" s="26"/>
      <c r="X486" s="26"/>
      <c r="Y486" s="26"/>
    </row>
    <row r="487" spans="1:25" ht="15.75" customHeight="1">
      <c r="A487" s="26"/>
      <c r="B487" s="26"/>
      <c r="C487" s="26"/>
      <c r="D487" s="26"/>
      <c r="E487" s="26"/>
      <c r="F487" s="26"/>
      <c r="G487" s="26"/>
      <c r="H487" s="26"/>
      <c r="I487" s="26"/>
      <c r="J487" s="26"/>
      <c r="K487" s="26"/>
      <c r="L487" s="26"/>
      <c r="M487" s="27"/>
      <c r="N487" s="26"/>
      <c r="O487" s="26"/>
      <c r="P487" s="26"/>
      <c r="Q487" s="26"/>
      <c r="R487" s="26"/>
      <c r="S487" s="26"/>
      <c r="T487" s="26"/>
      <c r="U487" s="26"/>
      <c r="V487" s="26"/>
      <c r="W487" s="26"/>
      <c r="X487" s="26"/>
      <c r="Y487" s="26"/>
    </row>
    <row r="488" spans="1:25" ht="15.75" customHeight="1">
      <c r="A488" s="26"/>
      <c r="B488" s="26"/>
      <c r="C488" s="26"/>
      <c r="D488" s="26"/>
      <c r="E488" s="26"/>
      <c r="F488" s="26"/>
      <c r="G488" s="26"/>
      <c r="H488" s="26"/>
      <c r="I488" s="26"/>
      <c r="J488" s="26"/>
      <c r="K488" s="26"/>
      <c r="L488" s="26"/>
      <c r="M488" s="27"/>
      <c r="N488" s="26"/>
      <c r="O488" s="26"/>
      <c r="P488" s="26"/>
      <c r="Q488" s="26"/>
      <c r="R488" s="26"/>
      <c r="S488" s="26"/>
      <c r="T488" s="26"/>
      <c r="U488" s="26"/>
      <c r="V488" s="26"/>
      <c r="W488" s="26"/>
      <c r="X488" s="26"/>
      <c r="Y488" s="26"/>
    </row>
    <row r="489" spans="1:25" ht="15.75" customHeight="1">
      <c r="A489" s="26"/>
      <c r="B489" s="26"/>
      <c r="C489" s="26"/>
      <c r="D489" s="26"/>
      <c r="E489" s="26"/>
      <c r="F489" s="26"/>
      <c r="G489" s="26"/>
      <c r="H489" s="26"/>
      <c r="I489" s="26"/>
      <c r="J489" s="26"/>
      <c r="K489" s="26"/>
      <c r="L489" s="26"/>
      <c r="M489" s="27"/>
      <c r="N489" s="26"/>
      <c r="O489" s="26"/>
      <c r="P489" s="26"/>
      <c r="Q489" s="26"/>
      <c r="R489" s="26"/>
      <c r="S489" s="26"/>
      <c r="T489" s="26"/>
      <c r="U489" s="26"/>
      <c r="V489" s="26"/>
      <c r="W489" s="26"/>
      <c r="X489" s="26"/>
      <c r="Y489" s="26"/>
    </row>
    <row r="490" spans="1:25" ht="15.75" customHeight="1">
      <c r="A490" s="26"/>
      <c r="B490" s="26"/>
      <c r="C490" s="26"/>
      <c r="D490" s="26"/>
      <c r="E490" s="26"/>
      <c r="F490" s="26"/>
      <c r="G490" s="26"/>
      <c r="H490" s="26"/>
      <c r="I490" s="26"/>
      <c r="J490" s="26"/>
      <c r="K490" s="26"/>
      <c r="L490" s="26"/>
      <c r="M490" s="27"/>
      <c r="N490" s="26"/>
      <c r="O490" s="26"/>
      <c r="P490" s="26"/>
      <c r="Q490" s="26"/>
      <c r="R490" s="26"/>
      <c r="S490" s="26"/>
      <c r="T490" s="26"/>
      <c r="U490" s="26"/>
      <c r="V490" s="26"/>
      <c r="W490" s="26"/>
      <c r="X490" s="26"/>
      <c r="Y490" s="26"/>
    </row>
    <row r="491" spans="1:25" ht="15.75" customHeight="1">
      <c r="A491" s="26"/>
      <c r="B491" s="26"/>
      <c r="C491" s="26"/>
      <c r="D491" s="26"/>
      <c r="E491" s="26"/>
      <c r="F491" s="26"/>
      <c r="G491" s="26"/>
      <c r="H491" s="26"/>
      <c r="I491" s="26"/>
      <c r="J491" s="26"/>
      <c r="K491" s="26"/>
      <c r="L491" s="26"/>
      <c r="M491" s="27"/>
      <c r="N491" s="26"/>
      <c r="O491" s="26"/>
      <c r="P491" s="26"/>
      <c r="Q491" s="26"/>
      <c r="R491" s="26"/>
      <c r="S491" s="26"/>
      <c r="T491" s="26"/>
      <c r="U491" s="26"/>
      <c r="V491" s="26"/>
      <c r="W491" s="26"/>
      <c r="X491" s="26"/>
      <c r="Y491" s="26"/>
    </row>
    <row r="492" spans="1:25" ht="15.75" customHeight="1">
      <c r="A492" s="26"/>
      <c r="B492" s="26"/>
      <c r="C492" s="26"/>
      <c r="D492" s="26"/>
      <c r="E492" s="26"/>
      <c r="F492" s="26"/>
      <c r="G492" s="26"/>
      <c r="H492" s="26"/>
      <c r="I492" s="26"/>
      <c r="J492" s="26"/>
      <c r="K492" s="26"/>
      <c r="L492" s="26"/>
      <c r="M492" s="27"/>
      <c r="N492" s="26"/>
      <c r="O492" s="26"/>
      <c r="P492" s="26"/>
      <c r="Q492" s="26"/>
      <c r="R492" s="26"/>
      <c r="S492" s="26"/>
      <c r="T492" s="26"/>
      <c r="U492" s="26"/>
      <c r="V492" s="26"/>
      <c r="W492" s="26"/>
      <c r="X492" s="26"/>
      <c r="Y492" s="26"/>
    </row>
    <row r="493" spans="1:25" ht="15.75" customHeight="1">
      <c r="A493" s="26"/>
      <c r="B493" s="26"/>
      <c r="C493" s="26"/>
      <c r="D493" s="26"/>
      <c r="E493" s="26"/>
      <c r="F493" s="26"/>
      <c r="G493" s="26"/>
      <c r="H493" s="26"/>
      <c r="I493" s="26"/>
      <c r="J493" s="26"/>
      <c r="K493" s="26"/>
      <c r="L493" s="26"/>
      <c r="M493" s="27"/>
      <c r="N493" s="26"/>
      <c r="O493" s="26"/>
      <c r="P493" s="26"/>
      <c r="Q493" s="26"/>
      <c r="R493" s="26"/>
      <c r="S493" s="26"/>
      <c r="T493" s="26"/>
      <c r="U493" s="26"/>
      <c r="V493" s="26"/>
      <c r="W493" s="26"/>
      <c r="X493" s="26"/>
      <c r="Y493" s="26"/>
    </row>
    <row r="494" spans="1:25" ht="15.75" customHeight="1">
      <c r="A494" s="26"/>
      <c r="B494" s="26"/>
      <c r="C494" s="26"/>
      <c r="D494" s="26"/>
      <c r="E494" s="26"/>
      <c r="F494" s="26"/>
      <c r="G494" s="26"/>
      <c r="H494" s="26"/>
      <c r="I494" s="26"/>
      <c r="J494" s="26"/>
      <c r="K494" s="26"/>
      <c r="L494" s="26"/>
      <c r="M494" s="27"/>
      <c r="N494" s="26"/>
      <c r="O494" s="26"/>
      <c r="P494" s="26"/>
      <c r="Q494" s="26"/>
      <c r="R494" s="26"/>
      <c r="S494" s="26"/>
      <c r="T494" s="26"/>
      <c r="U494" s="26"/>
      <c r="V494" s="26"/>
      <c r="W494" s="26"/>
      <c r="X494" s="26"/>
      <c r="Y494" s="26"/>
    </row>
    <row r="495" spans="1:25" ht="15.75" customHeight="1">
      <c r="A495" s="26"/>
      <c r="B495" s="26"/>
      <c r="C495" s="26"/>
      <c r="D495" s="26"/>
      <c r="E495" s="26"/>
      <c r="F495" s="26"/>
      <c r="G495" s="26"/>
      <c r="H495" s="26"/>
      <c r="I495" s="26"/>
      <c r="J495" s="26"/>
      <c r="K495" s="26"/>
      <c r="L495" s="26"/>
      <c r="M495" s="27"/>
      <c r="N495" s="26"/>
      <c r="O495" s="26"/>
      <c r="P495" s="26"/>
      <c r="Q495" s="26"/>
      <c r="R495" s="26"/>
      <c r="S495" s="26"/>
      <c r="T495" s="26"/>
      <c r="U495" s="26"/>
      <c r="V495" s="26"/>
      <c r="W495" s="26"/>
      <c r="X495" s="26"/>
      <c r="Y495" s="26"/>
    </row>
    <row r="496" spans="1:25" ht="15.75" customHeight="1">
      <c r="A496" s="26"/>
      <c r="B496" s="26"/>
      <c r="C496" s="26"/>
      <c r="D496" s="26"/>
      <c r="E496" s="26"/>
      <c r="F496" s="26"/>
      <c r="G496" s="26"/>
      <c r="H496" s="26"/>
      <c r="I496" s="26"/>
      <c r="J496" s="26"/>
      <c r="K496" s="26"/>
      <c r="L496" s="26"/>
      <c r="M496" s="27"/>
      <c r="N496" s="26"/>
      <c r="O496" s="26"/>
      <c r="P496" s="26"/>
      <c r="Q496" s="26"/>
      <c r="R496" s="26"/>
      <c r="S496" s="26"/>
      <c r="T496" s="26"/>
      <c r="U496" s="26"/>
      <c r="V496" s="26"/>
      <c r="W496" s="26"/>
      <c r="X496" s="26"/>
      <c r="Y496" s="26"/>
    </row>
    <row r="497" spans="1:25" ht="15.75" customHeight="1">
      <c r="A497" s="26"/>
      <c r="B497" s="26"/>
      <c r="C497" s="26"/>
      <c r="D497" s="26"/>
      <c r="E497" s="26"/>
      <c r="F497" s="26"/>
      <c r="G497" s="26"/>
      <c r="H497" s="26"/>
      <c r="I497" s="26"/>
      <c r="J497" s="26"/>
      <c r="K497" s="26"/>
      <c r="L497" s="26"/>
      <c r="M497" s="27"/>
      <c r="N497" s="26"/>
      <c r="O497" s="26"/>
      <c r="P497" s="26"/>
      <c r="Q497" s="26"/>
      <c r="R497" s="26"/>
      <c r="S497" s="26"/>
      <c r="T497" s="26"/>
      <c r="U497" s="26"/>
      <c r="V497" s="26"/>
      <c r="W497" s="26"/>
      <c r="X497" s="26"/>
      <c r="Y497" s="26"/>
    </row>
    <row r="498" spans="1:25" ht="15.75" customHeight="1">
      <c r="A498" s="26"/>
      <c r="B498" s="26"/>
      <c r="C498" s="26"/>
      <c r="D498" s="26"/>
      <c r="E498" s="26"/>
      <c r="F498" s="26"/>
      <c r="G498" s="26"/>
      <c r="H498" s="26"/>
      <c r="I498" s="26"/>
      <c r="J498" s="26"/>
      <c r="K498" s="26"/>
      <c r="L498" s="26"/>
      <c r="M498" s="27"/>
      <c r="N498" s="26"/>
      <c r="O498" s="26"/>
      <c r="P498" s="26"/>
      <c r="Q498" s="26"/>
      <c r="R498" s="26"/>
      <c r="S498" s="26"/>
      <c r="T498" s="26"/>
      <c r="U498" s="26"/>
      <c r="V498" s="26"/>
      <c r="W498" s="26"/>
      <c r="X498" s="26"/>
      <c r="Y498" s="26"/>
    </row>
    <row r="499" spans="1:25" ht="15.75" customHeight="1">
      <c r="A499" s="26"/>
      <c r="B499" s="26"/>
      <c r="C499" s="26"/>
      <c r="D499" s="26"/>
      <c r="E499" s="26"/>
      <c r="F499" s="26"/>
      <c r="G499" s="26"/>
      <c r="H499" s="26"/>
      <c r="I499" s="26"/>
      <c r="J499" s="26"/>
      <c r="K499" s="26"/>
      <c r="L499" s="26"/>
      <c r="M499" s="27"/>
      <c r="N499" s="26"/>
      <c r="O499" s="26"/>
      <c r="P499" s="26"/>
      <c r="Q499" s="26"/>
      <c r="R499" s="26"/>
      <c r="S499" s="26"/>
      <c r="T499" s="26"/>
      <c r="U499" s="26"/>
      <c r="V499" s="26"/>
      <c r="W499" s="26"/>
      <c r="X499" s="26"/>
      <c r="Y499" s="26"/>
    </row>
    <row r="500" spans="1:25" ht="15.75" customHeight="1">
      <c r="A500" s="26"/>
      <c r="B500" s="26"/>
      <c r="C500" s="26"/>
      <c r="D500" s="26"/>
      <c r="E500" s="26"/>
      <c r="F500" s="26"/>
      <c r="G500" s="26"/>
      <c r="H500" s="26"/>
      <c r="I500" s="26"/>
      <c r="J500" s="26"/>
      <c r="K500" s="26"/>
      <c r="L500" s="26"/>
      <c r="M500" s="27"/>
      <c r="N500" s="26"/>
      <c r="O500" s="26"/>
      <c r="P500" s="26"/>
      <c r="Q500" s="26"/>
      <c r="R500" s="26"/>
      <c r="S500" s="26"/>
      <c r="T500" s="26"/>
      <c r="U500" s="26"/>
      <c r="V500" s="26"/>
      <c r="W500" s="26"/>
      <c r="X500" s="26"/>
      <c r="Y500" s="26"/>
    </row>
    <row r="501" spans="1:25" ht="15.75" customHeight="1">
      <c r="A501" s="26"/>
      <c r="B501" s="26"/>
      <c r="C501" s="26"/>
      <c r="D501" s="26"/>
      <c r="E501" s="26"/>
      <c r="F501" s="26"/>
      <c r="G501" s="26"/>
      <c r="H501" s="26"/>
      <c r="I501" s="26"/>
      <c r="J501" s="26"/>
      <c r="K501" s="26"/>
      <c r="L501" s="26"/>
      <c r="M501" s="27"/>
      <c r="N501" s="26"/>
      <c r="O501" s="26"/>
      <c r="P501" s="26"/>
      <c r="Q501" s="26"/>
      <c r="R501" s="26"/>
      <c r="S501" s="26"/>
      <c r="T501" s="26"/>
      <c r="U501" s="26"/>
      <c r="V501" s="26"/>
      <c r="W501" s="26"/>
      <c r="X501" s="26"/>
      <c r="Y501" s="26"/>
    </row>
    <row r="502" spans="1:25" ht="15.75" customHeight="1">
      <c r="A502" s="26"/>
      <c r="B502" s="26"/>
      <c r="C502" s="26"/>
      <c r="D502" s="26"/>
      <c r="E502" s="26"/>
      <c r="F502" s="26"/>
      <c r="G502" s="26"/>
      <c r="H502" s="26"/>
      <c r="I502" s="26"/>
      <c r="J502" s="26"/>
      <c r="K502" s="26"/>
      <c r="L502" s="26"/>
      <c r="M502" s="27"/>
      <c r="N502" s="26"/>
      <c r="O502" s="26"/>
      <c r="P502" s="26"/>
      <c r="Q502" s="26"/>
      <c r="R502" s="26"/>
      <c r="S502" s="26"/>
      <c r="T502" s="26"/>
      <c r="U502" s="26"/>
      <c r="V502" s="26"/>
      <c r="W502" s="26"/>
      <c r="X502" s="26"/>
      <c r="Y502" s="26"/>
    </row>
    <row r="503" spans="1:25" ht="15.75" customHeight="1">
      <c r="A503" s="26"/>
      <c r="B503" s="26"/>
      <c r="C503" s="26"/>
      <c r="D503" s="26"/>
      <c r="E503" s="26"/>
      <c r="F503" s="26"/>
      <c r="G503" s="26"/>
      <c r="H503" s="26"/>
      <c r="I503" s="26"/>
      <c r="J503" s="26"/>
      <c r="K503" s="26"/>
      <c r="L503" s="26"/>
      <c r="M503" s="27"/>
      <c r="N503" s="26"/>
      <c r="O503" s="26"/>
      <c r="P503" s="26"/>
      <c r="Q503" s="26"/>
      <c r="R503" s="26"/>
      <c r="S503" s="26"/>
      <c r="T503" s="26"/>
      <c r="U503" s="26"/>
      <c r="V503" s="26"/>
      <c r="W503" s="26"/>
      <c r="X503" s="26"/>
      <c r="Y503" s="26"/>
    </row>
    <row r="504" spans="1:25" ht="15.75" customHeight="1">
      <c r="A504" s="26"/>
      <c r="B504" s="26"/>
      <c r="C504" s="26"/>
      <c r="D504" s="26"/>
      <c r="E504" s="26"/>
      <c r="F504" s="26"/>
      <c r="G504" s="26"/>
      <c r="H504" s="26"/>
      <c r="I504" s="26"/>
      <c r="J504" s="26"/>
      <c r="K504" s="26"/>
      <c r="L504" s="26"/>
      <c r="M504" s="27"/>
      <c r="N504" s="26"/>
      <c r="O504" s="26"/>
      <c r="P504" s="26"/>
      <c r="Q504" s="26"/>
      <c r="R504" s="26"/>
      <c r="S504" s="26"/>
      <c r="T504" s="26"/>
      <c r="U504" s="26"/>
      <c r="V504" s="26"/>
      <c r="W504" s="26"/>
      <c r="X504" s="26"/>
      <c r="Y504" s="26"/>
    </row>
    <row r="505" spans="1:25" ht="15.75" customHeight="1">
      <c r="A505" s="26"/>
      <c r="B505" s="26"/>
      <c r="C505" s="26"/>
      <c r="D505" s="26"/>
      <c r="E505" s="26"/>
      <c r="F505" s="26"/>
      <c r="G505" s="26"/>
      <c r="H505" s="26"/>
      <c r="I505" s="26"/>
      <c r="J505" s="26"/>
      <c r="K505" s="26"/>
      <c r="L505" s="26"/>
      <c r="M505" s="27"/>
      <c r="N505" s="26"/>
      <c r="O505" s="26"/>
      <c r="P505" s="26"/>
      <c r="Q505" s="26"/>
      <c r="R505" s="26"/>
      <c r="S505" s="26"/>
      <c r="T505" s="26"/>
      <c r="U505" s="26"/>
      <c r="V505" s="26"/>
      <c r="W505" s="26"/>
      <c r="X505" s="26"/>
      <c r="Y505" s="26"/>
    </row>
    <row r="506" spans="1:25" ht="15.75" customHeight="1">
      <c r="A506" s="26"/>
      <c r="B506" s="26"/>
      <c r="C506" s="26"/>
      <c r="D506" s="26"/>
      <c r="E506" s="26"/>
      <c r="F506" s="26"/>
      <c r="G506" s="26"/>
      <c r="H506" s="26"/>
      <c r="I506" s="26"/>
      <c r="J506" s="26"/>
      <c r="K506" s="26"/>
      <c r="L506" s="26"/>
      <c r="M506" s="27"/>
      <c r="N506" s="26"/>
      <c r="O506" s="26"/>
      <c r="P506" s="26"/>
      <c r="Q506" s="26"/>
      <c r="R506" s="26"/>
      <c r="S506" s="26"/>
      <c r="T506" s="26"/>
      <c r="U506" s="26"/>
      <c r="V506" s="26"/>
      <c r="W506" s="26"/>
      <c r="X506" s="26"/>
      <c r="Y506" s="26"/>
    </row>
    <row r="507" spans="1:25" ht="15.75" customHeight="1">
      <c r="A507" s="26"/>
      <c r="B507" s="26"/>
      <c r="C507" s="26"/>
      <c r="D507" s="26"/>
      <c r="E507" s="26"/>
      <c r="F507" s="26"/>
      <c r="G507" s="26"/>
      <c r="H507" s="26"/>
      <c r="I507" s="26"/>
      <c r="J507" s="26"/>
      <c r="K507" s="26"/>
      <c r="L507" s="26"/>
      <c r="M507" s="27"/>
      <c r="N507" s="26"/>
      <c r="O507" s="26"/>
      <c r="P507" s="26"/>
      <c r="Q507" s="26"/>
      <c r="R507" s="26"/>
      <c r="S507" s="26"/>
      <c r="T507" s="26"/>
      <c r="U507" s="26"/>
      <c r="V507" s="26"/>
      <c r="W507" s="26"/>
      <c r="X507" s="26"/>
      <c r="Y507" s="26"/>
    </row>
    <row r="508" spans="1:25" ht="15.75" customHeight="1">
      <c r="A508" s="26"/>
      <c r="B508" s="26"/>
      <c r="C508" s="26"/>
      <c r="D508" s="26"/>
      <c r="E508" s="26"/>
      <c r="F508" s="26"/>
      <c r="G508" s="26"/>
      <c r="H508" s="26"/>
      <c r="I508" s="26"/>
      <c r="J508" s="26"/>
      <c r="K508" s="26"/>
      <c r="L508" s="26"/>
      <c r="M508" s="27"/>
      <c r="N508" s="26"/>
      <c r="O508" s="26"/>
      <c r="P508" s="26"/>
      <c r="Q508" s="26"/>
      <c r="R508" s="26"/>
      <c r="S508" s="26"/>
      <c r="T508" s="26"/>
      <c r="U508" s="26"/>
      <c r="V508" s="26"/>
      <c r="W508" s="26"/>
      <c r="X508" s="26"/>
      <c r="Y508" s="26"/>
    </row>
    <row r="509" spans="1:25" ht="15.75" customHeight="1">
      <c r="A509" s="26"/>
      <c r="B509" s="26"/>
      <c r="C509" s="26"/>
      <c r="D509" s="26"/>
      <c r="E509" s="26"/>
      <c r="F509" s="26"/>
      <c r="G509" s="26"/>
      <c r="H509" s="26"/>
      <c r="I509" s="26"/>
      <c r="J509" s="26"/>
      <c r="K509" s="26"/>
      <c r="L509" s="26"/>
      <c r="M509" s="27"/>
      <c r="N509" s="26"/>
      <c r="O509" s="26"/>
      <c r="P509" s="26"/>
      <c r="Q509" s="26"/>
      <c r="R509" s="26"/>
      <c r="S509" s="26"/>
      <c r="T509" s="26"/>
      <c r="U509" s="26"/>
      <c r="V509" s="26"/>
      <c r="W509" s="26"/>
      <c r="X509" s="26"/>
      <c r="Y509" s="26"/>
    </row>
    <row r="510" spans="1:25" ht="15.75" customHeight="1">
      <c r="A510" s="26"/>
      <c r="B510" s="26"/>
      <c r="C510" s="26"/>
      <c r="D510" s="26"/>
      <c r="E510" s="26"/>
      <c r="F510" s="26"/>
      <c r="G510" s="26"/>
      <c r="H510" s="26"/>
      <c r="I510" s="26"/>
      <c r="J510" s="26"/>
      <c r="K510" s="26"/>
      <c r="L510" s="26"/>
      <c r="M510" s="27"/>
      <c r="N510" s="26"/>
      <c r="O510" s="26"/>
      <c r="P510" s="26"/>
      <c r="Q510" s="26"/>
      <c r="R510" s="26"/>
      <c r="S510" s="26"/>
      <c r="T510" s="26"/>
      <c r="U510" s="26"/>
      <c r="V510" s="26"/>
      <c r="W510" s="26"/>
      <c r="X510" s="26"/>
      <c r="Y510" s="26"/>
    </row>
    <row r="511" spans="1:25" ht="15.75" customHeight="1">
      <c r="A511" s="26"/>
      <c r="B511" s="26"/>
      <c r="C511" s="26"/>
      <c r="D511" s="26"/>
      <c r="E511" s="26"/>
      <c r="F511" s="26"/>
      <c r="G511" s="26"/>
      <c r="H511" s="26"/>
      <c r="I511" s="26"/>
      <c r="J511" s="26"/>
      <c r="K511" s="26"/>
      <c r="L511" s="26"/>
      <c r="M511" s="27"/>
      <c r="N511" s="26"/>
      <c r="O511" s="26"/>
      <c r="P511" s="26"/>
      <c r="Q511" s="26"/>
      <c r="R511" s="26"/>
      <c r="S511" s="26"/>
      <c r="T511" s="26"/>
      <c r="U511" s="26"/>
      <c r="V511" s="26"/>
      <c r="W511" s="26"/>
      <c r="X511" s="26"/>
      <c r="Y511" s="26"/>
    </row>
    <row r="512" spans="1:25" ht="15.75" customHeight="1">
      <c r="A512" s="26"/>
      <c r="B512" s="26"/>
      <c r="C512" s="26"/>
      <c r="D512" s="26"/>
      <c r="E512" s="26"/>
      <c r="F512" s="26"/>
      <c r="G512" s="26"/>
      <c r="H512" s="26"/>
      <c r="I512" s="26"/>
      <c r="J512" s="26"/>
      <c r="K512" s="26"/>
      <c r="L512" s="26"/>
      <c r="M512" s="27"/>
      <c r="N512" s="26"/>
      <c r="O512" s="26"/>
      <c r="P512" s="26"/>
      <c r="Q512" s="26"/>
      <c r="R512" s="26"/>
      <c r="S512" s="26"/>
      <c r="T512" s="26"/>
      <c r="U512" s="26"/>
      <c r="V512" s="26"/>
      <c r="W512" s="26"/>
      <c r="X512" s="26"/>
      <c r="Y512" s="26"/>
    </row>
    <row r="513" spans="1:25" ht="15.75" customHeight="1">
      <c r="A513" s="26"/>
      <c r="B513" s="26"/>
      <c r="C513" s="26"/>
      <c r="D513" s="26"/>
      <c r="E513" s="26"/>
      <c r="F513" s="26"/>
      <c r="G513" s="26"/>
      <c r="H513" s="26"/>
      <c r="I513" s="26"/>
      <c r="J513" s="26"/>
      <c r="K513" s="26"/>
      <c r="L513" s="26"/>
      <c r="M513" s="27"/>
      <c r="N513" s="26"/>
      <c r="O513" s="26"/>
      <c r="P513" s="26"/>
      <c r="Q513" s="26"/>
      <c r="R513" s="26"/>
      <c r="S513" s="26"/>
      <c r="T513" s="26"/>
      <c r="U513" s="26"/>
      <c r="V513" s="26"/>
      <c r="W513" s="26"/>
      <c r="X513" s="26"/>
      <c r="Y513" s="26"/>
    </row>
    <row r="514" spans="1:25" ht="15.75" customHeight="1">
      <c r="A514" s="26"/>
      <c r="B514" s="26"/>
      <c r="C514" s="26"/>
      <c r="D514" s="26"/>
      <c r="E514" s="26"/>
      <c r="F514" s="26"/>
      <c r="G514" s="26"/>
      <c r="H514" s="26"/>
      <c r="I514" s="26"/>
      <c r="J514" s="26"/>
      <c r="K514" s="26"/>
      <c r="L514" s="26"/>
      <c r="M514" s="27"/>
      <c r="N514" s="26"/>
      <c r="O514" s="26"/>
      <c r="P514" s="26"/>
      <c r="Q514" s="26"/>
      <c r="R514" s="26"/>
      <c r="S514" s="26"/>
      <c r="T514" s="26"/>
      <c r="U514" s="26"/>
      <c r="V514" s="26"/>
      <c r="W514" s="26"/>
      <c r="X514" s="26"/>
      <c r="Y514" s="26"/>
    </row>
    <row r="515" spans="1:25" ht="15.75" customHeight="1">
      <c r="A515" s="26"/>
      <c r="B515" s="26"/>
      <c r="C515" s="26"/>
      <c r="D515" s="26"/>
      <c r="E515" s="26"/>
      <c r="F515" s="26"/>
      <c r="G515" s="26"/>
      <c r="H515" s="26"/>
      <c r="I515" s="26"/>
      <c r="J515" s="26"/>
      <c r="K515" s="26"/>
      <c r="L515" s="26"/>
      <c r="M515" s="27"/>
      <c r="N515" s="26"/>
      <c r="O515" s="26"/>
      <c r="P515" s="26"/>
      <c r="Q515" s="26"/>
      <c r="R515" s="26"/>
      <c r="S515" s="26"/>
      <c r="T515" s="26"/>
      <c r="U515" s="26"/>
      <c r="V515" s="26"/>
      <c r="W515" s="26"/>
      <c r="X515" s="26"/>
      <c r="Y515" s="26"/>
    </row>
    <row r="516" spans="1:25" ht="15.75" customHeight="1">
      <c r="A516" s="26"/>
      <c r="B516" s="26"/>
      <c r="C516" s="26"/>
      <c r="D516" s="26"/>
      <c r="E516" s="26"/>
      <c r="F516" s="26"/>
      <c r="G516" s="26"/>
      <c r="H516" s="26"/>
      <c r="I516" s="26"/>
      <c r="J516" s="26"/>
      <c r="K516" s="26"/>
      <c r="L516" s="26"/>
      <c r="M516" s="27"/>
      <c r="N516" s="26"/>
      <c r="O516" s="26"/>
      <c r="P516" s="26"/>
      <c r="Q516" s="26"/>
      <c r="R516" s="26"/>
      <c r="S516" s="26"/>
      <c r="T516" s="26"/>
      <c r="U516" s="26"/>
      <c r="V516" s="26"/>
      <c r="W516" s="26"/>
      <c r="X516" s="26"/>
      <c r="Y516" s="26"/>
    </row>
    <row r="517" spans="1:25" ht="15.75" customHeight="1">
      <c r="A517" s="26"/>
      <c r="B517" s="26"/>
      <c r="C517" s="26"/>
      <c r="D517" s="26"/>
      <c r="E517" s="26"/>
      <c r="F517" s="26"/>
      <c r="G517" s="26"/>
      <c r="H517" s="26"/>
      <c r="I517" s="26"/>
      <c r="J517" s="26"/>
      <c r="K517" s="26"/>
      <c r="L517" s="26"/>
      <c r="M517" s="27"/>
      <c r="N517" s="26"/>
      <c r="O517" s="26"/>
      <c r="P517" s="26"/>
      <c r="Q517" s="26"/>
      <c r="R517" s="26"/>
      <c r="S517" s="26"/>
      <c r="T517" s="26"/>
      <c r="U517" s="26"/>
      <c r="V517" s="26"/>
      <c r="W517" s="26"/>
      <c r="X517" s="26"/>
      <c r="Y517" s="26"/>
    </row>
    <row r="518" spans="1:25" ht="15.75" customHeight="1">
      <c r="A518" s="26"/>
      <c r="B518" s="26"/>
      <c r="C518" s="26"/>
      <c r="D518" s="26"/>
      <c r="E518" s="26"/>
      <c r="F518" s="26"/>
      <c r="G518" s="26"/>
      <c r="H518" s="26"/>
      <c r="I518" s="26"/>
      <c r="J518" s="26"/>
      <c r="K518" s="26"/>
      <c r="L518" s="26"/>
      <c r="M518" s="27"/>
      <c r="N518" s="26"/>
      <c r="O518" s="26"/>
      <c r="P518" s="26"/>
      <c r="Q518" s="26"/>
      <c r="R518" s="26"/>
      <c r="S518" s="26"/>
      <c r="T518" s="26"/>
      <c r="U518" s="26"/>
      <c r="V518" s="26"/>
      <c r="W518" s="26"/>
      <c r="X518" s="26"/>
      <c r="Y518" s="26"/>
    </row>
    <row r="519" spans="1:25" ht="15.75" customHeight="1">
      <c r="A519" s="26"/>
      <c r="B519" s="26"/>
      <c r="C519" s="26"/>
      <c r="D519" s="26"/>
      <c r="E519" s="26"/>
      <c r="F519" s="26"/>
      <c r="G519" s="26"/>
      <c r="H519" s="26"/>
      <c r="I519" s="26"/>
      <c r="J519" s="26"/>
      <c r="K519" s="26"/>
      <c r="L519" s="26"/>
      <c r="M519" s="27"/>
      <c r="N519" s="26"/>
      <c r="O519" s="26"/>
      <c r="P519" s="26"/>
      <c r="Q519" s="26"/>
      <c r="R519" s="26"/>
      <c r="S519" s="26"/>
      <c r="T519" s="26"/>
      <c r="U519" s="26"/>
      <c r="V519" s="26"/>
      <c r="W519" s="26"/>
      <c r="X519" s="26"/>
      <c r="Y519" s="26"/>
    </row>
    <row r="520" spans="1:25" ht="15.75" customHeight="1">
      <c r="A520" s="26"/>
      <c r="B520" s="26"/>
      <c r="C520" s="26"/>
      <c r="D520" s="26"/>
      <c r="E520" s="26"/>
      <c r="F520" s="26"/>
      <c r="G520" s="26"/>
      <c r="H520" s="26"/>
      <c r="I520" s="26"/>
      <c r="J520" s="26"/>
      <c r="K520" s="26"/>
      <c r="L520" s="26"/>
      <c r="M520" s="27"/>
      <c r="N520" s="26"/>
      <c r="O520" s="26"/>
      <c r="P520" s="26"/>
      <c r="Q520" s="26"/>
      <c r="R520" s="26"/>
      <c r="S520" s="26"/>
      <c r="T520" s="26"/>
      <c r="U520" s="26"/>
      <c r="V520" s="26"/>
      <c r="W520" s="26"/>
      <c r="X520" s="26"/>
      <c r="Y520" s="26"/>
    </row>
    <row r="521" spans="1:25" ht="15.75" customHeight="1">
      <c r="A521" s="26"/>
      <c r="B521" s="26"/>
      <c r="C521" s="26"/>
      <c r="D521" s="26"/>
      <c r="E521" s="26"/>
      <c r="F521" s="26"/>
      <c r="G521" s="26"/>
      <c r="H521" s="26"/>
      <c r="I521" s="26"/>
      <c r="J521" s="26"/>
      <c r="K521" s="26"/>
      <c r="L521" s="26"/>
      <c r="M521" s="27"/>
      <c r="N521" s="26"/>
      <c r="O521" s="26"/>
      <c r="P521" s="26"/>
      <c r="Q521" s="26"/>
      <c r="R521" s="26"/>
      <c r="S521" s="26"/>
      <c r="T521" s="26"/>
      <c r="U521" s="26"/>
      <c r="V521" s="26"/>
      <c r="W521" s="26"/>
      <c r="X521" s="26"/>
      <c r="Y521" s="26"/>
    </row>
    <row r="522" spans="1:25" ht="15.75" customHeight="1">
      <c r="A522" s="26"/>
      <c r="B522" s="26"/>
      <c r="C522" s="26"/>
      <c r="D522" s="26"/>
      <c r="E522" s="26"/>
      <c r="F522" s="26"/>
      <c r="G522" s="26"/>
      <c r="H522" s="26"/>
      <c r="I522" s="26"/>
      <c r="J522" s="26"/>
      <c r="K522" s="26"/>
      <c r="L522" s="26"/>
      <c r="M522" s="27"/>
      <c r="N522" s="26"/>
      <c r="O522" s="26"/>
      <c r="P522" s="26"/>
      <c r="Q522" s="26"/>
      <c r="R522" s="26"/>
      <c r="S522" s="26"/>
      <c r="T522" s="26"/>
      <c r="U522" s="26"/>
      <c r="V522" s="26"/>
      <c r="W522" s="26"/>
      <c r="X522" s="26"/>
      <c r="Y522" s="26"/>
    </row>
    <row r="523" spans="1:25" ht="15.75" customHeight="1">
      <c r="A523" s="26"/>
      <c r="B523" s="26"/>
      <c r="C523" s="26"/>
      <c r="D523" s="26"/>
      <c r="E523" s="26"/>
      <c r="F523" s="26"/>
      <c r="G523" s="26"/>
      <c r="H523" s="26"/>
      <c r="I523" s="26"/>
      <c r="J523" s="26"/>
      <c r="K523" s="26"/>
      <c r="L523" s="26"/>
      <c r="M523" s="27"/>
      <c r="N523" s="26"/>
      <c r="O523" s="26"/>
      <c r="P523" s="26"/>
      <c r="Q523" s="26"/>
      <c r="R523" s="26"/>
      <c r="S523" s="26"/>
      <c r="T523" s="26"/>
      <c r="U523" s="26"/>
      <c r="V523" s="26"/>
      <c r="W523" s="26"/>
      <c r="X523" s="26"/>
      <c r="Y523" s="26"/>
    </row>
    <row r="524" spans="1:25" ht="15.75" customHeight="1">
      <c r="A524" s="26"/>
      <c r="B524" s="26"/>
      <c r="C524" s="26"/>
      <c r="D524" s="26"/>
      <c r="E524" s="26"/>
      <c r="F524" s="26"/>
      <c r="G524" s="26"/>
      <c r="H524" s="26"/>
      <c r="I524" s="26"/>
      <c r="J524" s="26"/>
      <c r="K524" s="26"/>
      <c r="L524" s="26"/>
      <c r="M524" s="27"/>
      <c r="N524" s="26"/>
      <c r="O524" s="26"/>
      <c r="P524" s="26"/>
      <c r="Q524" s="26"/>
      <c r="R524" s="26"/>
      <c r="S524" s="26"/>
      <c r="T524" s="26"/>
      <c r="U524" s="26"/>
      <c r="V524" s="26"/>
      <c r="W524" s="26"/>
      <c r="X524" s="26"/>
      <c r="Y524" s="26"/>
    </row>
    <row r="525" spans="1:25" ht="15.75" customHeight="1">
      <c r="A525" s="26"/>
      <c r="B525" s="26"/>
      <c r="C525" s="26"/>
      <c r="D525" s="26"/>
      <c r="E525" s="26"/>
      <c r="F525" s="26"/>
      <c r="G525" s="26"/>
      <c r="H525" s="26"/>
      <c r="I525" s="26"/>
      <c r="J525" s="26"/>
      <c r="K525" s="26"/>
      <c r="L525" s="26"/>
      <c r="M525" s="27"/>
      <c r="N525" s="26"/>
      <c r="O525" s="26"/>
      <c r="P525" s="26"/>
      <c r="Q525" s="26"/>
      <c r="R525" s="26"/>
      <c r="S525" s="26"/>
      <c r="T525" s="26"/>
      <c r="U525" s="26"/>
      <c r="V525" s="26"/>
      <c r="W525" s="26"/>
      <c r="X525" s="26"/>
      <c r="Y525" s="26"/>
    </row>
    <row r="526" spans="1:25" ht="15.75" customHeight="1">
      <c r="A526" s="26"/>
      <c r="B526" s="26"/>
      <c r="C526" s="26"/>
      <c r="D526" s="26"/>
      <c r="E526" s="26"/>
      <c r="F526" s="26"/>
      <c r="G526" s="26"/>
      <c r="H526" s="26"/>
      <c r="I526" s="26"/>
      <c r="J526" s="26"/>
      <c r="K526" s="26"/>
      <c r="L526" s="26"/>
      <c r="M526" s="27"/>
      <c r="N526" s="26"/>
      <c r="O526" s="26"/>
      <c r="P526" s="26"/>
      <c r="Q526" s="26"/>
      <c r="R526" s="26"/>
      <c r="S526" s="26"/>
      <c r="T526" s="26"/>
      <c r="U526" s="26"/>
      <c r="V526" s="26"/>
      <c r="W526" s="26"/>
      <c r="X526" s="26"/>
      <c r="Y526" s="26"/>
    </row>
    <row r="527" spans="1:25" ht="15.75" customHeight="1">
      <c r="A527" s="26"/>
      <c r="B527" s="26"/>
      <c r="C527" s="26"/>
      <c r="D527" s="26"/>
      <c r="E527" s="26"/>
      <c r="F527" s="26"/>
      <c r="G527" s="26"/>
      <c r="H527" s="26"/>
      <c r="I527" s="26"/>
      <c r="J527" s="26"/>
      <c r="K527" s="26"/>
      <c r="L527" s="26"/>
      <c r="M527" s="27"/>
      <c r="N527" s="26"/>
      <c r="O527" s="26"/>
      <c r="P527" s="26"/>
      <c r="Q527" s="26"/>
      <c r="R527" s="26"/>
      <c r="S527" s="26"/>
      <c r="T527" s="26"/>
      <c r="U527" s="26"/>
      <c r="V527" s="26"/>
      <c r="W527" s="26"/>
      <c r="X527" s="26"/>
      <c r="Y527" s="26"/>
    </row>
    <row r="528" spans="1:25" ht="15.75" customHeight="1">
      <c r="A528" s="26"/>
      <c r="B528" s="26"/>
      <c r="C528" s="26"/>
      <c r="D528" s="26"/>
      <c r="E528" s="26"/>
      <c r="F528" s="26"/>
      <c r="G528" s="26"/>
      <c r="H528" s="26"/>
      <c r="I528" s="26"/>
      <c r="J528" s="26"/>
      <c r="K528" s="26"/>
      <c r="L528" s="26"/>
      <c r="M528" s="27"/>
      <c r="N528" s="26"/>
      <c r="O528" s="26"/>
      <c r="P528" s="26"/>
      <c r="Q528" s="26"/>
      <c r="R528" s="26"/>
      <c r="S528" s="26"/>
      <c r="T528" s="26"/>
      <c r="U528" s="26"/>
      <c r="V528" s="26"/>
      <c r="W528" s="26"/>
      <c r="X528" s="26"/>
      <c r="Y528" s="26"/>
    </row>
    <row r="529" spans="1:25" ht="15.75" customHeight="1">
      <c r="A529" s="26"/>
      <c r="B529" s="26"/>
      <c r="C529" s="26"/>
      <c r="D529" s="26"/>
      <c r="E529" s="26"/>
      <c r="F529" s="26"/>
      <c r="G529" s="26"/>
      <c r="H529" s="26"/>
      <c r="I529" s="26"/>
      <c r="J529" s="26"/>
      <c r="K529" s="26"/>
      <c r="L529" s="26"/>
      <c r="M529" s="27"/>
      <c r="N529" s="26"/>
      <c r="O529" s="26"/>
      <c r="P529" s="26"/>
      <c r="Q529" s="26"/>
      <c r="R529" s="26"/>
      <c r="S529" s="26"/>
      <c r="T529" s="26"/>
      <c r="U529" s="26"/>
      <c r="V529" s="26"/>
      <c r="W529" s="26"/>
      <c r="X529" s="26"/>
      <c r="Y529" s="26"/>
    </row>
    <row r="530" spans="1:25" ht="15.75" customHeight="1">
      <c r="A530" s="26"/>
      <c r="B530" s="26"/>
      <c r="C530" s="26"/>
      <c r="D530" s="26"/>
      <c r="E530" s="26"/>
      <c r="F530" s="26"/>
      <c r="G530" s="26"/>
      <c r="H530" s="26"/>
      <c r="I530" s="26"/>
      <c r="J530" s="26"/>
      <c r="K530" s="26"/>
      <c r="L530" s="26"/>
      <c r="M530" s="27"/>
      <c r="N530" s="26"/>
      <c r="O530" s="26"/>
      <c r="P530" s="26"/>
      <c r="Q530" s="26"/>
      <c r="R530" s="26"/>
      <c r="S530" s="26"/>
      <c r="T530" s="26"/>
      <c r="U530" s="26"/>
      <c r="V530" s="26"/>
      <c r="W530" s="26"/>
      <c r="X530" s="26"/>
      <c r="Y530" s="26"/>
    </row>
    <row r="531" spans="1:25" ht="15.75" customHeight="1">
      <c r="A531" s="26"/>
      <c r="B531" s="26"/>
      <c r="C531" s="26"/>
      <c r="D531" s="26"/>
      <c r="E531" s="26"/>
      <c r="F531" s="26"/>
      <c r="G531" s="26"/>
      <c r="H531" s="26"/>
      <c r="I531" s="26"/>
      <c r="J531" s="26"/>
      <c r="K531" s="26"/>
      <c r="L531" s="26"/>
      <c r="M531" s="27"/>
      <c r="N531" s="26"/>
      <c r="O531" s="26"/>
      <c r="P531" s="26"/>
      <c r="Q531" s="26"/>
      <c r="R531" s="26"/>
      <c r="S531" s="26"/>
      <c r="T531" s="26"/>
      <c r="U531" s="26"/>
      <c r="V531" s="26"/>
      <c r="W531" s="26"/>
      <c r="X531" s="26"/>
      <c r="Y531" s="26"/>
    </row>
    <row r="532" spans="1:25" ht="15.75" customHeight="1">
      <c r="A532" s="26"/>
      <c r="B532" s="26"/>
      <c r="C532" s="26"/>
      <c r="D532" s="26"/>
      <c r="E532" s="26"/>
      <c r="F532" s="26"/>
      <c r="G532" s="26"/>
      <c r="H532" s="26"/>
      <c r="I532" s="26"/>
      <c r="J532" s="26"/>
      <c r="K532" s="26"/>
      <c r="L532" s="26"/>
      <c r="M532" s="27"/>
      <c r="N532" s="26"/>
      <c r="O532" s="26"/>
      <c r="P532" s="26"/>
      <c r="Q532" s="26"/>
      <c r="R532" s="26"/>
      <c r="S532" s="26"/>
      <c r="T532" s="26"/>
      <c r="U532" s="26"/>
      <c r="V532" s="26"/>
      <c r="W532" s="26"/>
      <c r="X532" s="26"/>
      <c r="Y532" s="26"/>
    </row>
    <row r="533" spans="1:25" ht="15.75" customHeight="1">
      <c r="A533" s="26"/>
      <c r="B533" s="26"/>
      <c r="C533" s="26"/>
      <c r="D533" s="26"/>
      <c r="E533" s="26"/>
      <c r="F533" s="26"/>
      <c r="G533" s="26"/>
      <c r="H533" s="26"/>
      <c r="I533" s="26"/>
      <c r="J533" s="26"/>
      <c r="K533" s="26"/>
      <c r="L533" s="26"/>
      <c r="M533" s="27"/>
      <c r="N533" s="26"/>
      <c r="O533" s="26"/>
      <c r="P533" s="26"/>
      <c r="Q533" s="26"/>
      <c r="R533" s="26"/>
      <c r="S533" s="26"/>
      <c r="T533" s="26"/>
      <c r="U533" s="26"/>
      <c r="V533" s="26"/>
      <c r="W533" s="26"/>
      <c r="X533" s="26"/>
      <c r="Y533" s="26"/>
    </row>
    <row r="534" spans="1:25" ht="15.75" customHeight="1">
      <c r="A534" s="26"/>
      <c r="B534" s="26"/>
      <c r="C534" s="26"/>
      <c r="D534" s="26"/>
      <c r="E534" s="26"/>
      <c r="F534" s="26"/>
      <c r="G534" s="26"/>
      <c r="H534" s="26"/>
      <c r="I534" s="26"/>
      <c r="J534" s="26"/>
      <c r="K534" s="26"/>
      <c r="L534" s="26"/>
      <c r="M534" s="27"/>
      <c r="N534" s="26"/>
      <c r="O534" s="26"/>
      <c r="P534" s="26"/>
      <c r="Q534" s="26"/>
      <c r="R534" s="26"/>
      <c r="S534" s="26"/>
      <c r="T534" s="26"/>
      <c r="U534" s="26"/>
      <c r="V534" s="26"/>
      <c r="W534" s="26"/>
      <c r="X534" s="26"/>
      <c r="Y534" s="26"/>
    </row>
    <row r="535" spans="1:25" ht="15.75" customHeight="1">
      <c r="A535" s="26"/>
      <c r="B535" s="26"/>
      <c r="C535" s="26"/>
      <c r="D535" s="26"/>
      <c r="E535" s="26"/>
      <c r="F535" s="26"/>
      <c r="G535" s="26"/>
      <c r="H535" s="26"/>
      <c r="I535" s="26"/>
      <c r="J535" s="26"/>
      <c r="K535" s="26"/>
      <c r="L535" s="26"/>
      <c r="M535" s="27"/>
      <c r="N535" s="26"/>
      <c r="O535" s="26"/>
      <c r="P535" s="26"/>
      <c r="Q535" s="26"/>
      <c r="R535" s="26"/>
      <c r="S535" s="26"/>
      <c r="T535" s="26"/>
      <c r="U535" s="26"/>
      <c r="V535" s="26"/>
      <c r="W535" s="26"/>
      <c r="X535" s="26"/>
      <c r="Y535" s="26"/>
    </row>
    <row r="536" spans="1:25" ht="15.75" customHeight="1">
      <c r="A536" s="26"/>
      <c r="B536" s="26"/>
      <c r="C536" s="26"/>
      <c r="D536" s="26"/>
      <c r="E536" s="26"/>
      <c r="F536" s="26"/>
      <c r="G536" s="26"/>
      <c r="H536" s="26"/>
      <c r="I536" s="26"/>
      <c r="J536" s="26"/>
      <c r="K536" s="26"/>
      <c r="L536" s="26"/>
      <c r="M536" s="27"/>
      <c r="N536" s="26"/>
      <c r="O536" s="26"/>
      <c r="P536" s="26"/>
      <c r="Q536" s="26"/>
      <c r="R536" s="26"/>
      <c r="S536" s="26"/>
      <c r="T536" s="26"/>
      <c r="U536" s="26"/>
      <c r="V536" s="26"/>
      <c r="W536" s="26"/>
      <c r="X536" s="26"/>
      <c r="Y536" s="26"/>
    </row>
    <row r="537" spans="1:25" ht="15.75" customHeight="1">
      <c r="A537" s="26"/>
      <c r="B537" s="26"/>
      <c r="C537" s="26"/>
      <c r="D537" s="26"/>
      <c r="E537" s="26"/>
      <c r="F537" s="26"/>
      <c r="G537" s="26"/>
      <c r="H537" s="26"/>
      <c r="I537" s="26"/>
      <c r="J537" s="26"/>
      <c r="K537" s="26"/>
      <c r="L537" s="26"/>
      <c r="M537" s="27"/>
      <c r="N537" s="26"/>
      <c r="O537" s="26"/>
      <c r="P537" s="26"/>
      <c r="Q537" s="26"/>
      <c r="R537" s="26"/>
      <c r="S537" s="26"/>
      <c r="T537" s="26"/>
      <c r="U537" s="26"/>
      <c r="V537" s="26"/>
      <c r="W537" s="26"/>
      <c r="X537" s="26"/>
      <c r="Y537" s="26"/>
    </row>
    <row r="538" spans="1:25" ht="15.75" customHeight="1">
      <c r="A538" s="26"/>
      <c r="B538" s="26"/>
      <c r="C538" s="26"/>
      <c r="D538" s="26"/>
      <c r="E538" s="26"/>
      <c r="F538" s="26"/>
      <c r="G538" s="26"/>
      <c r="H538" s="26"/>
      <c r="I538" s="26"/>
      <c r="J538" s="26"/>
      <c r="K538" s="26"/>
      <c r="L538" s="26"/>
      <c r="M538" s="27"/>
      <c r="N538" s="26"/>
      <c r="O538" s="26"/>
      <c r="P538" s="26"/>
      <c r="Q538" s="26"/>
      <c r="R538" s="26"/>
      <c r="S538" s="26"/>
      <c r="T538" s="26"/>
      <c r="U538" s="26"/>
      <c r="V538" s="26"/>
      <c r="W538" s="26"/>
      <c r="X538" s="26"/>
      <c r="Y538" s="26"/>
    </row>
    <row r="539" spans="1:25" ht="15.75" customHeight="1">
      <c r="A539" s="26"/>
      <c r="B539" s="26"/>
      <c r="C539" s="26"/>
      <c r="D539" s="26"/>
      <c r="E539" s="26"/>
      <c r="F539" s="26"/>
      <c r="G539" s="26"/>
      <c r="H539" s="26"/>
      <c r="I539" s="26"/>
      <c r="J539" s="26"/>
      <c r="K539" s="26"/>
      <c r="L539" s="26"/>
      <c r="M539" s="27"/>
      <c r="N539" s="26"/>
      <c r="O539" s="26"/>
      <c r="P539" s="26"/>
      <c r="Q539" s="26"/>
      <c r="R539" s="26"/>
      <c r="S539" s="26"/>
      <c r="T539" s="26"/>
      <c r="U539" s="26"/>
      <c r="V539" s="26"/>
      <c r="W539" s="26"/>
      <c r="X539" s="26"/>
      <c r="Y539" s="26"/>
    </row>
    <row r="540" spans="1:25" ht="15.75" customHeight="1">
      <c r="A540" s="26"/>
      <c r="B540" s="26"/>
      <c r="C540" s="26"/>
      <c r="D540" s="26"/>
      <c r="E540" s="26"/>
      <c r="F540" s="26"/>
      <c r="G540" s="26"/>
      <c r="H540" s="26"/>
      <c r="I540" s="26"/>
      <c r="J540" s="26"/>
      <c r="K540" s="26"/>
      <c r="L540" s="26"/>
      <c r="M540" s="27"/>
      <c r="N540" s="26"/>
      <c r="O540" s="26"/>
      <c r="P540" s="26"/>
      <c r="Q540" s="26"/>
      <c r="R540" s="26"/>
      <c r="S540" s="26"/>
      <c r="T540" s="26"/>
      <c r="U540" s="26"/>
      <c r="V540" s="26"/>
      <c r="W540" s="26"/>
      <c r="X540" s="26"/>
      <c r="Y540" s="26"/>
    </row>
    <row r="541" spans="1:25" ht="15.75" customHeight="1">
      <c r="A541" s="26"/>
      <c r="B541" s="26"/>
      <c r="C541" s="26"/>
      <c r="D541" s="26"/>
      <c r="E541" s="26"/>
      <c r="F541" s="26"/>
      <c r="G541" s="26"/>
      <c r="H541" s="26"/>
      <c r="I541" s="26"/>
      <c r="J541" s="26"/>
      <c r="K541" s="26"/>
      <c r="L541" s="26"/>
      <c r="M541" s="27"/>
      <c r="N541" s="26"/>
      <c r="O541" s="26"/>
      <c r="P541" s="26"/>
      <c r="Q541" s="26"/>
      <c r="R541" s="26"/>
      <c r="S541" s="26"/>
      <c r="T541" s="26"/>
      <c r="U541" s="26"/>
      <c r="V541" s="26"/>
      <c r="W541" s="26"/>
      <c r="X541" s="26"/>
      <c r="Y541" s="26"/>
    </row>
    <row r="542" spans="1:25" ht="15.75" customHeight="1">
      <c r="A542" s="26"/>
      <c r="B542" s="26"/>
      <c r="C542" s="26"/>
      <c r="D542" s="26"/>
      <c r="E542" s="26"/>
      <c r="F542" s="26"/>
      <c r="G542" s="26"/>
      <c r="H542" s="26"/>
      <c r="I542" s="26"/>
      <c r="J542" s="26"/>
      <c r="K542" s="26"/>
      <c r="L542" s="26"/>
      <c r="M542" s="27"/>
      <c r="N542" s="26"/>
      <c r="O542" s="26"/>
      <c r="P542" s="26"/>
      <c r="Q542" s="26"/>
      <c r="R542" s="26"/>
      <c r="S542" s="26"/>
      <c r="T542" s="26"/>
      <c r="U542" s="26"/>
      <c r="V542" s="26"/>
      <c r="W542" s="26"/>
      <c r="X542" s="26"/>
      <c r="Y542" s="26"/>
    </row>
    <row r="543" spans="1:25" ht="15.75" customHeight="1">
      <c r="A543" s="26"/>
      <c r="B543" s="26"/>
      <c r="C543" s="26"/>
      <c r="D543" s="26"/>
      <c r="E543" s="26"/>
      <c r="F543" s="26"/>
      <c r="G543" s="26"/>
      <c r="H543" s="26"/>
      <c r="I543" s="26"/>
      <c r="J543" s="26"/>
      <c r="K543" s="26"/>
      <c r="L543" s="26"/>
      <c r="M543" s="27"/>
      <c r="N543" s="26"/>
      <c r="O543" s="26"/>
      <c r="P543" s="26"/>
      <c r="Q543" s="26"/>
      <c r="R543" s="26"/>
      <c r="S543" s="26"/>
      <c r="T543" s="26"/>
      <c r="U543" s="26"/>
      <c r="V543" s="26"/>
      <c r="W543" s="26"/>
      <c r="X543" s="26"/>
      <c r="Y543" s="26"/>
    </row>
    <row r="544" spans="1:25" ht="15.75" customHeight="1">
      <c r="A544" s="26"/>
      <c r="B544" s="26"/>
      <c r="C544" s="26"/>
      <c r="D544" s="26"/>
      <c r="E544" s="26"/>
      <c r="F544" s="26"/>
      <c r="G544" s="26"/>
      <c r="H544" s="26"/>
      <c r="I544" s="26"/>
      <c r="J544" s="26"/>
      <c r="K544" s="26"/>
      <c r="L544" s="26"/>
      <c r="M544" s="27"/>
      <c r="N544" s="26"/>
      <c r="O544" s="26"/>
      <c r="P544" s="26"/>
      <c r="Q544" s="26"/>
      <c r="R544" s="26"/>
      <c r="S544" s="26"/>
      <c r="T544" s="26"/>
      <c r="U544" s="26"/>
      <c r="V544" s="26"/>
      <c r="W544" s="26"/>
      <c r="X544" s="26"/>
      <c r="Y544" s="26"/>
    </row>
    <row r="545" spans="1:25" ht="15.75" customHeight="1">
      <c r="A545" s="26"/>
      <c r="B545" s="26"/>
      <c r="C545" s="26"/>
      <c r="D545" s="26"/>
      <c r="E545" s="26"/>
      <c r="F545" s="26"/>
      <c r="G545" s="26"/>
      <c r="H545" s="26"/>
      <c r="I545" s="26"/>
      <c r="J545" s="26"/>
      <c r="K545" s="26"/>
      <c r="L545" s="26"/>
      <c r="M545" s="27"/>
      <c r="N545" s="26"/>
      <c r="O545" s="26"/>
      <c r="P545" s="26"/>
      <c r="Q545" s="26"/>
      <c r="R545" s="26"/>
      <c r="S545" s="26"/>
      <c r="T545" s="26"/>
      <c r="U545" s="26"/>
      <c r="V545" s="26"/>
      <c r="W545" s="26"/>
      <c r="X545" s="26"/>
      <c r="Y545" s="26"/>
    </row>
    <row r="546" spans="1:25" ht="15.75" customHeight="1">
      <c r="A546" s="26"/>
      <c r="B546" s="26"/>
      <c r="C546" s="26"/>
      <c r="D546" s="26"/>
      <c r="E546" s="26"/>
      <c r="F546" s="26"/>
      <c r="G546" s="26"/>
      <c r="H546" s="26"/>
      <c r="I546" s="26"/>
      <c r="J546" s="26"/>
      <c r="K546" s="26"/>
      <c r="L546" s="26"/>
      <c r="M546" s="27"/>
      <c r="N546" s="26"/>
      <c r="O546" s="26"/>
      <c r="P546" s="26"/>
      <c r="Q546" s="26"/>
      <c r="R546" s="26"/>
      <c r="S546" s="26"/>
      <c r="T546" s="26"/>
      <c r="U546" s="26"/>
      <c r="V546" s="26"/>
      <c r="W546" s="26"/>
      <c r="X546" s="26"/>
      <c r="Y546" s="26"/>
    </row>
    <row r="547" spans="1:25" ht="15.75" customHeight="1">
      <c r="A547" s="26"/>
      <c r="B547" s="26"/>
      <c r="C547" s="26"/>
      <c r="D547" s="26"/>
      <c r="E547" s="26"/>
      <c r="F547" s="26"/>
      <c r="G547" s="26"/>
      <c r="H547" s="26"/>
      <c r="I547" s="26"/>
      <c r="J547" s="26"/>
      <c r="K547" s="26"/>
      <c r="L547" s="26"/>
      <c r="M547" s="27"/>
      <c r="N547" s="26"/>
      <c r="O547" s="26"/>
      <c r="P547" s="26"/>
      <c r="Q547" s="26"/>
      <c r="R547" s="26"/>
      <c r="S547" s="26"/>
      <c r="T547" s="26"/>
      <c r="U547" s="26"/>
      <c r="V547" s="26"/>
      <c r="W547" s="26"/>
      <c r="X547" s="26"/>
      <c r="Y547" s="26"/>
    </row>
    <row r="548" spans="1:25" ht="15.75" customHeight="1">
      <c r="A548" s="26"/>
      <c r="B548" s="26"/>
      <c r="C548" s="26"/>
      <c r="D548" s="26"/>
      <c r="E548" s="26"/>
      <c r="F548" s="26"/>
      <c r="G548" s="26"/>
      <c r="H548" s="26"/>
      <c r="I548" s="26"/>
      <c r="J548" s="26"/>
      <c r="K548" s="26"/>
      <c r="L548" s="26"/>
      <c r="M548" s="27"/>
      <c r="N548" s="26"/>
      <c r="O548" s="26"/>
      <c r="P548" s="26"/>
      <c r="Q548" s="26"/>
      <c r="R548" s="26"/>
      <c r="S548" s="26"/>
      <c r="T548" s="26"/>
      <c r="U548" s="26"/>
      <c r="V548" s="26"/>
      <c r="W548" s="26"/>
      <c r="X548" s="26"/>
      <c r="Y548" s="26"/>
    </row>
    <row r="549" spans="1:25" ht="15.75" customHeight="1">
      <c r="A549" s="26"/>
      <c r="B549" s="26"/>
      <c r="C549" s="26"/>
      <c r="D549" s="26"/>
      <c r="E549" s="26"/>
      <c r="F549" s="26"/>
      <c r="G549" s="26"/>
      <c r="H549" s="26"/>
      <c r="I549" s="26"/>
      <c r="J549" s="26"/>
      <c r="K549" s="26"/>
      <c r="L549" s="26"/>
      <c r="M549" s="27"/>
      <c r="N549" s="26"/>
      <c r="O549" s="26"/>
      <c r="P549" s="26"/>
      <c r="Q549" s="26"/>
      <c r="R549" s="26"/>
      <c r="S549" s="26"/>
      <c r="T549" s="26"/>
      <c r="U549" s="26"/>
      <c r="V549" s="26"/>
      <c r="W549" s="26"/>
      <c r="X549" s="26"/>
      <c r="Y549" s="26"/>
    </row>
    <row r="550" spans="1:25" ht="15.75" customHeight="1">
      <c r="A550" s="26"/>
      <c r="B550" s="26"/>
      <c r="C550" s="26"/>
      <c r="D550" s="26"/>
      <c r="E550" s="26"/>
      <c r="F550" s="26"/>
      <c r="G550" s="26"/>
      <c r="H550" s="26"/>
      <c r="I550" s="26"/>
      <c r="J550" s="26"/>
      <c r="K550" s="26"/>
      <c r="L550" s="26"/>
      <c r="M550" s="27"/>
      <c r="N550" s="26"/>
      <c r="O550" s="26"/>
      <c r="P550" s="26"/>
      <c r="Q550" s="26"/>
      <c r="R550" s="26"/>
      <c r="S550" s="26"/>
      <c r="T550" s="26"/>
      <c r="U550" s="26"/>
      <c r="V550" s="26"/>
      <c r="W550" s="26"/>
      <c r="X550" s="26"/>
      <c r="Y550" s="26"/>
    </row>
    <row r="551" spans="1:25" ht="15.75" customHeight="1">
      <c r="A551" s="26"/>
      <c r="B551" s="26"/>
      <c r="C551" s="26"/>
      <c r="D551" s="26"/>
      <c r="E551" s="26"/>
      <c r="F551" s="26"/>
      <c r="G551" s="26"/>
      <c r="H551" s="26"/>
      <c r="I551" s="26"/>
      <c r="J551" s="26"/>
      <c r="K551" s="26"/>
      <c r="L551" s="26"/>
      <c r="M551" s="27"/>
      <c r="N551" s="26"/>
      <c r="O551" s="26"/>
      <c r="P551" s="26"/>
      <c r="Q551" s="26"/>
      <c r="R551" s="26"/>
      <c r="S551" s="26"/>
      <c r="T551" s="26"/>
      <c r="U551" s="26"/>
      <c r="V551" s="26"/>
      <c r="W551" s="26"/>
      <c r="X551" s="26"/>
      <c r="Y551" s="26"/>
    </row>
    <row r="552" spans="1:25" ht="15.75" customHeight="1">
      <c r="A552" s="26"/>
      <c r="B552" s="26"/>
      <c r="C552" s="26"/>
      <c r="D552" s="26"/>
      <c r="E552" s="26"/>
      <c r="F552" s="26"/>
      <c r="G552" s="26"/>
      <c r="H552" s="26"/>
      <c r="I552" s="26"/>
      <c r="J552" s="26"/>
      <c r="K552" s="26"/>
      <c r="L552" s="26"/>
      <c r="M552" s="27"/>
      <c r="N552" s="26"/>
      <c r="O552" s="26"/>
      <c r="P552" s="26"/>
      <c r="Q552" s="26"/>
      <c r="R552" s="26"/>
      <c r="S552" s="26"/>
      <c r="T552" s="26"/>
      <c r="U552" s="26"/>
      <c r="V552" s="26"/>
      <c r="W552" s="26"/>
      <c r="X552" s="26"/>
      <c r="Y552" s="26"/>
    </row>
    <row r="553" spans="1:25" ht="15.75" customHeight="1">
      <c r="A553" s="26"/>
      <c r="B553" s="26"/>
      <c r="C553" s="26"/>
      <c r="D553" s="26"/>
      <c r="E553" s="26"/>
      <c r="F553" s="26"/>
      <c r="G553" s="26"/>
      <c r="H553" s="26"/>
      <c r="I553" s="26"/>
      <c r="J553" s="26"/>
      <c r="K553" s="26"/>
      <c r="L553" s="26"/>
      <c r="M553" s="27"/>
      <c r="N553" s="26"/>
      <c r="O553" s="26"/>
      <c r="P553" s="26"/>
      <c r="Q553" s="26"/>
      <c r="R553" s="26"/>
      <c r="S553" s="26"/>
      <c r="T553" s="26"/>
      <c r="U553" s="26"/>
      <c r="V553" s="26"/>
      <c r="W553" s="26"/>
      <c r="X553" s="26"/>
      <c r="Y553" s="26"/>
    </row>
    <row r="554" spans="1:25" ht="15.75" customHeight="1">
      <c r="A554" s="26"/>
      <c r="B554" s="26"/>
      <c r="C554" s="26"/>
      <c r="D554" s="26"/>
      <c r="E554" s="26"/>
      <c r="F554" s="26"/>
      <c r="G554" s="26"/>
      <c r="H554" s="26"/>
      <c r="I554" s="26"/>
      <c r="J554" s="26"/>
      <c r="K554" s="26"/>
      <c r="L554" s="26"/>
      <c r="M554" s="27"/>
      <c r="N554" s="26"/>
      <c r="O554" s="26"/>
      <c r="P554" s="26"/>
      <c r="Q554" s="26"/>
      <c r="R554" s="26"/>
      <c r="S554" s="26"/>
      <c r="T554" s="26"/>
      <c r="U554" s="26"/>
      <c r="V554" s="26"/>
      <c r="W554" s="26"/>
      <c r="X554" s="26"/>
      <c r="Y554" s="26"/>
    </row>
    <row r="555" spans="1:25" ht="15.75" customHeight="1">
      <c r="A555" s="26"/>
      <c r="B555" s="26"/>
      <c r="C555" s="26"/>
      <c r="D555" s="26"/>
      <c r="E555" s="26"/>
      <c r="F555" s="26"/>
      <c r="G555" s="26"/>
      <c r="H555" s="26"/>
      <c r="I555" s="26"/>
      <c r="J555" s="26"/>
      <c r="K555" s="26"/>
      <c r="L555" s="26"/>
      <c r="M555" s="27"/>
      <c r="N555" s="26"/>
      <c r="O555" s="26"/>
      <c r="P555" s="26"/>
      <c r="Q555" s="26"/>
      <c r="R555" s="26"/>
      <c r="S555" s="26"/>
      <c r="T555" s="26"/>
      <c r="U555" s="26"/>
      <c r="V555" s="26"/>
      <c r="W555" s="26"/>
      <c r="X555" s="26"/>
      <c r="Y555" s="26"/>
    </row>
    <row r="556" spans="1:25" ht="15.75" customHeight="1">
      <c r="A556" s="26"/>
      <c r="B556" s="26"/>
      <c r="C556" s="26"/>
      <c r="D556" s="26"/>
      <c r="E556" s="26"/>
      <c r="F556" s="26"/>
      <c r="G556" s="26"/>
      <c r="H556" s="26"/>
      <c r="I556" s="26"/>
      <c r="J556" s="26"/>
      <c r="K556" s="26"/>
      <c r="L556" s="26"/>
      <c r="M556" s="27"/>
      <c r="N556" s="26"/>
      <c r="O556" s="26"/>
      <c r="P556" s="26"/>
      <c r="Q556" s="26"/>
      <c r="R556" s="26"/>
      <c r="S556" s="26"/>
      <c r="T556" s="26"/>
      <c r="U556" s="26"/>
      <c r="V556" s="26"/>
      <c r="W556" s="26"/>
      <c r="X556" s="26"/>
      <c r="Y556" s="26"/>
    </row>
    <row r="557" spans="1:25" ht="15.75" customHeight="1">
      <c r="A557" s="26"/>
      <c r="B557" s="26"/>
      <c r="C557" s="26"/>
      <c r="D557" s="26"/>
      <c r="E557" s="26"/>
      <c r="F557" s="26"/>
      <c r="G557" s="26"/>
      <c r="H557" s="26"/>
      <c r="I557" s="26"/>
      <c r="J557" s="26"/>
      <c r="K557" s="26"/>
      <c r="L557" s="26"/>
      <c r="M557" s="27"/>
      <c r="N557" s="26"/>
      <c r="O557" s="26"/>
      <c r="P557" s="26"/>
      <c r="Q557" s="26"/>
      <c r="R557" s="26"/>
      <c r="S557" s="26"/>
      <c r="T557" s="26"/>
      <c r="U557" s="26"/>
      <c r="V557" s="26"/>
      <c r="W557" s="26"/>
      <c r="X557" s="26"/>
      <c r="Y557" s="26"/>
    </row>
    <row r="558" spans="1:25" ht="15.75" customHeight="1">
      <c r="A558" s="26"/>
      <c r="B558" s="26"/>
      <c r="C558" s="26"/>
      <c r="D558" s="26"/>
      <c r="E558" s="26"/>
      <c r="F558" s="26"/>
      <c r="G558" s="26"/>
      <c r="H558" s="26"/>
      <c r="I558" s="26"/>
      <c r="J558" s="26"/>
      <c r="K558" s="26"/>
      <c r="L558" s="26"/>
      <c r="M558" s="27"/>
      <c r="N558" s="26"/>
      <c r="O558" s="26"/>
      <c r="P558" s="26"/>
      <c r="Q558" s="26"/>
      <c r="R558" s="26"/>
      <c r="S558" s="26"/>
      <c r="T558" s="26"/>
      <c r="U558" s="26"/>
      <c r="V558" s="26"/>
      <c r="W558" s="26"/>
      <c r="X558" s="26"/>
      <c r="Y558" s="26"/>
    </row>
    <row r="559" spans="1:25" ht="15.75" customHeight="1">
      <c r="A559" s="26"/>
      <c r="B559" s="26"/>
      <c r="C559" s="26"/>
      <c r="D559" s="26"/>
      <c r="E559" s="26"/>
      <c r="F559" s="26"/>
      <c r="G559" s="26"/>
      <c r="H559" s="26"/>
      <c r="I559" s="26"/>
      <c r="J559" s="26"/>
      <c r="K559" s="26"/>
      <c r="L559" s="26"/>
      <c r="M559" s="27"/>
      <c r="N559" s="26"/>
      <c r="O559" s="26"/>
      <c r="P559" s="26"/>
      <c r="Q559" s="26"/>
      <c r="R559" s="26"/>
      <c r="S559" s="26"/>
      <c r="T559" s="26"/>
      <c r="U559" s="26"/>
      <c r="V559" s="26"/>
      <c r="W559" s="26"/>
      <c r="X559" s="26"/>
      <c r="Y559" s="26"/>
    </row>
    <row r="560" spans="1:25" ht="15.75" customHeight="1">
      <c r="A560" s="26"/>
      <c r="B560" s="26"/>
      <c r="C560" s="26"/>
      <c r="D560" s="26"/>
      <c r="E560" s="26"/>
      <c r="F560" s="26"/>
      <c r="G560" s="26"/>
      <c r="H560" s="26"/>
      <c r="I560" s="26"/>
      <c r="J560" s="26"/>
      <c r="K560" s="26"/>
      <c r="L560" s="26"/>
      <c r="M560" s="27"/>
      <c r="N560" s="26"/>
      <c r="O560" s="26"/>
      <c r="P560" s="26"/>
      <c r="Q560" s="26"/>
      <c r="R560" s="26"/>
      <c r="S560" s="26"/>
      <c r="T560" s="26"/>
      <c r="U560" s="26"/>
      <c r="V560" s="26"/>
      <c r="W560" s="26"/>
      <c r="X560" s="26"/>
      <c r="Y560" s="26"/>
    </row>
    <row r="561" spans="1:25" ht="15.75" customHeight="1">
      <c r="A561" s="26"/>
      <c r="B561" s="26"/>
      <c r="C561" s="26"/>
      <c r="D561" s="26"/>
      <c r="E561" s="26"/>
      <c r="F561" s="26"/>
      <c r="G561" s="26"/>
      <c r="H561" s="26"/>
      <c r="I561" s="26"/>
      <c r="J561" s="26"/>
      <c r="K561" s="26"/>
      <c r="L561" s="26"/>
      <c r="M561" s="27"/>
      <c r="N561" s="26"/>
      <c r="O561" s="26"/>
      <c r="P561" s="26"/>
      <c r="Q561" s="26"/>
      <c r="R561" s="26"/>
      <c r="S561" s="26"/>
      <c r="T561" s="26"/>
      <c r="U561" s="26"/>
      <c r="V561" s="26"/>
      <c r="W561" s="26"/>
      <c r="X561" s="26"/>
      <c r="Y561" s="26"/>
    </row>
    <row r="562" spans="1:25" ht="15.75" customHeight="1">
      <c r="A562" s="26"/>
      <c r="B562" s="26"/>
      <c r="C562" s="26"/>
      <c r="D562" s="26"/>
      <c r="E562" s="26"/>
      <c r="F562" s="26"/>
      <c r="G562" s="26"/>
      <c r="H562" s="26"/>
      <c r="I562" s="26"/>
      <c r="J562" s="26"/>
      <c r="K562" s="26"/>
      <c r="L562" s="26"/>
      <c r="M562" s="27"/>
      <c r="N562" s="26"/>
      <c r="O562" s="26"/>
      <c r="P562" s="26"/>
      <c r="Q562" s="26"/>
      <c r="R562" s="26"/>
      <c r="S562" s="26"/>
      <c r="T562" s="26"/>
      <c r="U562" s="26"/>
      <c r="V562" s="26"/>
      <c r="W562" s="26"/>
      <c r="X562" s="26"/>
      <c r="Y562" s="26"/>
    </row>
    <row r="563" spans="1:25" ht="15.75" customHeight="1">
      <c r="A563" s="26"/>
      <c r="B563" s="26"/>
      <c r="C563" s="26"/>
      <c r="D563" s="26"/>
      <c r="E563" s="26"/>
      <c r="F563" s="26"/>
      <c r="G563" s="26"/>
      <c r="H563" s="26"/>
      <c r="I563" s="26"/>
      <c r="J563" s="26"/>
      <c r="K563" s="26"/>
      <c r="L563" s="26"/>
      <c r="M563" s="27"/>
      <c r="N563" s="26"/>
      <c r="O563" s="26"/>
      <c r="P563" s="26"/>
      <c r="Q563" s="26"/>
      <c r="R563" s="26"/>
      <c r="S563" s="26"/>
      <c r="T563" s="26"/>
      <c r="U563" s="26"/>
      <c r="V563" s="26"/>
      <c r="W563" s="26"/>
      <c r="X563" s="26"/>
      <c r="Y563" s="26"/>
    </row>
    <row r="564" spans="1:25" ht="15.75" customHeight="1">
      <c r="A564" s="26"/>
      <c r="B564" s="26"/>
      <c r="C564" s="26"/>
      <c r="D564" s="26"/>
      <c r="E564" s="26"/>
      <c r="F564" s="26"/>
      <c r="G564" s="26"/>
      <c r="H564" s="26"/>
      <c r="I564" s="26"/>
      <c r="J564" s="26"/>
      <c r="K564" s="26"/>
      <c r="L564" s="26"/>
      <c r="M564" s="27"/>
      <c r="N564" s="26"/>
      <c r="O564" s="26"/>
      <c r="P564" s="26"/>
      <c r="Q564" s="26"/>
      <c r="R564" s="26"/>
      <c r="S564" s="26"/>
      <c r="T564" s="26"/>
      <c r="U564" s="26"/>
      <c r="V564" s="26"/>
      <c r="W564" s="26"/>
      <c r="X564" s="26"/>
      <c r="Y564" s="26"/>
    </row>
    <row r="565" spans="1:25" ht="15.75" customHeight="1">
      <c r="A565" s="26"/>
      <c r="B565" s="26"/>
      <c r="C565" s="26"/>
      <c r="D565" s="26"/>
      <c r="E565" s="26"/>
      <c r="F565" s="26"/>
      <c r="G565" s="26"/>
      <c r="H565" s="26"/>
      <c r="I565" s="26"/>
      <c r="J565" s="26"/>
      <c r="K565" s="26"/>
      <c r="L565" s="26"/>
      <c r="M565" s="27"/>
      <c r="N565" s="26"/>
      <c r="O565" s="26"/>
      <c r="P565" s="26"/>
      <c r="Q565" s="26"/>
      <c r="R565" s="26"/>
      <c r="S565" s="26"/>
      <c r="T565" s="26"/>
      <c r="U565" s="26"/>
      <c r="V565" s="26"/>
      <c r="W565" s="26"/>
      <c r="X565" s="26"/>
      <c r="Y565" s="26"/>
    </row>
    <row r="566" spans="1:25" ht="15.75" customHeight="1">
      <c r="A566" s="26"/>
      <c r="B566" s="26"/>
      <c r="C566" s="26"/>
      <c r="D566" s="26"/>
      <c r="E566" s="26"/>
      <c r="F566" s="26"/>
      <c r="G566" s="26"/>
      <c r="H566" s="26"/>
      <c r="I566" s="26"/>
      <c r="J566" s="26"/>
      <c r="K566" s="26"/>
      <c r="L566" s="26"/>
      <c r="M566" s="27"/>
      <c r="N566" s="26"/>
      <c r="O566" s="26"/>
      <c r="P566" s="26"/>
      <c r="Q566" s="26"/>
      <c r="R566" s="26"/>
      <c r="S566" s="26"/>
      <c r="T566" s="26"/>
      <c r="U566" s="26"/>
      <c r="V566" s="26"/>
      <c r="W566" s="26"/>
      <c r="X566" s="26"/>
      <c r="Y566" s="26"/>
    </row>
    <row r="567" spans="1:25" ht="15.75" customHeight="1">
      <c r="A567" s="26"/>
      <c r="B567" s="26"/>
      <c r="C567" s="26"/>
      <c r="D567" s="26"/>
      <c r="E567" s="26"/>
      <c r="F567" s="26"/>
      <c r="G567" s="26"/>
      <c r="H567" s="26"/>
      <c r="I567" s="26"/>
      <c r="J567" s="26"/>
      <c r="K567" s="26"/>
      <c r="L567" s="26"/>
      <c r="M567" s="27"/>
      <c r="N567" s="26"/>
      <c r="O567" s="26"/>
      <c r="P567" s="26"/>
      <c r="Q567" s="26"/>
      <c r="R567" s="26"/>
      <c r="S567" s="26"/>
      <c r="T567" s="26"/>
      <c r="U567" s="26"/>
      <c r="V567" s="26"/>
      <c r="W567" s="26"/>
      <c r="X567" s="26"/>
      <c r="Y567" s="26"/>
    </row>
    <row r="568" spans="1:25" ht="15.75" customHeight="1">
      <c r="A568" s="26"/>
      <c r="B568" s="26"/>
      <c r="C568" s="26"/>
      <c r="D568" s="26"/>
      <c r="E568" s="26"/>
      <c r="F568" s="26"/>
      <c r="G568" s="26"/>
      <c r="H568" s="26"/>
      <c r="I568" s="26"/>
      <c r="J568" s="26"/>
      <c r="K568" s="26"/>
      <c r="L568" s="26"/>
      <c r="M568" s="27"/>
      <c r="N568" s="26"/>
      <c r="O568" s="26"/>
      <c r="P568" s="26"/>
      <c r="Q568" s="26"/>
      <c r="R568" s="26"/>
      <c r="S568" s="26"/>
      <c r="T568" s="26"/>
      <c r="U568" s="26"/>
      <c r="V568" s="26"/>
      <c r="W568" s="26"/>
      <c r="X568" s="26"/>
      <c r="Y568" s="26"/>
    </row>
    <row r="569" spans="1:25" ht="15.75" customHeight="1">
      <c r="A569" s="26"/>
      <c r="B569" s="26"/>
      <c r="C569" s="26"/>
      <c r="D569" s="26"/>
      <c r="E569" s="26"/>
      <c r="F569" s="26"/>
      <c r="G569" s="26"/>
      <c r="H569" s="26"/>
      <c r="I569" s="26"/>
      <c r="J569" s="26"/>
      <c r="K569" s="26"/>
      <c r="L569" s="26"/>
      <c r="M569" s="27"/>
      <c r="N569" s="26"/>
      <c r="O569" s="26"/>
      <c r="P569" s="26"/>
      <c r="Q569" s="26"/>
      <c r="R569" s="26"/>
      <c r="S569" s="26"/>
      <c r="T569" s="26"/>
      <c r="U569" s="26"/>
      <c r="V569" s="26"/>
      <c r="W569" s="26"/>
      <c r="X569" s="26"/>
      <c r="Y569" s="26"/>
    </row>
    <row r="570" spans="1:25" ht="15.75" customHeight="1">
      <c r="A570" s="26"/>
      <c r="B570" s="26"/>
      <c r="C570" s="26"/>
      <c r="D570" s="26"/>
      <c r="E570" s="26"/>
      <c r="F570" s="26"/>
      <c r="G570" s="26"/>
      <c r="H570" s="26"/>
      <c r="I570" s="26"/>
      <c r="J570" s="26"/>
      <c r="K570" s="26"/>
      <c r="L570" s="26"/>
      <c r="M570" s="27"/>
      <c r="N570" s="26"/>
      <c r="O570" s="26"/>
      <c r="P570" s="26"/>
      <c r="Q570" s="26"/>
      <c r="R570" s="26"/>
      <c r="S570" s="26"/>
      <c r="T570" s="26"/>
      <c r="U570" s="26"/>
      <c r="V570" s="26"/>
      <c r="W570" s="26"/>
      <c r="X570" s="26"/>
      <c r="Y570" s="26"/>
    </row>
    <row r="571" spans="1:25" ht="15.75" customHeight="1">
      <c r="A571" s="26"/>
      <c r="B571" s="26"/>
      <c r="C571" s="26"/>
      <c r="D571" s="26"/>
      <c r="E571" s="26"/>
      <c r="F571" s="26"/>
      <c r="G571" s="26"/>
      <c r="H571" s="26"/>
      <c r="I571" s="26"/>
      <c r="J571" s="26"/>
      <c r="K571" s="26"/>
      <c r="L571" s="26"/>
      <c r="M571" s="27"/>
      <c r="N571" s="26"/>
      <c r="O571" s="26"/>
      <c r="P571" s="26"/>
      <c r="Q571" s="26"/>
      <c r="R571" s="26"/>
      <c r="S571" s="26"/>
      <c r="T571" s="26"/>
      <c r="U571" s="26"/>
      <c r="V571" s="26"/>
      <c r="W571" s="26"/>
      <c r="X571" s="26"/>
      <c r="Y571" s="26"/>
    </row>
    <row r="572" spans="1:25" ht="15.75" customHeight="1">
      <c r="A572" s="26"/>
      <c r="B572" s="26"/>
      <c r="C572" s="26"/>
      <c r="D572" s="26"/>
      <c r="E572" s="26"/>
      <c r="F572" s="26"/>
      <c r="G572" s="26"/>
      <c r="H572" s="26"/>
      <c r="I572" s="26"/>
      <c r="J572" s="26"/>
      <c r="K572" s="26"/>
      <c r="L572" s="26"/>
      <c r="M572" s="27"/>
      <c r="N572" s="26"/>
      <c r="O572" s="26"/>
      <c r="P572" s="26"/>
      <c r="Q572" s="26"/>
      <c r="R572" s="26"/>
      <c r="S572" s="26"/>
      <c r="T572" s="26"/>
      <c r="U572" s="26"/>
      <c r="V572" s="26"/>
      <c r="W572" s="26"/>
      <c r="X572" s="26"/>
      <c r="Y572" s="26"/>
    </row>
    <row r="573" spans="1:25" ht="15.75" customHeight="1">
      <c r="A573" s="26"/>
      <c r="B573" s="26"/>
      <c r="C573" s="26"/>
      <c r="D573" s="26"/>
      <c r="E573" s="26"/>
      <c r="F573" s="26"/>
      <c r="G573" s="26"/>
      <c r="H573" s="26"/>
      <c r="I573" s="26"/>
      <c r="J573" s="26"/>
      <c r="K573" s="26"/>
      <c r="L573" s="26"/>
      <c r="M573" s="27"/>
      <c r="N573" s="26"/>
      <c r="O573" s="26"/>
      <c r="P573" s="26"/>
      <c r="Q573" s="26"/>
      <c r="R573" s="26"/>
      <c r="S573" s="26"/>
      <c r="T573" s="26"/>
      <c r="U573" s="26"/>
      <c r="V573" s="26"/>
      <c r="W573" s="26"/>
      <c r="X573" s="26"/>
      <c r="Y573" s="26"/>
    </row>
    <row r="574" spans="1:25" ht="15.75" customHeight="1">
      <c r="A574" s="26"/>
      <c r="B574" s="26"/>
      <c r="C574" s="26"/>
      <c r="D574" s="26"/>
      <c r="E574" s="26"/>
      <c r="F574" s="26"/>
      <c r="G574" s="26"/>
      <c r="H574" s="26"/>
      <c r="I574" s="26"/>
      <c r="J574" s="26"/>
      <c r="K574" s="26"/>
      <c r="L574" s="26"/>
      <c r="M574" s="27"/>
      <c r="N574" s="26"/>
      <c r="O574" s="26"/>
      <c r="P574" s="26"/>
      <c r="Q574" s="26"/>
      <c r="R574" s="26"/>
      <c r="S574" s="26"/>
      <c r="T574" s="26"/>
      <c r="U574" s="26"/>
      <c r="V574" s="26"/>
      <c r="W574" s="26"/>
      <c r="X574" s="26"/>
      <c r="Y574" s="26"/>
    </row>
    <row r="575" spans="1:25" ht="15.75" customHeight="1">
      <c r="A575" s="26"/>
      <c r="B575" s="26"/>
      <c r="C575" s="26"/>
      <c r="D575" s="26"/>
      <c r="E575" s="26"/>
      <c r="F575" s="26"/>
      <c r="G575" s="26"/>
      <c r="H575" s="26"/>
      <c r="I575" s="26"/>
      <c r="J575" s="26"/>
      <c r="K575" s="26"/>
      <c r="L575" s="26"/>
      <c r="M575" s="27"/>
      <c r="N575" s="26"/>
      <c r="O575" s="26"/>
      <c r="P575" s="26"/>
      <c r="Q575" s="26"/>
      <c r="R575" s="26"/>
      <c r="S575" s="26"/>
      <c r="T575" s="26"/>
      <c r="U575" s="26"/>
      <c r="V575" s="26"/>
      <c r="W575" s="26"/>
      <c r="X575" s="26"/>
      <c r="Y575" s="26"/>
    </row>
    <row r="576" spans="1:25" ht="15.75" customHeight="1">
      <c r="A576" s="26"/>
      <c r="B576" s="26"/>
      <c r="C576" s="26"/>
      <c r="D576" s="26"/>
      <c r="E576" s="26"/>
      <c r="F576" s="26"/>
      <c r="G576" s="26"/>
      <c r="H576" s="26"/>
      <c r="I576" s="26"/>
      <c r="J576" s="26"/>
      <c r="K576" s="26"/>
      <c r="L576" s="26"/>
      <c r="M576" s="27"/>
      <c r="N576" s="26"/>
      <c r="O576" s="26"/>
      <c r="P576" s="26"/>
      <c r="Q576" s="26"/>
      <c r="R576" s="26"/>
      <c r="S576" s="26"/>
      <c r="T576" s="26"/>
      <c r="U576" s="26"/>
      <c r="V576" s="26"/>
      <c r="W576" s="26"/>
      <c r="X576" s="26"/>
      <c r="Y576" s="26"/>
    </row>
    <row r="577" spans="1:25" ht="15.75" customHeight="1">
      <c r="A577" s="26"/>
      <c r="B577" s="26"/>
      <c r="C577" s="26"/>
      <c r="D577" s="26"/>
      <c r="E577" s="26"/>
      <c r="F577" s="26"/>
      <c r="G577" s="26"/>
      <c r="H577" s="26"/>
      <c r="I577" s="26"/>
      <c r="J577" s="26"/>
      <c r="K577" s="26"/>
      <c r="L577" s="26"/>
      <c r="M577" s="27"/>
      <c r="N577" s="26"/>
      <c r="O577" s="26"/>
      <c r="P577" s="26"/>
      <c r="Q577" s="26"/>
      <c r="R577" s="26"/>
      <c r="S577" s="26"/>
      <c r="T577" s="26"/>
      <c r="U577" s="26"/>
      <c r="V577" s="26"/>
      <c r="W577" s="26"/>
      <c r="X577" s="26"/>
      <c r="Y577" s="26"/>
    </row>
    <row r="578" spans="1:25" ht="15.75" customHeight="1">
      <c r="A578" s="26"/>
      <c r="B578" s="26"/>
      <c r="C578" s="26"/>
      <c r="D578" s="26"/>
      <c r="E578" s="26"/>
      <c r="F578" s="26"/>
      <c r="G578" s="26"/>
      <c r="H578" s="26"/>
      <c r="I578" s="26"/>
      <c r="J578" s="26"/>
      <c r="K578" s="26"/>
      <c r="L578" s="26"/>
      <c r="M578" s="27"/>
      <c r="N578" s="26"/>
      <c r="O578" s="26"/>
      <c r="P578" s="26"/>
      <c r="Q578" s="26"/>
      <c r="R578" s="26"/>
      <c r="S578" s="26"/>
      <c r="T578" s="26"/>
      <c r="U578" s="26"/>
      <c r="V578" s="26"/>
      <c r="W578" s="26"/>
      <c r="X578" s="26"/>
      <c r="Y578" s="26"/>
    </row>
    <row r="579" spans="1:25" ht="15.75" customHeight="1">
      <c r="A579" s="26"/>
      <c r="B579" s="26"/>
      <c r="C579" s="26"/>
      <c r="D579" s="26"/>
      <c r="E579" s="26"/>
      <c r="F579" s="26"/>
      <c r="G579" s="26"/>
      <c r="H579" s="26"/>
      <c r="I579" s="26"/>
      <c r="J579" s="26"/>
      <c r="K579" s="26"/>
      <c r="L579" s="26"/>
      <c r="M579" s="27"/>
      <c r="N579" s="26"/>
      <c r="O579" s="26"/>
      <c r="P579" s="26"/>
      <c r="Q579" s="26"/>
      <c r="R579" s="26"/>
      <c r="S579" s="26"/>
      <c r="T579" s="26"/>
      <c r="U579" s="26"/>
      <c r="V579" s="26"/>
      <c r="W579" s="26"/>
      <c r="X579" s="26"/>
      <c r="Y579" s="26"/>
    </row>
    <row r="580" spans="1:25" ht="15.75" customHeight="1">
      <c r="A580" s="26"/>
      <c r="B580" s="26"/>
      <c r="C580" s="26"/>
      <c r="D580" s="26"/>
      <c r="E580" s="26"/>
      <c r="F580" s="26"/>
      <c r="G580" s="26"/>
      <c r="H580" s="26"/>
      <c r="I580" s="26"/>
      <c r="J580" s="26"/>
      <c r="K580" s="26"/>
      <c r="L580" s="26"/>
      <c r="M580" s="27"/>
      <c r="N580" s="26"/>
      <c r="O580" s="26"/>
      <c r="P580" s="26"/>
      <c r="Q580" s="26"/>
      <c r="R580" s="26"/>
      <c r="S580" s="26"/>
      <c r="T580" s="26"/>
      <c r="U580" s="26"/>
      <c r="V580" s="26"/>
      <c r="W580" s="26"/>
      <c r="X580" s="26"/>
      <c r="Y580" s="26"/>
    </row>
    <row r="581" spans="1:25" ht="15.75" customHeight="1">
      <c r="A581" s="26"/>
      <c r="B581" s="26"/>
      <c r="C581" s="26"/>
      <c r="D581" s="26"/>
      <c r="E581" s="26"/>
      <c r="F581" s="26"/>
      <c r="G581" s="26"/>
      <c r="H581" s="26"/>
      <c r="I581" s="26"/>
      <c r="J581" s="26"/>
      <c r="K581" s="26"/>
      <c r="L581" s="26"/>
      <c r="M581" s="27"/>
      <c r="N581" s="26"/>
      <c r="O581" s="26"/>
      <c r="P581" s="26"/>
      <c r="Q581" s="26"/>
      <c r="R581" s="26"/>
      <c r="S581" s="26"/>
      <c r="T581" s="26"/>
      <c r="U581" s="26"/>
      <c r="V581" s="26"/>
      <c r="W581" s="26"/>
      <c r="X581" s="26"/>
      <c r="Y581" s="26"/>
    </row>
    <row r="582" spans="1:25" ht="15.75" customHeight="1">
      <c r="A582" s="26"/>
      <c r="B582" s="26"/>
      <c r="C582" s="26"/>
      <c r="D582" s="26"/>
      <c r="E582" s="26"/>
      <c r="F582" s="26"/>
      <c r="G582" s="26"/>
      <c r="H582" s="26"/>
      <c r="I582" s="26"/>
      <c r="J582" s="26"/>
      <c r="K582" s="26"/>
      <c r="L582" s="26"/>
      <c r="M582" s="27"/>
      <c r="N582" s="26"/>
      <c r="O582" s="26"/>
      <c r="P582" s="26"/>
      <c r="Q582" s="26"/>
      <c r="R582" s="26"/>
      <c r="S582" s="26"/>
      <c r="T582" s="26"/>
      <c r="U582" s="26"/>
      <c r="V582" s="26"/>
      <c r="W582" s="26"/>
      <c r="X582" s="26"/>
      <c r="Y582" s="26"/>
    </row>
    <row r="583" spans="1:25" ht="15.75" customHeight="1">
      <c r="A583" s="26"/>
      <c r="B583" s="26"/>
      <c r="C583" s="26"/>
      <c r="D583" s="26"/>
      <c r="E583" s="26"/>
      <c r="F583" s="26"/>
      <c r="G583" s="26"/>
      <c r="H583" s="26"/>
      <c r="I583" s="26"/>
      <c r="J583" s="26"/>
      <c r="K583" s="26"/>
      <c r="L583" s="26"/>
      <c r="M583" s="27"/>
      <c r="N583" s="26"/>
      <c r="O583" s="26"/>
      <c r="P583" s="26"/>
      <c r="Q583" s="26"/>
      <c r="R583" s="26"/>
      <c r="S583" s="26"/>
      <c r="T583" s="26"/>
      <c r="U583" s="26"/>
      <c r="V583" s="26"/>
      <c r="W583" s="26"/>
      <c r="X583" s="26"/>
      <c r="Y583" s="26"/>
    </row>
    <row r="584" spans="1:25" ht="15.75" customHeight="1">
      <c r="A584" s="26"/>
      <c r="B584" s="26"/>
      <c r="C584" s="26"/>
      <c r="D584" s="26"/>
      <c r="E584" s="26"/>
      <c r="F584" s="26"/>
      <c r="G584" s="26"/>
      <c r="H584" s="26"/>
      <c r="I584" s="26"/>
      <c r="J584" s="26"/>
      <c r="K584" s="26"/>
      <c r="L584" s="26"/>
      <c r="M584" s="27"/>
      <c r="N584" s="26"/>
      <c r="O584" s="26"/>
      <c r="P584" s="26"/>
      <c r="Q584" s="26"/>
      <c r="R584" s="26"/>
      <c r="S584" s="26"/>
      <c r="T584" s="26"/>
      <c r="U584" s="26"/>
      <c r="V584" s="26"/>
      <c r="W584" s="26"/>
      <c r="X584" s="26"/>
      <c r="Y584" s="26"/>
    </row>
    <row r="585" spans="1:25" ht="15.75" customHeight="1">
      <c r="A585" s="26"/>
      <c r="B585" s="26"/>
      <c r="C585" s="26"/>
      <c r="D585" s="26"/>
      <c r="E585" s="26"/>
      <c r="F585" s="26"/>
      <c r="G585" s="26"/>
      <c r="H585" s="26"/>
      <c r="I585" s="26"/>
      <c r="J585" s="26"/>
      <c r="K585" s="26"/>
      <c r="L585" s="26"/>
      <c r="M585" s="27"/>
      <c r="N585" s="26"/>
      <c r="O585" s="26"/>
      <c r="P585" s="26"/>
      <c r="Q585" s="26"/>
      <c r="R585" s="26"/>
      <c r="S585" s="26"/>
      <c r="T585" s="26"/>
      <c r="U585" s="26"/>
      <c r="V585" s="26"/>
      <c r="W585" s="26"/>
      <c r="X585" s="26"/>
      <c r="Y585" s="26"/>
    </row>
    <row r="586" spans="1:25" ht="15.75" customHeight="1">
      <c r="A586" s="26"/>
      <c r="B586" s="26"/>
      <c r="C586" s="26"/>
      <c r="D586" s="26"/>
      <c r="E586" s="26"/>
      <c r="F586" s="26"/>
      <c r="G586" s="26"/>
      <c r="H586" s="26"/>
      <c r="I586" s="26"/>
      <c r="J586" s="26"/>
      <c r="K586" s="26"/>
      <c r="L586" s="26"/>
      <c r="M586" s="27"/>
      <c r="N586" s="26"/>
      <c r="O586" s="26"/>
      <c r="P586" s="26"/>
      <c r="Q586" s="26"/>
      <c r="R586" s="26"/>
      <c r="S586" s="26"/>
      <c r="T586" s="26"/>
      <c r="U586" s="26"/>
      <c r="V586" s="26"/>
      <c r="W586" s="26"/>
      <c r="X586" s="26"/>
      <c r="Y586" s="26"/>
    </row>
    <row r="587" spans="1:25" ht="15.75" customHeight="1">
      <c r="A587" s="26"/>
      <c r="B587" s="26"/>
      <c r="C587" s="26"/>
      <c r="D587" s="26"/>
      <c r="E587" s="26"/>
      <c r="F587" s="26"/>
      <c r="G587" s="26"/>
      <c r="H587" s="26"/>
      <c r="I587" s="26"/>
      <c r="J587" s="26"/>
      <c r="K587" s="26"/>
      <c r="L587" s="26"/>
      <c r="M587" s="27"/>
      <c r="N587" s="26"/>
      <c r="O587" s="26"/>
      <c r="P587" s="26"/>
      <c r="Q587" s="26"/>
      <c r="R587" s="26"/>
      <c r="S587" s="26"/>
      <c r="T587" s="26"/>
      <c r="U587" s="26"/>
      <c r="V587" s="26"/>
      <c r="W587" s="26"/>
      <c r="X587" s="26"/>
      <c r="Y587" s="26"/>
    </row>
    <row r="588" spans="1:25" ht="15.75" customHeight="1">
      <c r="A588" s="26"/>
      <c r="B588" s="26"/>
      <c r="C588" s="26"/>
      <c r="D588" s="26"/>
      <c r="E588" s="26"/>
      <c r="F588" s="26"/>
      <c r="G588" s="26"/>
      <c r="H588" s="26"/>
      <c r="I588" s="26"/>
      <c r="J588" s="26"/>
      <c r="K588" s="26"/>
      <c r="L588" s="26"/>
      <c r="M588" s="27"/>
      <c r="N588" s="26"/>
      <c r="O588" s="26"/>
      <c r="P588" s="26"/>
      <c r="Q588" s="26"/>
      <c r="R588" s="26"/>
      <c r="S588" s="26"/>
      <c r="T588" s="26"/>
      <c r="U588" s="26"/>
      <c r="V588" s="26"/>
      <c r="W588" s="26"/>
      <c r="X588" s="26"/>
      <c r="Y588" s="26"/>
    </row>
    <row r="589" spans="1:25" ht="15.75" customHeight="1">
      <c r="A589" s="26"/>
      <c r="B589" s="26"/>
      <c r="C589" s="26"/>
      <c r="D589" s="26"/>
      <c r="E589" s="26"/>
      <c r="F589" s="26"/>
      <c r="G589" s="26"/>
      <c r="H589" s="26"/>
      <c r="I589" s="26"/>
      <c r="J589" s="26"/>
      <c r="K589" s="26"/>
      <c r="L589" s="26"/>
      <c r="M589" s="27"/>
      <c r="N589" s="26"/>
      <c r="O589" s="26"/>
      <c r="P589" s="26"/>
      <c r="Q589" s="26"/>
      <c r="R589" s="26"/>
      <c r="S589" s="26"/>
      <c r="T589" s="26"/>
      <c r="U589" s="26"/>
      <c r="V589" s="26"/>
      <c r="W589" s="26"/>
      <c r="X589" s="26"/>
      <c r="Y589" s="26"/>
    </row>
    <row r="590" spans="1:25" ht="15.75" customHeight="1">
      <c r="A590" s="26"/>
      <c r="B590" s="26"/>
      <c r="C590" s="26"/>
      <c r="D590" s="26"/>
      <c r="E590" s="26"/>
      <c r="F590" s="26"/>
      <c r="G590" s="26"/>
      <c r="H590" s="26"/>
      <c r="I590" s="26"/>
      <c r="J590" s="26"/>
      <c r="K590" s="26"/>
      <c r="L590" s="26"/>
      <c r="M590" s="27"/>
      <c r="N590" s="26"/>
      <c r="O590" s="26"/>
      <c r="P590" s="26"/>
      <c r="Q590" s="26"/>
      <c r="R590" s="26"/>
      <c r="S590" s="26"/>
      <c r="T590" s="26"/>
      <c r="U590" s="26"/>
      <c r="V590" s="26"/>
      <c r="W590" s="26"/>
      <c r="X590" s="26"/>
      <c r="Y590" s="26"/>
    </row>
    <row r="591" spans="1:25" ht="15.75" customHeight="1">
      <c r="A591" s="26"/>
      <c r="B591" s="26"/>
      <c r="C591" s="26"/>
      <c r="D591" s="26"/>
      <c r="E591" s="26"/>
      <c r="F591" s="26"/>
      <c r="G591" s="26"/>
      <c r="H591" s="26"/>
      <c r="I591" s="26"/>
      <c r="J591" s="26"/>
      <c r="K591" s="26"/>
      <c r="L591" s="26"/>
      <c r="M591" s="27"/>
      <c r="N591" s="26"/>
      <c r="O591" s="26"/>
      <c r="P591" s="26"/>
      <c r="Q591" s="26"/>
      <c r="R591" s="26"/>
      <c r="S591" s="26"/>
      <c r="T591" s="26"/>
      <c r="U591" s="26"/>
      <c r="V591" s="26"/>
      <c r="W591" s="26"/>
      <c r="X591" s="26"/>
      <c r="Y591" s="26"/>
    </row>
    <row r="592" spans="1:25" ht="15.75" customHeight="1">
      <c r="A592" s="26"/>
      <c r="B592" s="26"/>
      <c r="C592" s="26"/>
      <c r="D592" s="26"/>
      <c r="E592" s="26"/>
      <c r="F592" s="26"/>
      <c r="G592" s="26"/>
      <c r="H592" s="26"/>
      <c r="I592" s="26"/>
      <c r="J592" s="26"/>
      <c r="K592" s="26"/>
      <c r="L592" s="26"/>
      <c r="M592" s="27"/>
      <c r="N592" s="26"/>
      <c r="O592" s="26"/>
      <c r="P592" s="26"/>
      <c r="Q592" s="26"/>
      <c r="R592" s="26"/>
      <c r="S592" s="26"/>
      <c r="T592" s="26"/>
      <c r="U592" s="26"/>
      <c r="V592" s="26"/>
      <c r="W592" s="26"/>
      <c r="X592" s="26"/>
      <c r="Y592" s="26"/>
    </row>
    <row r="593" spans="1:25" ht="15.75" customHeight="1">
      <c r="A593" s="26"/>
      <c r="B593" s="26"/>
      <c r="C593" s="26"/>
      <c r="D593" s="26"/>
      <c r="E593" s="26"/>
      <c r="F593" s="26"/>
      <c r="G593" s="26"/>
      <c r="H593" s="26"/>
      <c r="I593" s="26"/>
      <c r="J593" s="26"/>
      <c r="K593" s="26"/>
      <c r="L593" s="26"/>
      <c r="M593" s="27"/>
      <c r="N593" s="26"/>
      <c r="O593" s="26"/>
      <c r="P593" s="26"/>
      <c r="Q593" s="26"/>
      <c r="R593" s="26"/>
      <c r="S593" s="26"/>
      <c r="T593" s="26"/>
      <c r="U593" s="26"/>
      <c r="V593" s="26"/>
      <c r="W593" s="26"/>
      <c r="X593" s="26"/>
      <c r="Y593" s="26"/>
    </row>
    <row r="594" spans="1:25" ht="15.75" customHeight="1">
      <c r="A594" s="26"/>
      <c r="B594" s="26"/>
      <c r="C594" s="26"/>
      <c r="D594" s="26"/>
      <c r="E594" s="26"/>
      <c r="F594" s="26"/>
      <c r="G594" s="26"/>
      <c r="H594" s="26"/>
      <c r="I594" s="26"/>
      <c r="J594" s="26"/>
      <c r="K594" s="26"/>
      <c r="L594" s="26"/>
      <c r="M594" s="27"/>
      <c r="N594" s="26"/>
      <c r="O594" s="26"/>
      <c r="P594" s="26"/>
      <c r="Q594" s="26"/>
      <c r="R594" s="26"/>
      <c r="S594" s="26"/>
      <c r="T594" s="26"/>
      <c r="U594" s="26"/>
      <c r="V594" s="26"/>
      <c r="W594" s="26"/>
      <c r="X594" s="26"/>
      <c r="Y594" s="26"/>
    </row>
    <row r="595" spans="1:25" ht="15.75" customHeight="1">
      <c r="A595" s="26"/>
      <c r="B595" s="26"/>
      <c r="C595" s="26"/>
      <c r="D595" s="26"/>
      <c r="E595" s="26"/>
      <c r="F595" s="26"/>
      <c r="G595" s="26"/>
      <c r="H595" s="26"/>
      <c r="I595" s="26"/>
      <c r="J595" s="26"/>
      <c r="K595" s="26"/>
      <c r="L595" s="26"/>
      <c r="M595" s="27"/>
      <c r="N595" s="26"/>
      <c r="O595" s="26"/>
      <c r="P595" s="26"/>
      <c r="Q595" s="26"/>
      <c r="R595" s="26"/>
      <c r="S595" s="26"/>
      <c r="T595" s="26"/>
      <c r="U595" s="26"/>
      <c r="V595" s="26"/>
      <c r="W595" s="26"/>
      <c r="X595" s="26"/>
      <c r="Y595" s="26"/>
    </row>
    <row r="596" spans="1:25" ht="15.75" customHeight="1">
      <c r="A596" s="26"/>
      <c r="B596" s="26"/>
      <c r="C596" s="26"/>
      <c r="D596" s="26"/>
      <c r="E596" s="26"/>
      <c r="F596" s="26"/>
      <c r="G596" s="26"/>
      <c r="H596" s="26"/>
      <c r="I596" s="26"/>
      <c r="J596" s="26"/>
      <c r="K596" s="26"/>
      <c r="L596" s="26"/>
      <c r="M596" s="27"/>
      <c r="N596" s="26"/>
      <c r="O596" s="26"/>
      <c r="P596" s="26"/>
      <c r="Q596" s="26"/>
      <c r="R596" s="26"/>
      <c r="S596" s="26"/>
      <c r="T596" s="26"/>
      <c r="U596" s="26"/>
      <c r="V596" s="26"/>
      <c r="W596" s="26"/>
      <c r="X596" s="26"/>
      <c r="Y596" s="26"/>
    </row>
    <row r="597" spans="1:25" ht="15.75" customHeight="1">
      <c r="A597" s="26"/>
      <c r="B597" s="26"/>
      <c r="C597" s="26"/>
      <c r="D597" s="26"/>
      <c r="E597" s="26"/>
      <c r="F597" s="26"/>
      <c r="G597" s="26"/>
      <c r="H597" s="26"/>
      <c r="I597" s="26"/>
      <c r="J597" s="26"/>
      <c r="K597" s="26"/>
      <c r="L597" s="26"/>
      <c r="M597" s="27"/>
      <c r="N597" s="26"/>
      <c r="O597" s="26"/>
      <c r="P597" s="26"/>
      <c r="Q597" s="26"/>
      <c r="R597" s="26"/>
      <c r="S597" s="26"/>
      <c r="T597" s="26"/>
      <c r="U597" s="26"/>
      <c r="V597" s="26"/>
      <c r="W597" s="26"/>
      <c r="X597" s="26"/>
      <c r="Y597" s="26"/>
    </row>
    <row r="598" spans="1:25" ht="15.75" customHeight="1">
      <c r="A598" s="26"/>
      <c r="B598" s="26"/>
      <c r="C598" s="26"/>
      <c r="D598" s="26"/>
      <c r="E598" s="26"/>
      <c r="F598" s="26"/>
      <c r="G598" s="26"/>
      <c r="H598" s="26"/>
      <c r="I598" s="26"/>
      <c r="J598" s="26"/>
      <c r="K598" s="26"/>
      <c r="L598" s="26"/>
      <c r="M598" s="27"/>
      <c r="N598" s="26"/>
      <c r="O598" s="26"/>
      <c r="P598" s="26"/>
      <c r="Q598" s="26"/>
      <c r="R598" s="26"/>
      <c r="S598" s="26"/>
      <c r="T598" s="26"/>
      <c r="U598" s="26"/>
      <c r="V598" s="26"/>
      <c r="W598" s="26"/>
      <c r="X598" s="26"/>
      <c r="Y598" s="26"/>
    </row>
    <row r="599" spans="1:25" ht="15.75" customHeight="1">
      <c r="A599" s="26"/>
      <c r="B599" s="26"/>
      <c r="C599" s="26"/>
      <c r="D599" s="26"/>
      <c r="E599" s="26"/>
      <c r="F599" s="26"/>
      <c r="G599" s="26"/>
      <c r="H599" s="26"/>
      <c r="I599" s="26"/>
      <c r="J599" s="26"/>
      <c r="K599" s="26"/>
      <c r="L599" s="26"/>
      <c r="M599" s="27"/>
      <c r="N599" s="26"/>
      <c r="O599" s="26"/>
      <c r="P599" s="26"/>
      <c r="Q599" s="26"/>
      <c r="R599" s="26"/>
      <c r="S599" s="26"/>
      <c r="T599" s="26"/>
      <c r="U599" s="26"/>
      <c r="V599" s="26"/>
      <c r="W599" s="26"/>
      <c r="X599" s="26"/>
      <c r="Y599" s="26"/>
    </row>
    <row r="600" spans="1:25" ht="15.75" customHeight="1">
      <c r="A600" s="26"/>
      <c r="B600" s="26"/>
      <c r="C600" s="26"/>
      <c r="D600" s="26"/>
      <c r="E600" s="26"/>
      <c r="F600" s="26"/>
      <c r="G600" s="26"/>
      <c r="H600" s="26"/>
      <c r="I600" s="26"/>
      <c r="J600" s="26"/>
      <c r="K600" s="26"/>
      <c r="L600" s="26"/>
      <c r="M600" s="27"/>
      <c r="N600" s="26"/>
      <c r="O600" s="26"/>
      <c r="P600" s="26"/>
      <c r="Q600" s="26"/>
      <c r="R600" s="26"/>
      <c r="S600" s="26"/>
      <c r="T600" s="26"/>
      <c r="U600" s="26"/>
      <c r="V600" s="26"/>
      <c r="W600" s="26"/>
      <c r="X600" s="26"/>
      <c r="Y600" s="26"/>
    </row>
    <row r="601" spans="1:25" ht="15.75" customHeight="1">
      <c r="A601" s="26"/>
      <c r="B601" s="26"/>
      <c r="C601" s="26"/>
      <c r="D601" s="26"/>
      <c r="E601" s="26"/>
      <c r="F601" s="26"/>
      <c r="G601" s="26"/>
      <c r="H601" s="26"/>
      <c r="I601" s="26"/>
      <c r="J601" s="26"/>
      <c r="K601" s="26"/>
      <c r="L601" s="26"/>
      <c r="M601" s="27"/>
      <c r="N601" s="26"/>
      <c r="O601" s="26"/>
      <c r="P601" s="26"/>
      <c r="Q601" s="26"/>
      <c r="R601" s="26"/>
      <c r="S601" s="26"/>
      <c r="T601" s="26"/>
      <c r="U601" s="26"/>
      <c r="V601" s="26"/>
      <c r="W601" s="26"/>
      <c r="X601" s="26"/>
      <c r="Y601" s="26"/>
    </row>
    <row r="602" spans="1:25" ht="15.75" customHeight="1">
      <c r="A602" s="26"/>
      <c r="B602" s="26"/>
      <c r="C602" s="26"/>
      <c r="D602" s="26"/>
      <c r="E602" s="26"/>
      <c r="F602" s="26"/>
      <c r="G602" s="26"/>
      <c r="H602" s="26"/>
      <c r="I602" s="26"/>
      <c r="J602" s="26"/>
      <c r="K602" s="26"/>
      <c r="L602" s="26"/>
      <c r="M602" s="27"/>
      <c r="N602" s="26"/>
      <c r="O602" s="26"/>
      <c r="P602" s="26"/>
      <c r="Q602" s="26"/>
      <c r="R602" s="26"/>
      <c r="S602" s="26"/>
      <c r="T602" s="26"/>
      <c r="U602" s="26"/>
      <c r="V602" s="26"/>
      <c r="W602" s="26"/>
      <c r="X602" s="26"/>
      <c r="Y602" s="26"/>
    </row>
    <row r="603" spans="1:25" ht="15.75" customHeight="1">
      <c r="A603" s="26"/>
      <c r="B603" s="26"/>
      <c r="C603" s="26"/>
      <c r="D603" s="26"/>
      <c r="E603" s="26"/>
      <c r="F603" s="26"/>
      <c r="G603" s="26"/>
      <c r="H603" s="26"/>
      <c r="I603" s="26"/>
      <c r="J603" s="26"/>
      <c r="K603" s="26"/>
      <c r="L603" s="26"/>
      <c r="M603" s="27"/>
      <c r="N603" s="26"/>
      <c r="O603" s="26"/>
      <c r="P603" s="26"/>
      <c r="Q603" s="26"/>
      <c r="R603" s="26"/>
      <c r="S603" s="26"/>
      <c r="T603" s="26"/>
      <c r="U603" s="26"/>
      <c r="V603" s="26"/>
      <c r="W603" s="26"/>
      <c r="X603" s="26"/>
      <c r="Y603" s="26"/>
    </row>
    <row r="604" spans="1:25" ht="15.75" customHeight="1">
      <c r="A604" s="26"/>
      <c r="B604" s="26"/>
      <c r="C604" s="26"/>
      <c r="D604" s="26"/>
      <c r="E604" s="26"/>
      <c r="F604" s="26"/>
      <c r="G604" s="26"/>
      <c r="H604" s="26"/>
      <c r="I604" s="26"/>
      <c r="J604" s="26"/>
      <c r="K604" s="26"/>
      <c r="L604" s="26"/>
      <c r="M604" s="27"/>
      <c r="N604" s="26"/>
      <c r="O604" s="26"/>
      <c r="P604" s="26"/>
      <c r="Q604" s="26"/>
      <c r="R604" s="26"/>
      <c r="S604" s="26"/>
      <c r="T604" s="26"/>
      <c r="U604" s="26"/>
      <c r="V604" s="26"/>
      <c r="W604" s="26"/>
      <c r="X604" s="26"/>
      <c r="Y604" s="26"/>
    </row>
    <row r="605" spans="1:25" ht="15.75" customHeight="1">
      <c r="A605" s="26"/>
      <c r="B605" s="26"/>
      <c r="C605" s="26"/>
      <c r="D605" s="26"/>
      <c r="E605" s="26"/>
      <c r="F605" s="26"/>
      <c r="G605" s="26"/>
      <c r="H605" s="26"/>
      <c r="I605" s="26"/>
      <c r="J605" s="26"/>
      <c r="K605" s="26"/>
      <c r="L605" s="26"/>
      <c r="M605" s="27"/>
      <c r="N605" s="26"/>
      <c r="O605" s="26"/>
      <c r="P605" s="26"/>
      <c r="Q605" s="26"/>
      <c r="R605" s="26"/>
      <c r="S605" s="26"/>
      <c r="T605" s="26"/>
      <c r="U605" s="26"/>
      <c r="V605" s="26"/>
      <c r="W605" s="26"/>
      <c r="X605" s="26"/>
      <c r="Y605" s="26"/>
    </row>
    <row r="606" spans="1:25" ht="15.75" customHeight="1">
      <c r="A606" s="26"/>
      <c r="B606" s="26"/>
      <c r="C606" s="26"/>
      <c r="D606" s="26"/>
      <c r="E606" s="26"/>
      <c r="F606" s="26"/>
      <c r="G606" s="26"/>
      <c r="H606" s="26"/>
      <c r="I606" s="26"/>
      <c r="J606" s="26"/>
      <c r="K606" s="26"/>
      <c r="L606" s="26"/>
      <c r="M606" s="27"/>
      <c r="N606" s="26"/>
      <c r="O606" s="26"/>
      <c r="P606" s="26"/>
      <c r="Q606" s="26"/>
      <c r="R606" s="26"/>
      <c r="S606" s="26"/>
      <c r="T606" s="26"/>
      <c r="U606" s="26"/>
      <c r="V606" s="26"/>
      <c r="W606" s="26"/>
      <c r="X606" s="26"/>
      <c r="Y606" s="26"/>
    </row>
    <row r="607" spans="1:25" ht="15.75" customHeight="1">
      <c r="A607" s="26"/>
      <c r="B607" s="26"/>
      <c r="C607" s="26"/>
      <c r="D607" s="26"/>
      <c r="E607" s="26"/>
      <c r="F607" s="26"/>
      <c r="G607" s="26"/>
      <c r="H607" s="26"/>
      <c r="I607" s="26"/>
      <c r="J607" s="26"/>
      <c r="K607" s="26"/>
      <c r="L607" s="26"/>
      <c r="M607" s="27"/>
      <c r="N607" s="26"/>
      <c r="O607" s="26"/>
      <c r="P607" s="26"/>
      <c r="Q607" s="26"/>
      <c r="R607" s="26"/>
      <c r="S607" s="26"/>
      <c r="T607" s="26"/>
      <c r="U607" s="26"/>
      <c r="V607" s="26"/>
      <c r="W607" s="26"/>
      <c r="X607" s="26"/>
      <c r="Y607" s="26"/>
    </row>
    <row r="608" spans="1:25" ht="15.75" customHeight="1">
      <c r="A608" s="26"/>
      <c r="B608" s="26"/>
      <c r="C608" s="26"/>
      <c r="D608" s="26"/>
      <c r="E608" s="26"/>
      <c r="F608" s="26"/>
      <c r="G608" s="26"/>
      <c r="H608" s="26"/>
      <c r="I608" s="26"/>
      <c r="J608" s="26"/>
      <c r="K608" s="26"/>
      <c r="L608" s="26"/>
      <c r="M608" s="27"/>
      <c r="N608" s="26"/>
      <c r="O608" s="26"/>
      <c r="P608" s="26"/>
      <c r="Q608" s="26"/>
      <c r="R608" s="26"/>
      <c r="S608" s="26"/>
      <c r="T608" s="26"/>
      <c r="U608" s="26"/>
      <c r="V608" s="26"/>
      <c r="W608" s="26"/>
      <c r="X608" s="26"/>
      <c r="Y608" s="26"/>
    </row>
    <row r="609" spans="1:25" ht="15.75" customHeight="1">
      <c r="A609" s="26"/>
      <c r="B609" s="26"/>
      <c r="C609" s="26"/>
      <c r="D609" s="26"/>
      <c r="E609" s="26"/>
      <c r="F609" s="26"/>
      <c r="G609" s="26"/>
      <c r="H609" s="26"/>
      <c r="I609" s="26"/>
      <c r="J609" s="26"/>
      <c r="K609" s="26"/>
      <c r="L609" s="26"/>
      <c r="M609" s="27"/>
      <c r="N609" s="26"/>
      <c r="O609" s="26"/>
      <c r="P609" s="26"/>
      <c r="Q609" s="26"/>
      <c r="R609" s="26"/>
      <c r="S609" s="26"/>
      <c r="T609" s="26"/>
      <c r="U609" s="26"/>
      <c r="V609" s="26"/>
      <c r="W609" s="26"/>
      <c r="X609" s="26"/>
      <c r="Y609" s="26"/>
    </row>
    <row r="610" spans="1:25" ht="15.75" customHeight="1">
      <c r="A610" s="26"/>
      <c r="B610" s="26"/>
      <c r="C610" s="26"/>
      <c r="D610" s="26"/>
      <c r="E610" s="26"/>
      <c r="F610" s="26"/>
      <c r="G610" s="26"/>
      <c r="H610" s="26"/>
      <c r="I610" s="26"/>
      <c r="J610" s="26"/>
      <c r="K610" s="26"/>
      <c r="L610" s="26"/>
      <c r="M610" s="27"/>
      <c r="N610" s="26"/>
      <c r="O610" s="26"/>
      <c r="P610" s="26"/>
      <c r="Q610" s="26"/>
      <c r="R610" s="26"/>
      <c r="S610" s="26"/>
      <c r="T610" s="26"/>
      <c r="U610" s="26"/>
      <c r="V610" s="26"/>
      <c r="W610" s="26"/>
      <c r="X610" s="26"/>
      <c r="Y610" s="26"/>
    </row>
    <row r="611" spans="1:25" ht="15.75" customHeight="1">
      <c r="A611" s="26"/>
      <c r="B611" s="26"/>
      <c r="C611" s="26"/>
      <c r="D611" s="26"/>
      <c r="E611" s="26"/>
      <c r="F611" s="26"/>
      <c r="G611" s="26"/>
      <c r="H611" s="26"/>
      <c r="I611" s="26"/>
      <c r="J611" s="26"/>
      <c r="K611" s="26"/>
      <c r="L611" s="26"/>
      <c r="M611" s="27"/>
      <c r="N611" s="26"/>
      <c r="O611" s="26"/>
      <c r="P611" s="26"/>
      <c r="Q611" s="26"/>
      <c r="R611" s="26"/>
      <c r="S611" s="26"/>
      <c r="T611" s="26"/>
      <c r="U611" s="26"/>
      <c r="V611" s="26"/>
      <c r="W611" s="26"/>
      <c r="X611" s="26"/>
      <c r="Y611" s="26"/>
    </row>
    <row r="612" spans="1:25" ht="15.75" customHeight="1">
      <c r="A612" s="26"/>
      <c r="B612" s="26"/>
      <c r="C612" s="26"/>
      <c r="D612" s="26"/>
      <c r="E612" s="26"/>
      <c r="F612" s="26"/>
      <c r="G612" s="26"/>
      <c r="H612" s="26"/>
      <c r="I612" s="26"/>
      <c r="J612" s="26"/>
      <c r="K612" s="26"/>
      <c r="L612" s="26"/>
      <c r="M612" s="27"/>
      <c r="N612" s="26"/>
      <c r="O612" s="26"/>
      <c r="P612" s="26"/>
      <c r="Q612" s="26"/>
      <c r="R612" s="26"/>
      <c r="S612" s="26"/>
      <c r="T612" s="26"/>
      <c r="U612" s="26"/>
      <c r="V612" s="26"/>
      <c r="W612" s="26"/>
      <c r="X612" s="26"/>
      <c r="Y612" s="26"/>
    </row>
    <row r="613" spans="1:25" ht="15.75" customHeight="1">
      <c r="A613" s="26"/>
      <c r="B613" s="26"/>
      <c r="C613" s="26"/>
      <c r="D613" s="26"/>
      <c r="E613" s="26"/>
      <c r="F613" s="26"/>
      <c r="G613" s="26"/>
      <c r="H613" s="26"/>
      <c r="I613" s="26"/>
      <c r="J613" s="26"/>
      <c r="K613" s="26"/>
      <c r="L613" s="26"/>
      <c r="M613" s="27"/>
      <c r="N613" s="26"/>
      <c r="O613" s="26"/>
      <c r="P613" s="26"/>
      <c r="Q613" s="26"/>
      <c r="R613" s="26"/>
      <c r="S613" s="26"/>
      <c r="T613" s="26"/>
      <c r="U613" s="26"/>
      <c r="V613" s="26"/>
      <c r="W613" s="26"/>
      <c r="X613" s="26"/>
      <c r="Y613" s="26"/>
    </row>
    <row r="614" spans="1:25" ht="15.75" customHeight="1">
      <c r="A614" s="26"/>
      <c r="B614" s="26"/>
      <c r="C614" s="26"/>
      <c r="D614" s="26"/>
      <c r="E614" s="26"/>
      <c r="F614" s="26"/>
      <c r="G614" s="26"/>
      <c r="H614" s="26"/>
      <c r="I614" s="26"/>
      <c r="J614" s="26"/>
      <c r="K614" s="26"/>
      <c r="L614" s="26"/>
      <c r="M614" s="27"/>
      <c r="N614" s="26"/>
      <c r="O614" s="26"/>
      <c r="P614" s="26"/>
      <c r="Q614" s="26"/>
      <c r="R614" s="26"/>
      <c r="S614" s="26"/>
      <c r="T614" s="26"/>
      <c r="U614" s="26"/>
      <c r="V614" s="26"/>
      <c r="W614" s="26"/>
      <c r="X614" s="26"/>
      <c r="Y614" s="26"/>
    </row>
    <row r="615" spans="1:25" ht="15.75" customHeight="1">
      <c r="A615" s="26"/>
      <c r="B615" s="26"/>
      <c r="C615" s="26"/>
      <c r="D615" s="26"/>
      <c r="E615" s="26"/>
      <c r="F615" s="26"/>
      <c r="G615" s="26"/>
      <c r="H615" s="26"/>
      <c r="I615" s="26"/>
      <c r="J615" s="26"/>
      <c r="K615" s="26"/>
      <c r="L615" s="26"/>
      <c r="M615" s="27"/>
      <c r="N615" s="26"/>
      <c r="O615" s="26"/>
      <c r="P615" s="26"/>
      <c r="Q615" s="26"/>
      <c r="R615" s="26"/>
      <c r="S615" s="26"/>
      <c r="T615" s="26"/>
      <c r="U615" s="26"/>
      <c r="V615" s="26"/>
      <c r="W615" s="26"/>
      <c r="X615" s="26"/>
      <c r="Y615" s="26"/>
    </row>
    <row r="616" spans="1:25" ht="15.75" customHeight="1">
      <c r="A616" s="26"/>
      <c r="B616" s="26"/>
      <c r="C616" s="26"/>
      <c r="D616" s="26"/>
      <c r="E616" s="26"/>
      <c r="F616" s="26"/>
      <c r="G616" s="26"/>
      <c r="H616" s="26"/>
      <c r="I616" s="26"/>
      <c r="J616" s="26"/>
      <c r="K616" s="26"/>
      <c r="L616" s="26"/>
      <c r="M616" s="27"/>
      <c r="N616" s="26"/>
      <c r="O616" s="26"/>
      <c r="P616" s="26"/>
      <c r="Q616" s="26"/>
      <c r="R616" s="26"/>
      <c r="S616" s="26"/>
      <c r="T616" s="26"/>
      <c r="U616" s="26"/>
      <c r="V616" s="26"/>
      <c r="W616" s="26"/>
      <c r="X616" s="26"/>
      <c r="Y616" s="26"/>
    </row>
    <row r="617" spans="1:25" ht="15.75" customHeight="1">
      <c r="A617" s="26"/>
      <c r="B617" s="26"/>
      <c r="C617" s="26"/>
      <c r="D617" s="26"/>
      <c r="E617" s="26"/>
      <c r="F617" s="26"/>
      <c r="G617" s="26"/>
      <c r="H617" s="26"/>
      <c r="I617" s="26"/>
      <c r="J617" s="26"/>
      <c r="K617" s="26"/>
      <c r="L617" s="26"/>
      <c r="M617" s="27"/>
      <c r="N617" s="26"/>
      <c r="O617" s="26"/>
      <c r="P617" s="26"/>
      <c r="Q617" s="26"/>
      <c r="R617" s="26"/>
      <c r="S617" s="26"/>
      <c r="T617" s="26"/>
      <c r="U617" s="26"/>
      <c r="V617" s="26"/>
      <c r="W617" s="26"/>
      <c r="X617" s="26"/>
      <c r="Y617" s="26"/>
    </row>
    <row r="618" spans="1:25" ht="15.75" customHeight="1">
      <c r="A618" s="26"/>
      <c r="B618" s="26"/>
      <c r="C618" s="26"/>
      <c r="D618" s="26"/>
      <c r="E618" s="26"/>
      <c r="F618" s="26"/>
      <c r="G618" s="26"/>
      <c r="H618" s="26"/>
      <c r="I618" s="26"/>
      <c r="J618" s="26"/>
      <c r="K618" s="26"/>
      <c r="L618" s="26"/>
      <c r="M618" s="27"/>
      <c r="N618" s="26"/>
      <c r="O618" s="26"/>
      <c r="P618" s="26"/>
      <c r="Q618" s="26"/>
      <c r="R618" s="26"/>
      <c r="S618" s="26"/>
      <c r="T618" s="26"/>
      <c r="U618" s="26"/>
      <c r="V618" s="26"/>
      <c r="W618" s="26"/>
      <c r="X618" s="26"/>
      <c r="Y618" s="26"/>
    </row>
    <row r="619" spans="1:25" ht="15.75" customHeight="1">
      <c r="A619" s="26"/>
      <c r="B619" s="26"/>
      <c r="C619" s="26"/>
      <c r="D619" s="26"/>
      <c r="E619" s="26"/>
      <c r="F619" s="26"/>
      <c r="G619" s="26"/>
      <c r="H619" s="26"/>
      <c r="I619" s="26"/>
      <c r="J619" s="26"/>
      <c r="K619" s="26"/>
      <c r="L619" s="26"/>
      <c r="M619" s="27"/>
      <c r="N619" s="26"/>
      <c r="O619" s="26"/>
      <c r="P619" s="26"/>
      <c r="Q619" s="26"/>
      <c r="R619" s="26"/>
      <c r="S619" s="26"/>
      <c r="T619" s="26"/>
      <c r="U619" s="26"/>
      <c r="V619" s="26"/>
      <c r="W619" s="26"/>
      <c r="X619" s="26"/>
      <c r="Y619" s="26"/>
    </row>
    <row r="620" spans="1:25" ht="15.75" customHeight="1">
      <c r="A620" s="26"/>
      <c r="B620" s="26"/>
      <c r="C620" s="26"/>
      <c r="D620" s="26"/>
      <c r="E620" s="26"/>
      <c r="F620" s="26"/>
      <c r="G620" s="26"/>
      <c r="H620" s="26"/>
      <c r="I620" s="26"/>
      <c r="J620" s="26"/>
      <c r="K620" s="26"/>
      <c r="L620" s="26"/>
      <c r="M620" s="27"/>
      <c r="N620" s="26"/>
      <c r="O620" s="26"/>
      <c r="P620" s="26"/>
      <c r="Q620" s="26"/>
      <c r="R620" s="26"/>
      <c r="S620" s="26"/>
      <c r="T620" s="26"/>
      <c r="U620" s="26"/>
      <c r="V620" s="26"/>
      <c r="W620" s="26"/>
      <c r="X620" s="26"/>
      <c r="Y620" s="26"/>
    </row>
    <row r="621" spans="1:25" ht="15.75" customHeight="1">
      <c r="A621" s="26"/>
      <c r="B621" s="26"/>
      <c r="C621" s="26"/>
      <c r="D621" s="26"/>
      <c r="E621" s="26"/>
      <c r="F621" s="26"/>
      <c r="G621" s="26"/>
      <c r="H621" s="26"/>
      <c r="I621" s="26"/>
      <c r="J621" s="26"/>
      <c r="K621" s="26"/>
      <c r="L621" s="26"/>
      <c r="M621" s="27"/>
      <c r="N621" s="26"/>
      <c r="O621" s="26"/>
      <c r="P621" s="26"/>
      <c r="Q621" s="26"/>
      <c r="R621" s="26"/>
      <c r="S621" s="26"/>
      <c r="T621" s="26"/>
      <c r="U621" s="26"/>
      <c r="V621" s="26"/>
      <c r="W621" s="26"/>
      <c r="X621" s="26"/>
      <c r="Y621" s="26"/>
    </row>
    <row r="622" spans="1:25" ht="15.75" customHeight="1">
      <c r="A622" s="26"/>
      <c r="B622" s="26"/>
      <c r="C622" s="26"/>
      <c r="D622" s="26"/>
      <c r="E622" s="26"/>
      <c r="F622" s="26"/>
      <c r="G622" s="26"/>
      <c r="H622" s="26"/>
      <c r="I622" s="26"/>
      <c r="J622" s="26"/>
      <c r="K622" s="26"/>
      <c r="L622" s="26"/>
      <c r="M622" s="27"/>
      <c r="N622" s="26"/>
      <c r="O622" s="26"/>
      <c r="P622" s="26"/>
      <c r="Q622" s="26"/>
      <c r="R622" s="26"/>
      <c r="S622" s="26"/>
      <c r="T622" s="26"/>
      <c r="U622" s="26"/>
      <c r="V622" s="26"/>
      <c r="W622" s="26"/>
      <c r="X622" s="26"/>
      <c r="Y622" s="26"/>
    </row>
    <row r="623" spans="1:25" ht="15.75" customHeight="1">
      <c r="A623" s="26"/>
      <c r="B623" s="26"/>
      <c r="C623" s="26"/>
      <c r="D623" s="26"/>
      <c r="E623" s="26"/>
      <c r="F623" s="26"/>
      <c r="G623" s="26"/>
      <c r="H623" s="26"/>
      <c r="I623" s="26"/>
      <c r="J623" s="26"/>
      <c r="K623" s="26"/>
      <c r="L623" s="26"/>
      <c r="M623" s="27"/>
      <c r="N623" s="26"/>
      <c r="O623" s="26"/>
      <c r="P623" s="26"/>
      <c r="Q623" s="26"/>
      <c r="R623" s="26"/>
      <c r="S623" s="26"/>
      <c r="T623" s="26"/>
      <c r="U623" s="26"/>
      <c r="V623" s="26"/>
      <c r="W623" s="26"/>
      <c r="X623" s="26"/>
      <c r="Y623" s="26"/>
    </row>
    <row r="624" spans="1:25" ht="15.75" customHeight="1">
      <c r="A624" s="26"/>
      <c r="B624" s="26"/>
      <c r="C624" s="26"/>
      <c r="D624" s="26"/>
      <c r="E624" s="26"/>
      <c r="F624" s="26"/>
      <c r="G624" s="26"/>
      <c r="H624" s="26"/>
      <c r="I624" s="26"/>
      <c r="J624" s="26"/>
      <c r="K624" s="26"/>
      <c r="L624" s="26"/>
      <c r="M624" s="27"/>
      <c r="N624" s="26"/>
      <c r="O624" s="26"/>
      <c r="P624" s="26"/>
      <c r="Q624" s="26"/>
      <c r="R624" s="26"/>
      <c r="S624" s="26"/>
      <c r="T624" s="26"/>
      <c r="U624" s="26"/>
      <c r="V624" s="26"/>
      <c r="W624" s="26"/>
      <c r="X624" s="26"/>
      <c r="Y624" s="26"/>
    </row>
    <row r="625" spans="1:25" ht="15.75" customHeight="1">
      <c r="A625" s="26"/>
      <c r="B625" s="26"/>
      <c r="C625" s="26"/>
      <c r="D625" s="26"/>
      <c r="E625" s="26"/>
      <c r="F625" s="26"/>
      <c r="G625" s="26"/>
      <c r="H625" s="26"/>
      <c r="I625" s="26"/>
      <c r="J625" s="26"/>
      <c r="K625" s="26"/>
      <c r="L625" s="26"/>
      <c r="M625" s="27"/>
      <c r="N625" s="26"/>
      <c r="O625" s="26"/>
      <c r="P625" s="26"/>
      <c r="Q625" s="26"/>
      <c r="R625" s="26"/>
      <c r="S625" s="26"/>
      <c r="T625" s="26"/>
      <c r="U625" s="26"/>
      <c r="V625" s="26"/>
      <c r="W625" s="26"/>
      <c r="X625" s="26"/>
      <c r="Y625" s="26"/>
    </row>
    <row r="626" spans="1:25" ht="15.75" customHeight="1">
      <c r="A626" s="26"/>
      <c r="B626" s="26"/>
      <c r="C626" s="26"/>
      <c r="D626" s="26"/>
      <c r="E626" s="26"/>
      <c r="F626" s="26"/>
      <c r="G626" s="26"/>
      <c r="H626" s="26"/>
      <c r="I626" s="26"/>
      <c r="J626" s="26"/>
      <c r="K626" s="26"/>
      <c r="L626" s="26"/>
      <c r="M626" s="27"/>
      <c r="N626" s="26"/>
      <c r="O626" s="26"/>
      <c r="P626" s="26"/>
      <c r="Q626" s="26"/>
      <c r="R626" s="26"/>
      <c r="S626" s="26"/>
      <c r="T626" s="26"/>
      <c r="U626" s="26"/>
      <c r="V626" s="26"/>
      <c r="W626" s="26"/>
      <c r="X626" s="26"/>
      <c r="Y626" s="26"/>
    </row>
    <row r="627" spans="1:25" ht="15.75" customHeight="1">
      <c r="A627" s="26"/>
      <c r="B627" s="26"/>
      <c r="C627" s="26"/>
      <c r="D627" s="26"/>
      <c r="E627" s="26"/>
      <c r="F627" s="26"/>
      <c r="G627" s="26"/>
      <c r="H627" s="26"/>
      <c r="I627" s="26"/>
      <c r="J627" s="26"/>
      <c r="K627" s="26"/>
      <c r="L627" s="26"/>
      <c r="M627" s="27"/>
      <c r="N627" s="26"/>
      <c r="O627" s="26"/>
      <c r="P627" s="26"/>
      <c r="Q627" s="26"/>
      <c r="R627" s="26"/>
      <c r="S627" s="26"/>
      <c r="T627" s="26"/>
      <c r="U627" s="26"/>
      <c r="V627" s="26"/>
      <c r="W627" s="26"/>
      <c r="X627" s="26"/>
      <c r="Y627" s="26"/>
    </row>
    <row r="628" spans="1:25" ht="15.75" customHeight="1">
      <c r="A628" s="26"/>
      <c r="B628" s="26"/>
      <c r="C628" s="26"/>
      <c r="D628" s="26"/>
      <c r="E628" s="26"/>
      <c r="F628" s="26"/>
      <c r="G628" s="26"/>
      <c r="H628" s="26"/>
      <c r="I628" s="26"/>
      <c r="J628" s="26"/>
      <c r="K628" s="26"/>
      <c r="L628" s="26"/>
      <c r="M628" s="27"/>
      <c r="N628" s="26"/>
      <c r="O628" s="26"/>
      <c r="P628" s="26"/>
      <c r="Q628" s="26"/>
      <c r="R628" s="26"/>
      <c r="S628" s="26"/>
      <c r="T628" s="26"/>
      <c r="U628" s="26"/>
      <c r="V628" s="26"/>
      <c r="W628" s="26"/>
      <c r="X628" s="26"/>
      <c r="Y628" s="26"/>
    </row>
    <row r="629" spans="1:25" ht="15.75" customHeight="1">
      <c r="A629" s="26"/>
      <c r="B629" s="26"/>
      <c r="C629" s="26"/>
      <c r="D629" s="26"/>
      <c r="E629" s="26"/>
      <c r="F629" s="26"/>
      <c r="G629" s="26"/>
      <c r="H629" s="26"/>
      <c r="I629" s="26"/>
      <c r="J629" s="26"/>
      <c r="K629" s="26"/>
      <c r="L629" s="26"/>
      <c r="M629" s="27"/>
      <c r="N629" s="26"/>
      <c r="O629" s="26"/>
      <c r="P629" s="26"/>
      <c r="Q629" s="26"/>
      <c r="R629" s="26"/>
      <c r="S629" s="26"/>
      <c r="T629" s="26"/>
      <c r="U629" s="26"/>
      <c r="V629" s="26"/>
      <c r="W629" s="26"/>
      <c r="X629" s="26"/>
      <c r="Y629" s="26"/>
    </row>
    <row r="630" spans="1:25" ht="15.75" customHeight="1">
      <c r="A630" s="26"/>
      <c r="B630" s="26"/>
      <c r="C630" s="26"/>
      <c r="D630" s="26"/>
      <c r="E630" s="26"/>
      <c r="F630" s="26"/>
      <c r="G630" s="26"/>
      <c r="H630" s="26"/>
      <c r="I630" s="26"/>
      <c r="J630" s="26"/>
      <c r="K630" s="26"/>
      <c r="L630" s="26"/>
      <c r="M630" s="27"/>
      <c r="N630" s="26"/>
      <c r="O630" s="26"/>
      <c r="P630" s="26"/>
      <c r="Q630" s="26"/>
      <c r="R630" s="26"/>
      <c r="S630" s="26"/>
      <c r="T630" s="26"/>
      <c r="U630" s="26"/>
      <c r="V630" s="26"/>
      <c r="W630" s="26"/>
      <c r="X630" s="26"/>
      <c r="Y630" s="26"/>
    </row>
    <row r="631" spans="1:25" ht="15.75" customHeight="1">
      <c r="A631" s="26"/>
      <c r="B631" s="26"/>
      <c r="C631" s="26"/>
      <c r="D631" s="26"/>
      <c r="E631" s="26"/>
      <c r="F631" s="26"/>
      <c r="G631" s="26"/>
      <c r="H631" s="26"/>
      <c r="I631" s="26"/>
      <c r="J631" s="26"/>
      <c r="K631" s="26"/>
      <c r="L631" s="26"/>
      <c r="M631" s="27"/>
      <c r="N631" s="26"/>
      <c r="O631" s="26"/>
      <c r="P631" s="26"/>
      <c r="Q631" s="26"/>
      <c r="R631" s="26"/>
      <c r="S631" s="26"/>
      <c r="T631" s="26"/>
      <c r="U631" s="26"/>
      <c r="V631" s="26"/>
      <c r="W631" s="26"/>
      <c r="X631" s="26"/>
      <c r="Y631" s="26"/>
    </row>
    <row r="632" spans="1:25" ht="15.75" customHeight="1">
      <c r="A632" s="26"/>
      <c r="B632" s="26"/>
      <c r="C632" s="26"/>
      <c r="D632" s="26"/>
      <c r="E632" s="26"/>
      <c r="F632" s="26"/>
      <c r="G632" s="26"/>
      <c r="H632" s="26"/>
      <c r="I632" s="26"/>
      <c r="J632" s="26"/>
      <c r="K632" s="26"/>
      <c r="L632" s="26"/>
      <c r="M632" s="27"/>
      <c r="N632" s="26"/>
      <c r="O632" s="26"/>
      <c r="P632" s="26"/>
      <c r="Q632" s="26"/>
      <c r="R632" s="26"/>
      <c r="S632" s="26"/>
      <c r="T632" s="26"/>
      <c r="U632" s="26"/>
      <c r="V632" s="26"/>
      <c r="W632" s="26"/>
      <c r="X632" s="26"/>
      <c r="Y632" s="26"/>
    </row>
    <row r="633" spans="1:25" ht="15.75" customHeight="1">
      <c r="A633" s="26"/>
      <c r="B633" s="26"/>
      <c r="C633" s="26"/>
      <c r="D633" s="26"/>
      <c r="E633" s="26"/>
      <c r="F633" s="26"/>
      <c r="G633" s="26"/>
      <c r="H633" s="26"/>
      <c r="I633" s="26"/>
      <c r="J633" s="26"/>
      <c r="K633" s="26"/>
      <c r="L633" s="26"/>
      <c r="M633" s="27"/>
      <c r="N633" s="26"/>
      <c r="O633" s="26"/>
      <c r="P633" s="26"/>
      <c r="Q633" s="26"/>
      <c r="R633" s="26"/>
      <c r="S633" s="26"/>
      <c r="T633" s="26"/>
      <c r="U633" s="26"/>
      <c r="V633" s="26"/>
      <c r="W633" s="26"/>
      <c r="X633" s="26"/>
      <c r="Y633" s="26"/>
    </row>
    <row r="634" spans="1:25" ht="15.75" customHeight="1">
      <c r="A634" s="26"/>
      <c r="B634" s="26"/>
      <c r="C634" s="26"/>
      <c r="D634" s="26"/>
      <c r="E634" s="26"/>
      <c r="F634" s="26"/>
      <c r="G634" s="26"/>
      <c r="H634" s="26"/>
      <c r="I634" s="26"/>
      <c r="J634" s="26"/>
      <c r="K634" s="26"/>
      <c r="L634" s="26"/>
      <c r="M634" s="27"/>
      <c r="N634" s="26"/>
      <c r="O634" s="26"/>
      <c r="P634" s="26"/>
      <c r="Q634" s="26"/>
      <c r="R634" s="26"/>
      <c r="S634" s="26"/>
      <c r="T634" s="26"/>
      <c r="U634" s="26"/>
      <c r="V634" s="26"/>
      <c r="W634" s="26"/>
      <c r="X634" s="26"/>
      <c r="Y634" s="26"/>
    </row>
    <row r="635" spans="1:25" ht="15.75" customHeight="1">
      <c r="A635" s="26"/>
      <c r="B635" s="26"/>
      <c r="C635" s="26"/>
      <c r="D635" s="26"/>
      <c r="E635" s="26"/>
      <c r="F635" s="26"/>
      <c r="G635" s="26"/>
      <c r="H635" s="26"/>
      <c r="I635" s="26"/>
      <c r="J635" s="26"/>
      <c r="K635" s="26"/>
      <c r="L635" s="26"/>
      <c r="M635" s="27"/>
      <c r="N635" s="26"/>
      <c r="O635" s="26"/>
      <c r="P635" s="26"/>
      <c r="Q635" s="26"/>
      <c r="R635" s="26"/>
      <c r="S635" s="26"/>
      <c r="T635" s="26"/>
      <c r="U635" s="26"/>
      <c r="V635" s="26"/>
      <c r="W635" s="26"/>
      <c r="X635" s="26"/>
      <c r="Y635" s="26"/>
    </row>
    <row r="636" spans="1:25" ht="15.75" customHeight="1">
      <c r="A636" s="26"/>
      <c r="B636" s="26"/>
      <c r="C636" s="26"/>
      <c r="D636" s="26"/>
      <c r="E636" s="26"/>
      <c r="F636" s="26"/>
      <c r="G636" s="26"/>
      <c r="H636" s="26"/>
      <c r="I636" s="26"/>
      <c r="J636" s="26"/>
      <c r="K636" s="26"/>
      <c r="L636" s="26"/>
      <c r="M636" s="27"/>
      <c r="N636" s="26"/>
      <c r="O636" s="26"/>
      <c r="P636" s="26"/>
      <c r="Q636" s="26"/>
      <c r="R636" s="26"/>
      <c r="S636" s="26"/>
      <c r="T636" s="26"/>
      <c r="U636" s="26"/>
      <c r="V636" s="26"/>
      <c r="W636" s="26"/>
      <c r="X636" s="26"/>
      <c r="Y636" s="26"/>
    </row>
    <row r="637" spans="1:25" ht="15.75" customHeight="1">
      <c r="A637" s="26"/>
      <c r="B637" s="26"/>
      <c r="C637" s="26"/>
      <c r="D637" s="26"/>
      <c r="E637" s="26"/>
      <c r="F637" s="26"/>
      <c r="G637" s="26"/>
      <c r="H637" s="26"/>
      <c r="I637" s="26"/>
      <c r="J637" s="26"/>
      <c r="K637" s="26"/>
      <c r="L637" s="26"/>
      <c r="M637" s="27"/>
      <c r="N637" s="26"/>
      <c r="O637" s="26"/>
      <c r="P637" s="26"/>
      <c r="Q637" s="26"/>
      <c r="R637" s="26"/>
      <c r="S637" s="26"/>
      <c r="T637" s="26"/>
      <c r="U637" s="26"/>
      <c r="V637" s="26"/>
      <c r="W637" s="26"/>
      <c r="X637" s="26"/>
      <c r="Y637" s="26"/>
    </row>
    <row r="638" spans="1:25" ht="15.75" customHeight="1">
      <c r="A638" s="26"/>
      <c r="B638" s="26"/>
      <c r="C638" s="26"/>
      <c r="D638" s="26"/>
      <c r="E638" s="26"/>
      <c r="F638" s="26"/>
      <c r="G638" s="26"/>
      <c r="H638" s="26"/>
      <c r="I638" s="26"/>
      <c r="J638" s="26"/>
      <c r="K638" s="26"/>
      <c r="L638" s="26"/>
      <c r="M638" s="27"/>
      <c r="N638" s="26"/>
      <c r="O638" s="26"/>
      <c r="P638" s="26"/>
      <c r="Q638" s="26"/>
      <c r="R638" s="26"/>
      <c r="S638" s="26"/>
      <c r="T638" s="26"/>
      <c r="U638" s="26"/>
      <c r="V638" s="26"/>
      <c r="W638" s="26"/>
      <c r="X638" s="26"/>
      <c r="Y638" s="26"/>
    </row>
    <row r="639" spans="1:25" ht="15.75" customHeight="1">
      <c r="A639" s="26"/>
      <c r="B639" s="26"/>
      <c r="C639" s="26"/>
      <c r="D639" s="26"/>
      <c r="E639" s="26"/>
      <c r="F639" s="26"/>
      <c r="G639" s="26"/>
      <c r="H639" s="26"/>
      <c r="I639" s="26"/>
      <c r="J639" s="26"/>
      <c r="K639" s="26"/>
      <c r="L639" s="26"/>
      <c r="M639" s="27"/>
      <c r="N639" s="26"/>
      <c r="O639" s="26"/>
      <c r="P639" s="26"/>
      <c r="Q639" s="26"/>
      <c r="R639" s="26"/>
      <c r="S639" s="26"/>
      <c r="T639" s="26"/>
      <c r="U639" s="26"/>
      <c r="V639" s="26"/>
      <c r="W639" s="26"/>
      <c r="X639" s="26"/>
      <c r="Y639" s="26"/>
    </row>
    <row r="640" spans="1:25" ht="15.75" customHeight="1">
      <c r="A640" s="26"/>
      <c r="B640" s="26"/>
      <c r="C640" s="26"/>
      <c r="D640" s="26"/>
      <c r="E640" s="26"/>
      <c r="F640" s="26"/>
      <c r="G640" s="26"/>
      <c r="H640" s="26"/>
      <c r="I640" s="26"/>
      <c r="J640" s="26"/>
      <c r="K640" s="26"/>
      <c r="L640" s="26"/>
      <c r="M640" s="27"/>
      <c r="N640" s="26"/>
      <c r="O640" s="26"/>
      <c r="P640" s="26"/>
      <c r="Q640" s="26"/>
      <c r="R640" s="26"/>
      <c r="S640" s="26"/>
      <c r="T640" s="26"/>
      <c r="U640" s="26"/>
      <c r="V640" s="26"/>
      <c r="W640" s="26"/>
      <c r="X640" s="26"/>
      <c r="Y640" s="26"/>
    </row>
    <row r="641" spans="1:25" ht="15.75" customHeight="1">
      <c r="A641" s="26"/>
      <c r="B641" s="26"/>
      <c r="C641" s="26"/>
      <c r="D641" s="26"/>
      <c r="E641" s="26"/>
      <c r="F641" s="26"/>
      <c r="G641" s="26"/>
      <c r="H641" s="26"/>
      <c r="I641" s="26"/>
      <c r="J641" s="26"/>
      <c r="K641" s="26"/>
      <c r="L641" s="26"/>
      <c r="M641" s="27"/>
      <c r="N641" s="26"/>
      <c r="O641" s="26"/>
      <c r="P641" s="26"/>
      <c r="Q641" s="26"/>
      <c r="R641" s="26"/>
      <c r="S641" s="26"/>
      <c r="T641" s="26"/>
      <c r="U641" s="26"/>
      <c r="V641" s="26"/>
      <c r="W641" s="26"/>
      <c r="X641" s="26"/>
      <c r="Y641" s="26"/>
    </row>
    <row r="642" spans="1:25" ht="15.75" customHeight="1">
      <c r="A642" s="26"/>
      <c r="B642" s="26"/>
      <c r="C642" s="26"/>
      <c r="D642" s="26"/>
      <c r="E642" s="26"/>
      <c r="F642" s="26"/>
      <c r="G642" s="26"/>
      <c r="H642" s="26"/>
      <c r="I642" s="26"/>
      <c r="J642" s="26"/>
      <c r="K642" s="26"/>
      <c r="L642" s="26"/>
      <c r="M642" s="27"/>
      <c r="N642" s="26"/>
      <c r="O642" s="26"/>
      <c r="P642" s="26"/>
      <c r="Q642" s="26"/>
      <c r="R642" s="26"/>
      <c r="S642" s="26"/>
      <c r="T642" s="26"/>
      <c r="U642" s="26"/>
      <c r="V642" s="26"/>
      <c r="W642" s="26"/>
      <c r="X642" s="26"/>
      <c r="Y642" s="26"/>
    </row>
    <row r="643" spans="1:25" ht="15.75" customHeight="1">
      <c r="A643" s="26"/>
      <c r="B643" s="26"/>
      <c r="C643" s="26"/>
      <c r="D643" s="26"/>
      <c r="E643" s="26"/>
      <c r="F643" s="26"/>
      <c r="G643" s="26"/>
      <c r="H643" s="26"/>
      <c r="I643" s="26"/>
      <c r="J643" s="26"/>
      <c r="K643" s="26"/>
      <c r="L643" s="26"/>
      <c r="M643" s="27"/>
      <c r="N643" s="26"/>
      <c r="O643" s="26"/>
      <c r="P643" s="26"/>
      <c r="Q643" s="26"/>
      <c r="R643" s="26"/>
      <c r="S643" s="26"/>
      <c r="T643" s="26"/>
      <c r="U643" s="26"/>
      <c r="V643" s="26"/>
      <c r="W643" s="26"/>
      <c r="X643" s="26"/>
      <c r="Y643" s="26"/>
    </row>
    <row r="644" spans="1:25" ht="15.75" customHeight="1">
      <c r="A644" s="26"/>
      <c r="B644" s="26"/>
      <c r="C644" s="26"/>
      <c r="D644" s="26"/>
      <c r="E644" s="26"/>
      <c r="F644" s="26"/>
      <c r="G644" s="26"/>
      <c r="H644" s="26"/>
      <c r="I644" s="26"/>
      <c r="J644" s="26"/>
      <c r="K644" s="26"/>
      <c r="L644" s="26"/>
      <c r="M644" s="27"/>
      <c r="N644" s="26"/>
      <c r="O644" s="26"/>
      <c r="P644" s="26"/>
      <c r="Q644" s="26"/>
      <c r="R644" s="26"/>
      <c r="S644" s="26"/>
      <c r="T644" s="26"/>
      <c r="U644" s="26"/>
      <c r="V644" s="26"/>
      <c r="W644" s="26"/>
      <c r="X644" s="26"/>
      <c r="Y644" s="26"/>
    </row>
    <row r="645" spans="1:25" ht="15.75" customHeight="1">
      <c r="A645" s="26"/>
      <c r="B645" s="26"/>
      <c r="C645" s="26"/>
      <c r="D645" s="26"/>
      <c r="E645" s="26"/>
      <c r="F645" s="26"/>
      <c r="G645" s="26"/>
      <c r="H645" s="26"/>
      <c r="I645" s="26"/>
      <c r="J645" s="26"/>
      <c r="K645" s="26"/>
      <c r="L645" s="26"/>
      <c r="M645" s="27"/>
      <c r="N645" s="26"/>
      <c r="O645" s="26"/>
      <c r="P645" s="26"/>
      <c r="Q645" s="26"/>
      <c r="R645" s="26"/>
      <c r="S645" s="26"/>
      <c r="T645" s="26"/>
      <c r="U645" s="26"/>
      <c r="V645" s="26"/>
      <c r="W645" s="26"/>
      <c r="X645" s="26"/>
      <c r="Y645" s="26"/>
    </row>
    <row r="646" spans="1:25" ht="15.75" customHeight="1">
      <c r="A646" s="26"/>
      <c r="B646" s="26"/>
      <c r="C646" s="26"/>
      <c r="D646" s="26"/>
      <c r="E646" s="26"/>
      <c r="F646" s="26"/>
      <c r="G646" s="26"/>
      <c r="H646" s="26"/>
      <c r="I646" s="26"/>
      <c r="J646" s="26"/>
      <c r="K646" s="26"/>
      <c r="L646" s="26"/>
      <c r="M646" s="27"/>
      <c r="N646" s="26"/>
      <c r="O646" s="26"/>
      <c r="P646" s="26"/>
      <c r="Q646" s="26"/>
      <c r="R646" s="26"/>
      <c r="S646" s="26"/>
      <c r="T646" s="26"/>
      <c r="U646" s="26"/>
      <c r="V646" s="26"/>
      <c r="W646" s="26"/>
      <c r="X646" s="26"/>
      <c r="Y646" s="26"/>
    </row>
    <row r="647" spans="1:25" ht="15.75" customHeight="1">
      <c r="A647" s="26"/>
      <c r="B647" s="26"/>
      <c r="C647" s="26"/>
      <c r="D647" s="26"/>
      <c r="E647" s="26"/>
      <c r="F647" s="26"/>
      <c r="G647" s="26"/>
      <c r="H647" s="26"/>
      <c r="I647" s="26"/>
      <c r="J647" s="26"/>
      <c r="K647" s="26"/>
      <c r="L647" s="26"/>
      <c r="M647" s="27"/>
      <c r="N647" s="26"/>
      <c r="O647" s="26"/>
      <c r="P647" s="26"/>
      <c r="Q647" s="26"/>
      <c r="R647" s="26"/>
      <c r="S647" s="26"/>
      <c r="T647" s="26"/>
      <c r="U647" s="26"/>
      <c r="V647" s="26"/>
      <c r="W647" s="26"/>
      <c r="X647" s="26"/>
      <c r="Y647" s="26"/>
    </row>
    <row r="648" spans="1:25" ht="15.75" customHeight="1">
      <c r="A648" s="26"/>
      <c r="B648" s="26"/>
      <c r="C648" s="26"/>
      <c r="D648" s="26"/>
      <c r="E648" s="26"/>
      <c r="F648" s="26"/>
      <c r="G648" s="26"/>
      <c r="H648" s="26"/>
      <c r="I648" s="26"/>
      <c r="J648" s="26"/>
      <c r="K648" s="26"/>
      <c r="L648" s="26"/>
      <c r="M648" s="27"/>
      <c r="N648" s="26"/>
      <c r="O648" s="26"/>
      <c r="P648" s="26"/>
      <c r="Q648" s="26"/>
      <c r="R648" s="26"/>
      <c r="S648" s="26"/>
      <c r="T648" s="26"/>
      <c r="U648" s="26"/>
      <c r="V648" s="26"/>
      <c r="W648" s="26"/>
      <c r="X648" s="26"/>
      <c r="Y648" s="26"/>
    </row>
    <row r="649" spans="1:25" ht="15.75" customHeight="1">
      <c r="A649" s="26"/>
      <c r="B649" s="26"/>
      <c r="C649" s="26"/>
      <c r="D649" s="26"/>
      <c r="E649" s="26"/>
      <c r="F649" s="26"/>
      <c r="G649" s="26"/>
      <c r="H649" s="26"/>
      <c r="I649" s="26"/>
      <c r="J649" s="26"/>
      <c r="K649" s="26"/>
      <c r="L649" s="26"/>
      <c r="M649" s="27"/>
      <c r="N649" s="26"/>
      <c r="O649" s="26"/>
      <c r="P649" s="26"/>
      <c r="Q649" s="26"/>
      <c r="R649" s="26"/>
      <c r="S649" s="26"/>
      <c r="T649" s="26"/>
      <c r="U649" s="26"/>
      <c r="V649" s="26"/>
      <c r="W649" s="26"/>
      <c r="X649" s="26"/>
      <c r="Y649" s="26"/>
    </row>
    <row r="650" spans="1:25" ht="15.75" customHeight="1">
      <c r="A650" s="26"/>
      <c r="B650" s="26"/>
      <c r="C650" s="26"/>
      <c r="D650" s="26"/>
      <c r="E650" s="26"/>
      <c r="F650" s="26"/>
      <c r="G650" s="26"/>
      <c r="H650" s="26"/>
      <c r="I650" s="26"/>
      <c r="J650" s="26"/>
      <c r="K650" s="26"/>
      <c r="L650" s="26"/>
      <c r="M650" s="27"/>
      <c r="N650" s="26"/>
      <c r="O650" s="26"/>
      <c r="P650" s="26"/>
      <c r="Q650" s="26"/>
      <c r="R650" s="26"/>
      <c r="S650" s="26"/>
      <c r="T650" s="26"/>
      <c r="U650" s="26"/>
      <c r="V650" s="26"/>
      <c r="W650" s="26"/>
      <c r="X650" s="26"/>
      <c r="Y650" s="26"/>
    </row>
    <row r="651" spans="1:25" ht="15.75" customHeight="1">
      <c r="A651" s="26"/>
      <c r="B651" s="26"/>
      <c r="C651" s="26"/>
      <c r="D651" s="26"/>
      <c r="E651" s="26"/>
      <c r="F651" s="26"/>
      <c r="G651" s="26"/>
      <c r="H651" s="26"/>
      <c r="I651" s="26"/>
      <c r="J651" s="26"/>
      <c r="K651" s="26"/>
      <c r="L651" s="26"/>
      <c r="M651" s="27"/>
      <c r="N651" s="26"/>
      <c r="O651" s="26"/>
      <c r="P651" s="26"/>
      <c r="Q651" s="26"/>
      <c r="R651" s="26"/>
      <c r="S651" s="26"/>
      <c r="T651" s="26"/>
      <c r="U651" s="26"/>
      <c r="V651" s="26"/>
      <c r="W651" s="26"/>
      <c r="X651" s="26"/>
      <c r="Y651" s="26"/>
    </row>
    <row r="652" spans="1:25" ht="15.75" customHeight="1">
      <c r="A652" s="26"/>
      <c r="B652" s="26"/>
      <c r="C652" s="26"/>
      <c r="D652" s="26"/>
      <c r="E652" s="26"/>
      <c r="F652" s="26"/>
      <c r="G652" s="26"/>
      <c r="H652" s="26"/>
      <c r="I652" s="26"/>
      <c r="J652" s="26"/>
      <c r="K652" s="26"/>
      <c r="L652" s="26"/>
      <c r="M652" s="27"/>
      <c r="N652" s="26"/>
      <c r="O652" s="26"/>
      <c r="P652" s="26"/>
      <c r="Q652" s="26"/>
      <c r="R652" s="26"/>
      <c r="S652" s="26"/>
      <c r="T652" s="26"/>
      <c r="U652" s="26"/>
      <c r="V652" s="26"/>
      <c r="W652" s="26"/>
      <c r="X652" s="26"/>
      <c r="Y652" s="26"/>
    </row>
    <row r="653" spans="1:25" ht="15.75" customHeight="1">
      <c r="A653" s="26"/>
      <c r="B653" s="26"/>
      <c r="C653" s="26"/>
      <c r="D653" s="26"/>
      <c r="E653" s="26"/>
      <c r="F653" s="26"/>
      <c r="G653" s="26"/>
      <c r="H653" s="26"/>
      <c r="I653" s="26"/>
      <c r="J653" s="26"/>
      <c r="K653" s="26"/>
      <c r="L653" s="26"/>
      <c r="M653" s="27"/>
      <c r="N653" s="26"/>
      <c r="O653" s="26"/>
      <c r="P653" s="26"/>
      <c r="Q653" s="26"/>
      <c r="R653" s="26"/>
      <c r="S653" s="26"/>
      <c r="T653" s="26"/>
      <c r="U653" s="26"/>
      <c r="V653" s="26"/>
      <c r="W653" s="26"/>
      <c r="X653" s="26"/>
      <c r="Y653" s="26"/>
    </row>
    <row r="654" spans="1:25" ht="15.75" customHeight="1">
      <c r="A654" s="26"/>
      <c r="B654" s="26"/>
      <c r="C654" s="26"/>
      <c r="D654" s="26"/>
      <c r="E654" s="26"/>
      <c r="F654" s="26"/>
      <c r="G654" s="26"/>
      <c r="H654" s="26"/>
      <c r="I654" s="26"/>
      <c r="J654" s="26"/>
      <c r="K654" s="26"/>
      <c r="L654" s="26"/>
      <c r="M654" s="27"/>
      <c r="N654" s="26"/>
      <c r="O654" s="26"/>
      <c r="P654" s="26"/>
      <c r="Q654" s="26"/>
      <c r="R654" s="26"/>
      <c r="S654" s="26"/>
      <c r="T654" s="26"/>
      <c r="U654" s="26"/>
      <c r="V654" s="26"/>
      <c r="W654" s="26"/>
      <c r="X654" s="26"/>
      <c r="Y654" s="26"/>
    </row>
    <row r="655" spans="1:25" ht="15.75" customHeight="1">
      <c r="A655" s="26"/>
      <c r="B655" s="26"/>
      <c r="C655" s="26"/>
      <c r="D655" s="26"/>
      <c r="E655" s="26"/>
      <c r="F655" s="26"/>
      <c r="G655" s="26"/>
      <c r="H655" s="26"/>
      <c r="I655" s="26"/>
      <c r="J655" s="26"/>
      <c r="K655" s="26"/>
      <c r="L655" s="26"/>
      <c r="M655" s="27"/>
      <c r="N655" s="26"/>
      <c r="O655" s="26"/>
      <c r="P655" s="26"/>
      <c r="Q655" s="26"/>
      <c r="R655" s="26"/>
      <c r="S655" s="26"/>
      <c r="T655" s="26"/>
      <c r="U655" s="26"/>
      <c r="V655" s="26"/>
      <c r="W655" s="26"/>
      <c r="X655" s="26"/>
      <c r="Y655" s="26"/>
    </row>
    <row r="656" spans="1:25" ht="15.75" customHeight="1">
      <c r="A656" s="26"/>
      <c r="B656" s="26"/>
      <c r="C656" s="26"/>
      <c r="D656" s="26"/>
      <c r="E656" s="26"/>
      <c r="F656" s="26"/>
      <c r="G656" s="26"/>
      <c r="H656" s="26"/>
      <c r="I656" s="26"/>
      <c r="J656" s="26"/>
      <c r="K656" s="26"/>
      <c r="L656" s="26"/>
      <c r="M656" s="27"/>
      <c r="N656" s="26"/>
      <c r="O656" s="26"/>
      <c r="P656" s="26"/>
      <c r="Q656" s="26"/>
      <c r="R656" s="26"/>
      <c r="S656" s="26"/>
      <c r="T656" s="26"/>
      <c r="U656" s="26"/>
      <c r="V656" s="26"/>
      <c r="W656" s="26"/>
      <c r="X656" s="26"/>
      <c r="Y656" s="26"/>
    </row>
    <row r="657" spans="1:25" ht="15.75" customHeight="1">
      <c r="A657" s="26"/>
      <c r="B657" s="26"/>
      <c r="C657" s="26"/>
      <c r="D657" s="26"/>
      <c r="E657" s="26"/>
      <c r="F657" s="26"/>
      <c r="G657" s="26"/>
      <c r="H657" s="26"/>
      <c r="I657" s="26"/>
      <c r="J657" s="26"/>
      <c r="K657" s="26"/>
      <c r="L657" s="26"/>
      <c r="M657" s="27"/>
      <c r="N657" s="26"/>
      <c r="O657" s="26"/>
      <c r="P657" s="26"/>
      <c r="Q657" s="26"/>
      <c r="R657" s="26"/>
      <c r="S657" s="26"/>
      <c r="T657" s="26"/>
      <c r="U657" s="26"/>
      <c r="V657" s="26"/>
      <c r="W657" s="26"/>
      <c r="X657" s="26"/>
      <c r="Y657" s="26"/>
    </row>
    <row r="658" spans="1:25" ht="15.75" customHeight="1">
      <c r="A658" s="26"/>
      <c r="B658" s="26"/>
      <c r="C658" s="26"/>
      <c r="D658" s="26"/>
      <c r="E658" s="26"/>
      <c r="F658" s="26"/>
      <c r="G658" s="26"/>
      <c r="H658" s="26"/>
      <c r="I658" s="26"/>
      <c r="J658" s="26"/>
      <c r="K658" s="26"/>
      <c r="L658" s="26"/>
      <c r="M658" s="27"/>
      <c r="N658" s="26"/>
      <c r="O658" s="26"/>
      <c r="P658" s="26"/>
      <c r="Q658" s="26"/>
      <c r="R658" s="26"/>
      <c r="S658" s="26"/>
      <c r="T658" s="26"/>
      <c r="U658" s="26"/>
      <c r="V658" s="26"/>
      <c r="W658" s="26"/>
      <c r="X658" s="26"/>
      <c r="Y658" s="26"/>
    </row>
    <row r="659" spans="1:25" ht="15.75" customHeight="1">
      <c r="A659" s="26"/>
      <c r="B659" s="26"/>
      <c r="C659" s="26"/>
      <c r="D659" s="26"/>
      <c r="E659" s="26"/>
      <c r="F659" s="26"/>
      <c r="G659" s="26"/>
      <c r="H659" s="26"/>
      <c r="I659" s="26"/>
      <c r="J659" s="26"/>
      <c r="K659" s="26"/>
      <c r="L659" s="26"/>
      <c r="M659" s="27"/>
      <c r="N659" s="26"/>
      <c r="O659" s="26"/>
      <c r="P659" s="26"/>
      <c r="Q659" s="26"/>
      <c r="R659" s="26"/>
      <c r="S659" s="26"/>
      <c r="T659" s="26"/>
      <c r="U659" s="26"/>
      <c r="V659" s="26"/>
      <c r="W659" s="26"/>
      <c r="X659" s="26"/>
      <c r="Y659" s="26"/>
    </row>
    <row r="660" spans="1:25" ht="15.75" customHeight="1">
      <c r="A660" s="26"/>
      <c r="B660" s="26"/>
      <c r="C660" s="26"/>
      <c r="D660" s="26"/>
      <c r="E660" s="26"/>
      <c r="F660" s="26"/>
      <c r="G660" s="26"/>
      <c r="H660" s="26"/>
      <c r="I660" s="26"/>
      <c r="J660" s="26"/>
      <c r="K660" s="26"/>
      <c r="L660" s="26"/>
      <c r="M660" s="27"/>
      <c r="N660" s="26"/>
      <c r="O660" s="26"/>
      <c r="P660" s="26"/>
      <c r="Q660" s="26"/>
      <c r="R660" s="26"/>
      <c r="S660" s="26"/>
      <c r="T660" s="26"/>
      <c r="U660" s="26"/>
      <c r="V660" s="26"/>
      <c r="W660" s="26"/>
      <c r="X660" s="26"/>
      <c r="Y660" s="26"/>
    </row>
    <row r="661" spans="1:25" ht="15.75" customHeight="1">
      <c r="A661" s="26"/>
      <c r="B661" s="26"/>
      <c r="C661" s="26"/>
      <c r="D661" s="26"/>
      <c r="E661" s="26"/>
      <c r="F661" s="26"/>
      <c r="G661" s="26"/>
      <c r="H661" s="26"/>
      <c r="I661" s="26"/>
      <c r="J661" s="26"/>
      <c r="K661" s="26"/>
      <c r="L661" s="26"/>
      <c r="M661" s="27"/>
      <c r="N661" s="26"/>
      <c r="O661" s="26"/>
      <c r="P661" s="26"/>
      <c r="Q661" s="26"/>
      <c r="R661" s="26"/>
      <c r="S661" s="26"/>
      <c r="T661" s="26"/>
      <c r="U661" s="26"/>
      <c r="V661" s="26"/>
      <c r="W661" s="26"/>
      <c r="X661" s="26"/>
      <c r="Y661" s="26"/>
    </row>
    <row r="662" spans="1:25" ht="15.75" customHeight="1">
      <c r="A662" s="26"/>
      <c r="B662" s="26"/>
      <c r="C662" s="26"/>
      <c r="D662" s="26"/>
      <c r="E662" s="26"/>
      <c r="F662" s="26"/>
      <c r="G662" s="26"/>
      <c r="H662" s="26"/>
      <c r="I662" s="26"/>
      <c r="J662" s="26"/>
      <c r="K662" s="26"/>
      <c r="L662" s="26"/>
      <c r="M662" s="27"/>
      <c r="N662" s="26"/>
      <c r="O662" s="26"/>
      <c r="P662" s="26"/>
      <c r="Q662" s="26"/>
      <c r="R662" s="26"/>
      <c r="S662" s="26"/>
      <c r="T662" s="26"/>
      <c r="U662" s="26"/>
      <c r="V662" s="26"/>
      <c r="W662" s="26"/>
      <c r="X662" s="26"/>
      <c r="Y662" s="26"/>
    </row>
    <row r="663" spans="1:25" ht="15.75" customHeight="1">
      <c r="A663" s="26"/>
      <c r="B663" s="26"/>
      <c r="C663" s="26"/>
      <c r="D663" s="26"/>
      <c r="E663" s="26"/>
      <c r="F663" s="26"/>
      <c r="G663" s="26"/>
      <c r="H663" s="26"/>
      <c r="I663" s="26"/>
      <c r="J663" s="26"/>
      <c r="K663" s="26"/>
      <c r="L663" s="26"/>
      <c r="M663" s="27"/>
      <c r="N663" s="26"/>
      <c r="O663" s="26"/>
      <c r="P663" s="26"/>
      <c r="Q663" s="26"/>
      <c r="R663" s="26"/>
      <c r="S663" s="26"/>
      <c r="T663" s="26"/>
      <c r="U663" s="26"/>
      <c r="V663" s="26"/>
      <c r="W663" s="26"/>
      <c r="X663" s="26"/>
      <c r="Y663" s="26"/>
    </row>
    <row r="664" spans="1:25" ht="15.75" customHeight="1">
      <c r="A664" s="26"/>
      <c r="B664" s="26"/>
      <c r="C664" s="26"/>
      <c r="D664" s="26"/>
      <c r="E664" s="26"/>
      <c r="F664" s="26"/>
      <c r="G664" s="26"/>
      <c r="H664" s="26"/>
      <c r="I664" s="26"/>
      <c r="J664" s="26"/>
      <c r="K664" s="26"/>
      <c r="L664" s="26"/>
      <c r="M664" s="27"/>
      <c r="N664" s="26"/>
      <c r="O664" s="26"/>
      <c r="P664" s="26"/>
      <c r="Q664" s="26"/>
      <c r="R664" s="26"/>
      <c r="S664" s="26"/>
      <c r="T664" s="26"/>
      <c r="U664" s="26"/>
      <c r="V664" s="26"/>
      <c r="W664" s="26"/>
      <c r="X664" s="26"/>
      <c r="Y664" s="26"/>
    </row>
    <row r="665" spans="1:25" ht="15.75" customHeight="1">
      <c r="A665" s="26"/>
      <c r="B665" s="26"/>
      <c r="C665" s="26"/>
      <c r="D665" s="26"/>
      <c r="E665" s="26"/>
      <c r="F665" s="26"/>
      <c r="G665" s="26"/>
      <c r="H665" s="26"/>
      <c r="I665" s="26"/>
      <c r="J665" s="26"/>
      <c r="K665" s="26"/>
      <c r="L665" s="26"/>
      <c r="M665" s="27"/>
      <c r="N665" s="26"/>
      <c r="O665" s="26"/>
      <c r="P665" s="26"/>
      <c r="Q665" s="26"/>
      <c r="R665" s="26"/>
      <c r="S665" s="26"/>
      <c r="T665" s="26"/>
      <c r="U665" s="26"/>
      <c r="V665" s="26"/>
      <c r="W665" s="26"/>
      <c r="X665" s="26"/>
      <c r="Y665" s="26"/>
    </row>
    <row r="666" spans="1:25" ht="15.75" customHeight="1">
      <c r="A666" s="26"/>
      <c r="B666" s="26"/>
      <c r="C666" s="26"/>
      <c r="D666" s="26"/>
      <c r="E666" s="26"/>
      <c r="F666" s="26"/>
      <c r="G666" s="26"/>
      <c r="H666" s="26"/>
      <c r="I666" s="26"/>
      <c r="J666" s="26"/>
      <c r="K666" s="26"/>
      <c r="L666" s="26"/>
      <c r="M666" s="27"/>
      <c r="N666" s="26"/>
      <c r="O666" s="26"/>
      <c r="P666" s="26"/>
      <c r="Q666" s="26"/>
      <c r="R666" s="26"/>
      <c r="S666" s="26"/>
      <c r="T666" s="26"/>
      <c r="U666" s="26"/>
      <c r="V666" s="26"/>
      <c r="W666" s="26"/>
      <c r="X666" s="26"/>
      <c r="Y666" s="26"/>
    </row>
    <row r="667" spans="1:25" ht="15.75" customHeight="1">
      <c r="A667" s="26"/>
      <c r="B667" s="26"/>
      <c r="C667" s="26"/>
      <c r="D667" s="26"/>
      <c r="E667" s="26"/>
      <c r="F667" s="26"/>
      <c r="G667" s="26"/>
      <c r="H667" s="26"/>
      <c r="I667" s="26"/>
      <c r="J667" s="26"/>
      <c r="K667" s="26"/>
      <c r="L667" s="26"/>
      <c r="M667" s="27"/>
      <c r="N667" s="26"/>
      <c r="O667" s="26"/>
      <c r="P667" s="26"/>
      <c r="Q667" s="26"/>
      <c r="R667" s="26"/>
      <c r="S667" s="26"/>
      <c r="T667" s="26"/>
      <c r="U667" s="26"/>
      <c r="V667" s="26"/>
      <c r="W667" s="26"/>
      <c r="X667" s="26"/>
      <c r="Y667" s="26"/>
    </row>
    <row r="668" spans="1:25" ht="15.75" customHeight="1">
      <c r="A668" s="26"/>
      <c r="B668" s="26"/>
      <c r="C668" s="26"/>
      <c r="D668" s="26"/>
      <c r="E668" s="26"/>
      <c r="F668" s="26"/>
      <c r="G668" s="26"/>
      <c r="H668" s="26"/>
      <c r="I668" s="26"/>
      <c r="J668" s="26"/>
      <c r="K668" s="26"/>
      <c r="L668" s="26"/>
      <c r="M668" s="27"/>
      <c r="N668" s="26"/>
      <c r="O668" s="26"/>
      <c r="P668" s="26"/>
      <c r="Q668" s="26"/>
      <c r="R668" s="26"/>
      <c r="S668" s="26"/>
      <c r="T668" s="26"/>
      <c r="U668" s="26"/>
      <c r="V668" s="26"/>
      <c r="W668" s="26"/>
      <c r="X668" s="26"/>
      <c r="Y668" s="26"/>
    </row>
    <row r="669" spans="1:25" ht="15.75" customHeight="1">
      <c r="A669" s="26"/>
      <c r="B669" s="26"/>
      <c r="C669" s="26"/>
      <c r="D669" s="26"/>
      <c r="E669" s="26"/>
      <c r="F669" s="26"/>
      <c r="G669" s="26"/>
      <c r="H669" s="26"/>
      <c r="I669" s="26"/>
      <c r="J669" s="26"/>
      <c r="K669" s="26"/>
      <c r="L669" s="26"/>
      <c r="M669" s="27"/>
      <c r="N669" s="26"/>
      <c r="O669" s="26"/>
      <c r="P669" s="26"/>
      <c r="Q669" s="26"/>
      <c r="R669" s="26"/>
      <c r="S669" s="26"/>
      <c r="T669" s="26"/>
      <c r="U669" s="26"/>
      <c r="V669" s="26"/>
      <c r="W669" s="26"/>
      <c r="X669" s="26"/>
      <c r="Y669" s="26"/>
    </row>
    <row r="670" spans="1:25" ht="15.75" customHeight="1">
      <c r="A670" s="26"/>
      <c r="B670" s="26"/>
      <c r="C670" s="26"/>
      <c r="D670" s="26"/>
      <c r="E670" s="26"/>
      <c r="F670" s="26"/>
      <c r="G670" s="26"/>
      <c r="H670" s="26"/>
      <c r="I670" s="26"/>
      <c r="J670" s="26"/>
      <c r="K670" s="26"/>
      <c r="L670" s="26"/>
      <c r="M670" s="27"/>
      <c r="N670" s="26"/>
      <c r="O670" s="26"/>
      <c r="P670" s="26"/>
      <c r="Q670" s="26"/>
      <c r="R670" s="26"/>
      <c r="S670" s="26"/>
      <c r="T670" s="26"/>
      <c r="U670" s="26"/>
      <c r="V670" s="26"/>
      <c r="W670" s="26"/>
      <c r="X670" s="26"/>
      <c r="Y670" s="26"/>
    </row>
    <row r="671" spans="1:25" ht="15.75" customHeight="1">
      <c r="A671" s="26"/>
      <c r="B671" s="26"/>
      <c r="C671" s="26"/>
      <c r="D671" s="26"/>
      <c r="E671" s="26"/>
      <c r="F671" s="26"/>
      <c r="G671" s="26"/>
      <c r="H671" s="26"/>
      <c r="I671" s="26"/>
      <c r="J671" s="26"/>
      <c r="K671" s="26"/>
      <c r="L671" s="26"/>
      <c r="M671" s="27"/>
      <c r="N671" s="26"/>
      <c r="O671" s="26"/>
      <c r="P671" s="26"/>
      <c r="Q671" s="26"/>
      <c r="R671" s="26"/>
      <c r="S671" s="26"/>
      <c r="T671" s="26"/>
      <c r="U671" s="26"/>
      <c r="V671" s="26"/>
      <c r="W671" s="26"/>
      <c r="X671" s="26"/>
      <c r="Y671" s="26"/>
    </row>
    <row r="672" spans="1:25" ht="15.75" customHeight="1">
      <c r="A672" s="26"/>
      <c r="B672" s="26"/>
      <c r="C672" s="26"/>
      <c r="D672" s="26"/>
      <c r="E672" s="26"/>
      <c r="F672" s="26"/>
      <c r="G672" s="26"/>
      <c r="H672" s="26"/>
      <c r="I672" s="26"/>
      <c r="J672" s="26"/>
      <c r="K672" s="26"/>
      <c r="L672" s="26"/>
      <c r="M672" s="27"/>
      <c r="N672" s="26"/>
      <c r="O672" s="26"/>
      <c r="P672" s="26"/>
      <c r="Q672" s="26"/>
      <c r="R672" s="26"/>
      <c r="S672" s="26"/>
      <c r="T672" s="26"/>
      <c r="U672" s="26"/>
      <c r="V672" s="26"/>
      <c r="W672" s="26"/>
      <c r="X672" s="26"/>
      <c r="Y672" s="26"/>
    </row>
    <row r="673" spans="1:25" ht="15.75" customHeight="1">
      <c r="A673" s="26"/>
      <c r="B673" s="26"/>
      <c r="C673" s="26"/>
      <c r="D673" s="26"/>
      <c r="E673" s="26"/>
      <c r="F673" s="26"/>
      <c r="G673" s="26"/>
      <c r="H673" s="26"/>
      <c r="I673" s="26"/>
      <c r="J673" s="26"/>
      <c r="K673" s="26"/>
      <c r="L673" s="26"/>
      <c r="M673" s="27"/>
      <c r="N673" s="26"/>
      <c r="O673" s="26"/>
      <c r="P673" s="26"/>
      <c r="Q673" s="26"/>
      <c r="R673" s="26"/>
      <c r="S673" s="26"/>
      <c r="T673" s="26"/>
      <c r="U673" s="26"/>
      <c r="V673" s="26"/>
      <c r="W673" s="26"/>
      <c r="X673" s="26"/>
      <c r="Y673" s="26"/>
    </row>
    <row r="674" spans="1:25" ht="15.75" customHeight="1">
      <c r="A674" s="26"/>
      <c r="B674" s="26"/>
      <c r="C674" s="26"/>
      <c r="D674" s="26"/>
      <c r="E674" s="26"/>
      <c r="F674" s="26"/>
      <c r="G674" s="26"/>
      <c r="H674" s="26"/>
      <c r="I674" s="26"/>
      <c r="J674" s="26"/>
      <c r="K674" s="26"/>
      <c r="L674" s="26"/>
      <c r="M674" s="27"/>
      <c r="N674" s="26"/>
      <c r="O674" s="26"/>
      <c r="P674" s="26"/>
      <c r="Q674" s="26"/>
      <c r="R674" s="26"/>
      <c r="S674" s="26"/>
      <c r="T674" s="26"/>
      <c r="U674" s="26"/>
      <c r="V674" s="26"/>
      <c r="W674" s="26"/>
      <c r="X674" s="26"/>
      <c r="Y674" s="26"/>
    </row>
    <row r="675" spans="1:25" ht="15.75" customHeight="1">
      <c r="A675" s="26"/>
      <c r="B675" s="26"/>
      <c r="C675" s="26"/>
      <c r="D675" s="26"/>
      <c r="E675" s="26"/>
      <c r="F675" s="26"/>
      <c r="G675" s="26"/>
      <c r="H675" s="26"/>
      <c r="I675" s="26"/>
      <c r="J675" s="26"/>
      <c r="K675" s="26"/>
      <c r="L675" s="26"/>
      <c r="M675" s="27"/>
      <c r="N675" s="26"/>
      <c r="O675" s="26"/>
      <c r="P675" s="26"/>
      <c r="Q675" s="26"/>
      <c r="R675" s="26"/>
      <c r="S675" s="26"/>
      <c r="T675" s="26"/>
      <c r="U675" s="26"/>
      <c r="V675" s="26"/>
      <c r="W675" s="26"/>
      <c r="X675" s="26"/>
      <c r="Y675" s="26"/>
    </row>
    <row r="676" spans="1:25" ht="15.75" customHeight="1">
      <c r="A676" s="26"/>
      <c r="B676" s="26"/>
      <c r="C676" s="26"/>
      <c r="D676" s="26"/>
      <c r="E676" s="26"/>
      <c r="F676" s="26"/>
      <c r="G676" s="26"/>
      <c r="H676" s="26"/>
      <c r="I676" s="26"/>
      <c r="J676" s="26"/>
      <c r="K676" s="26"/>
      <c r="L676" s="26"/>
      <c r="M676" s="27"/>
      <c r="N676" s="26"/>
      <c r="O676" s="26"/>
      <c r="P676" s="26"/>
      <c r="Q676" s="26"/>
      <c r="R676" s="26"/>
      <c r="S676" s="26"/>
      <c r="T676" s="26"/>
      <c r="U676" s="26"/>
      <c r="V676" s="26"/>
      <c r="W676" s="26"/>
      <c r="X676" s="26"/>
      <c r="Y676" s="26"/>
    </row>
    <row r="677" spans="1:25" ht="15.75" customHeight="1">
      <c r="A677" s="26"/>
      <c r="B677" s="26"/>
      <c r="C677" s="26"/>
      <c r="D677" s="26"/>
      <c r="E677" s="26"/>
      <c r="F677" s="26"/>
      <c r="G677" s="26"/>
      <c r="H677" s="26"/>
      <c r="I677" s="26"/>
      <c r="J677" s="26"/>
      <c r="K677" s="26"/>
      <c r="L677" s="26"/>
      <c r="M677" s="27"/>
      <c r="N677" s="26"/>
      <c r="O677" s="26"/>
      <c r="P677" s="26"/>
      <c r="Q677" s="26"/>
      <c r="R677" s="26"/>
      <c r="S677" s="26"/>
      <c r="T677" s="26"/>
      <c r="U677" s="26"/>
      <c r="V677" s="26"/>
      <c r="W677" s="26"/>
      <c r="X677" s="26"/>
      <c r="Y677" s="26"/>
    </row>
    <row r="678" spans="1:25" ht="15.75" customHeight="1">
      <c r="A678" s="26"/>
      <c r="B678" s="26"/>
      <c r="C678" s="26"/>
      <c r="D678" s="26"/>
      <c r="E678" s="26"/>
      <c r="F678" s="26"/>
      <c r="G678" s="26"/>
      <c r="H678" s="26"/>
      <c r="I678" s="26"/>
      <c r="J678" s="26"/>
      <c r="K678" s="26"/>
      <c r="L678" s="26"/>
      <c r="M678" s="27"/>
      <c r="N678" s="26"/>
      <c r="O678" s="26"/>
      <c r="P678" s="26"/>
      <c r="Q678" s="26"/>
      <c r="R678" s="26"/>
      <c r="S678" s="26"/>
      <c r="T678" s="26"/>
      <c r="U678" s="26"/>
      <c r="V678" s="26"/>
      <c r="W678" s="26"/>
      <c r="X678" s="26"/>
      <c r="Y678" s="26"/>
    </row>
    <row r="679" spans="1:25" ht="15.75" customHeight="1">
      <c r="A679" s="26"/>
      <c r="B679" s="26"/>
      <c r="C679" s="26"/>
      <c r="D679" s="26"/>
      <c r="E679" s="26"/>
      <c r="F679" s="26"/>
      <c r="G679" s="26"/>
      <c r="H679" s="26"/>
      <c r="I679" s="26"/>
      <c r="J679" s="26"/>
      <c r="K679" s="26"/>
      <c r="L679" s="26"/>
      <c r="M679" s="27"/>
      <c r="N679" s="26"/>
      <c r="O679" s="26"/>
      <c r="P679" s="26"/>
      <c r="Q679" s="26"/>
      <c r="R679" s="26"/>
      <c r="S679" s="26"/>
      <c r="T679" s="26"/>
      <c r="U679" s="26"/>
      <c r="V679" s="26"/>
      <c r="W679" s="26"/>
      <c r="X679" s="26"/>
      <c r="Y679" s="26"/>
    </row>
    <row r="680" spans="1:25" ht="15.75" customHeight="1">
      <c r="A680" s="26"/>
      <c r="B680" s="26"/>
      <c r="C680" s="26"/>
      <c r="D680" s="26"/>
      <c r="E680" s="26"/>
      <c r="F680" s="26"/>
      <c r="G680" s="26"/>
      <c r="H680" s="26"/>
      <c r="I680" s="26"/>
      <c r="J680" s="26"/>
      <c r="K680" s="26"/>
      <c r="L680" s="26"/>
      <c r="M680" s="27"/>
      <c r="N680" s="26"/>
      <c r="O680" s="26"/>
      <c r="P680" s="26"/>
      <c r="Q680" s="26"/>
      <c r="R680" s="26"/>
      <c r="S680" s="26"/>
      <c r="T680" s="26"/>
      <c r="U680" s="26"/>
      <c r="V680" s="26"/>
      <c r="W680" s="26"/>
      <c r="X680" s="26"/>
      <c r="Y680" s="26"/>
    </row>
    <row r="681" spans="1:25" ht="15.75" customHeight="1">
      <c r="A681" s="26"/>
      <c r="B681" s="26"/>
      <c r="C681" s="26"/>
      <c r="D681" s="26"/>
      <c r="E681" s="26"/>
      <c r="F681" s="26"/>
      <c r="G681" s="26"/>
      <c r="H681" s="26"/>
      <c r="I681" s="26"/>
      <c r="J681" s="26"/>
      <c r="K681" s="26"/>
      <c r="L681" s="26"/>
      <c r="M681" s="27"/>
      <c r="N681" s="26"/>
      <c r="O681" s="26"/>
      <c r="P681" s="26"/>
      <c r="Q681" s="26"/>
      <c r="R681" s="26"/>
      <c r="S681" s="26"/>
      <c r="T681" s="26"/>
      <c r="U681" s="26"/>
      <c r="V681" s="26"/>
      <c r="W681" s="26"/>
      <c r="X681" s="26"/>
      <c r="Y681" s="26"/>
    </row>
    <row r="682" spans="1:25" ht="15.75" customHeight="1">
      <c r="A682" s="26"/>
      <c r="B682" s="26"/>
      <c r="C682" s="26"/>
      <c r="D682" s="26"/>
      <c r="E682" s="26"/>
      <c r="F682" s="26"/>
      <c r="G682" s="26"/>
      <c r="H682" s="26"/>
      <c r="I682" s="26"/>
      <c r="J682" s="26"/>
      <c r="K682" s="26"/>
      <c r="L682" s="26"/>
      <c r="M682" s="27"/>
      <c r="N682" s="26"/>
      <c r="O682" s="26"/>
      <c r="P682" s="26"/>
      <c r="Q682" s="26"/>
      <c r="R682" s="26"/>
      <c r="S682" s="26"/>
      <c r="T682" s="26"/>
      <c r="U682" s="26"/>
      <c r="V682" s="26"/>
      <c r="W682" s="26"/>
      <c r="X682" s="26"/>
      <c r="Y682" s="26"/>
    </row>
    <row r="683" spans="1:25" ht="15.75" customHeight="1">
      <c r="A683" s="26"/>
      <c r="B683" s="26"/>
      <c r="C683" s="26"/>
      <c r="D683" s="26"/>
      <c r="E683" s="26"/>
      <c r="F683" s="26"/>
      <c r="G683" s="26"/>
      <c r="H683" s="26"/>
      <c r="I683" s="26"/>
      <c r="J683" s="26"/>
      <c r="K683" s="26"/>
      <c r="L683" s="26"/>
      <c r="M683" s="27"/>
      <c r="N683" s="26"/>
      <c r="O683" s="26"/>
      <c r="P683" s="26"/>
      <c r="Q683" s="26"/>
      <c r="R683" s="26"/>
      <c r="S683" s="26"/>
      <c r="T683" s="26"/>
      <c r="U683" s="26"/>
      <c r="V683" s="26"/>
      <c r="W683" s="26"/>
      <c r="X683" s="26"/>
      <c r="Y683" s="26"/>
    </row>
    <row r="684" spans="1:25" ht="15.75" customHeight="1">
      <c r="A684" s="26"/>
      <c r="B684" s="26"/>
      <c r="C684" s="26"/>
      <c r="D684" s="26"/>
      <c r="E684" s="26"/>
      <c r="F684" s="26"/>
      <c r="G684" s="26"/>
      <c r="H684" s="26"/>
      <c r="I684" s="26"/>
      <c r="J684" s="26"/>
      <c r="K684" s="26"/>
      <c r="L684" s="26"/>
      <c r="M684" s="27"/>
      <c r="N684" s="26"/>
      <c r="O684" s="26"/>
      <c r="P684" s="26"/>
      <c r="Q684" s="26"/>
      <c r="R684" s="26"/>
      <c r="S684" s="26"/>
      <c r="T684" s="26"/>
      <c r="U684" s="26"/>
      <c r="V684" s="26"/>
      <c r="W684" s="26"/>
      <c r="X684" s="26"/>
      <c r="Y684" s="26"/>
    </row>
    <row r="685" spans="1:25" ht="15.75" customHeight="1">
      <c r="A685" s="26"/>
      <c r="B685" s="26"/>
      <c r="C685" s="26"/>
      <c r="D685" s="26"/>
      <c r="E685" s="26"/>
      <c r="F685" s="26"/>
      <c r="G685" s="26"/>
      <c r="H685" s="26"/>
      <c r="I685" s="26"/>
      <c r="J685" s="26"/>
      <c r="K685" s="26"/>
      <c r="L685" s="26"/>
      <c r="M685" s="27"/>
      <c r="N685" s="26"/>
      <c r="O685" s="26"/>
      <c r="P685" s="26"/>
      <c r="Q685" s="26"/>
      <c r="R685" s="26"/>
      <c r="S685" s="26"/>
      <c r="T685" s="26"/>
      <c r="U685" s="26"/>
      <c r="V685" s="26"/>
      <c r="W685" s="26"/>
      <c r="X685" s="26"/>
      <c r="Y685" s="26"/>
    </row>
    <row r="686" spans="1:25" ht="15.75" customHeight="1">
      <c r="A686" s="26"/>
      <c r="B686" s="26"/>
      <c r="C686" s="26"/>
      <c r="D686" s="26"/>
      <c r="E686" s="26"/>
      <c r="F686" s="26"/>
      <c r="G686" s="26"/>
      <c r="H686" s="26"/>
      <c r="I686" s="26"/>
      <c r="J686" s="26"/>
      <c r="K686" s="26"/>
      <c r="L686" s="26"/>
      <c r="M686" s="27"/>
      <c r="N686" s="26"/>
      <c r="O686" s="26"/>
      <c r="P686" s="26"/>
      <c r="Q686" s="26"/>
      <c r="R686" s="26"/>
      <c r="S686" s="26"/>
      <c r="T686" s="26"/>
      <c r="U686" s="26"/>
      <c r="V686" s="26"/>
      <c r="W686" s="26"/>
      <c r="X686" s="26"/>
      <c r="Y686" s="26"/>
    </row>
    <row r="687" spans="1:25" ht="15.75" customHeight="1">
      <c r="A687" s="26"/>
      <c r="B687" s="26"/>
      <c r="C687" s="26"/>
      <c r="D687" s="26"/>
      <c r="E687" s="26"/>
      <c r="F687" s="26"/>
      <c r="G687" s="26"/>
      <c r="H687" s="26"/>
      <c r="I687" s="26"/>
      <c r="J687" s="26"/>
      <c r="K687" s="26"/>
      <c r="L687" s="26"/>
      <c r="M687" s="27"/>
      <c r="N687" s="26"/>
      <c r="O687" s="26"/>
      <c r="P687" s="26"/>
      <c r="Q687" s="26"/>
      <c r="R687" s="26"/>
      <c r="S687" s="26"/>
      <c r="T687" s="26"/>
      <c r="U687" s="26"/>
      <c r="V687" s="26"/>
      <c r="W687" s="26"/>
      <c r="X687" s="26"/>
      <c r="Y687" s="26"/>
    </row>
    <row r="688" spans="1:25" ht="15.75" customHeight="1">
      <c r="A688" s="26"/>
      <c r="B688" s="26"/>
      <c r="C688" s="26"/>
      <c r="D688" s="26"/>
      <c r="E688" s="26"/>
      <c r="F688" s="26"/>
      <c r="G688" s="26"/>
      <c r="H688" s="26"/>
      <c r="I688" s="26"/>
      <c r="J688" s="26"/>
      <c r="K688" s="26"/>
      <c r="L688" s="26"/>
      <c r="M688" s="27"/>
      <c r="N688" s="26"/>
      <c r="O688" s="26"/>
      <c r="P688" s="26"/>
      <c r="Q688" s="26"/>
      <c r="R688" s="26"/>
      <c r="S688" s="26"/>
      <c r="T688" s="26"/>
      <c r="U688" s="26"/>
      <c r="V688" s="26"/>
      <c r="W688" s="26"/>
      <c r="X688" s="26"/>
      <c r="Y688" s="26"/>
    </row>
    <row r="689" spans="1:25" ht="15.75" customHeight="1">
      <c r="A689" s="26"/>
      <c r="B689" s="26"/>
      <c r="C689" s="26"/>
      <c r="D689" s="26"/>
      <c r="E689" s="26"/>
      <c r="F689" s="26"/>
      <c r="G689" s="26"/>
      <c r="H689" s="26"/>
      <c r="I689" s="26"/>
      <c r="J689" s="26"/>
      <c r="K689" s="26"/>
      <c r="L689" s="26"/>
      <c r="M689" s="27"/>
      <c r="N689" s="26"/>
      <c r="O689" s="26"/>
      <c r="P689" s="26"/>
      <c r="Q689" s="26"/>
      <c r="R689" s="26"/>
      <c r="S689" s="26"/>
      <c r="T689" s="26"/>
      <c r="U689" s="26"/>
      <c r="V689" s="26"/>
      <c r="W689" s="26"/>
      <c r="X689" s="26"/>
      <c r="Y689" s="26"/>
    </row>
    <row r="690" spans="1:25" ht="15.75" customHeight="1">
      <c r="A690" s="26"/>
      <c r="B690" s="26"/>
      <c r="C690" s="26"/>
      <c r="D690" s="26"/>
      <c r="E690" s="26"/>
      <c r="F690" s="26"/>
      <c r="G690" s="26"/>
      <c r="H690" s="26"/>
      <c r="I690" s="26"/>
      <c r="J690" s="26"/>
      <c r="K690" s="26"/>
      <c r="L690" s="26"/>
      <c r="M690" s="27"/>
      <c r="N690" s="26"/>
      <c r="O690" s="26"/>
      <c r="P690" s="26"/>
      <c r="Q690" s="26"/>
      <c r="R690" s="26"/>
      <c r="S690" s="26"/>
      <c r="T690" s="26"/>
      <c r="U690" s="26"/>
      <c r="V690" s="26"/>
      <c r="W690" s="26"/>
      <c r="X690" s="26"/>
      <c r="Y690" s="26"/>
    </row>
    <row r="691" spans="1:25" ht="15.75" customHeight="1">
      <c r="A691" s="26"/>
      <c r="B691" s="26"/>
      <c r="C691" s="26"/>
      <c r="D691" s="26"/>
      <c r="E691" s="26"/>
      <c r="F691" s="26"/>
      <c r="G691" s="26"/>
      <c r="H691" s="26"/>
      <c r="I691" s="26"/>
      <c r="J691" s="26"/>
      <c r="K691" s="26"/>
      <c r="L691" s="26"/>
      <c r="M691" s="27"/>
      <c r="N691" s="26"/>
      <c r="O691" s="26"/>
      <c r="P691" s="26"/>
      <c r="Q691" s="26"/>
      <c r="R691" s="26"/>
      <c r="S691" s="26"/>
      <c r="T691" s="26"/>
      <c r="U691" s="26"/>
      <c r="V691" s="26"/>
      <c r="W691" s="26"/>
      <c r="X691" s="26"/>
      <c r="Y691" s="26"/>
    </row>
    <row r="692" spans="1:25" ht="15.75" customHeight="1">
      <c r="A692" s="26"/>
      <c r="B692" s="26"/>
      <c r="C692" s="26"/>
      <c r="D692" s="26"/>
      <c r="E692" s="26"/>
      <c r="F692" s="26"/>
      <c r="G692" s="26"/>
      <c r="H692" s="26"/>
      <c r="I692" s="26"/>
      <c r="J692" s="26"/>
      <c r="K692" s="26"/>
      <c r="L692" s="26"/>
      <c r="M692" s="27"/>
      <c r="N692" s="26"/>
      <c r="O692" s="26"/>
      <c r="P692" s="26"/>
      <c r="Q692" s="26"/>
      <c r="R692" s="26"/>
      <c r="S692" s="26"/>
      <c r="T692" s="26"/>
      <c r="U692" s="26"/>
      <c r="V692" s="26"/>
      <c r="W692" s="26"/>
      <c r="X692" s="26"/>
      <c r="Y692" s="26"/>
    </row>
    <row r="693" spans="1:25" ht="15.75" customHeight="1">
      <c r="A693" s="26"/>
      <c r="B693" s="26"/>
      <c r="C693" s="26"/>
      <c r="D693" s="26"/>
      <c r="E693" s="26"/>
      <c r="F693" s="26"/>
      <c r="G693" s="26"/>
      <c r="H693" s="26"/>
      <c r="I693" s="26"/>
      <c r="J693" s="26"/>
      <c r="K693" s="26"/>
      <c r="L693" s="26"/>
      <c r="M693" s="27"/>
      <c r="N693" s="26"/>
      <c r="O693" s="26"/>
      <c r="P693" s="26"/>
      <c r="Q693" s="26"/>
      <c r="R693" s="26"/>
      <c r="S693" s="26"/>
      <c r="T693" s="26"/>
      <c r="U693" s="26"/>
      <c r="V693" s="26"/>
      <c r="W693" s="26"/>
      <c r="X693" s="26"/>
      <c r="Y693" s="26"/>
    </row>
    <row r="694" spans="1:25" ht="15.75" customHeight="1">
      <c r="A694" s="26"/>
      <c r="B694" s="26"/>
      <c r="C694" s="26"/>
      <c r="D694" s="26"/>
      <c r="E694" s="26"/>
      <c r="F694" s="26"/>
      <c r="G694" s="26"/>
      <c r="H694" s="26"/>
      <c r="I694" s="26"/>
      <c r="J694" s="26"/>
      <c r="K694" s="26"/>
      <c r="L694" s="26"/>
      <c r="M694" s="27"/>
      <c r="N694" s="26"/>
      <c r="O694" s="26"/>
      <c r="P694" s="26"/>
      <c r="Q694" s="26"/>
      <c r="R694" s="26"/>
      <c r="S694" s="26"/>
      <c r="T694" s="26"/>
      <c r="U694" s="26"/>
      <c r="V694" s="26"/>
      <c r="W694" s="26"/>
      <c r="X694" s="26"/>
      <c r="Y694" s="26"/>
    </row>
    <row r="695" spans="1:25" ht="15.75" customHeight="1">
      <c r="A695" s="26"/>
      <c r="B695" s="26"/>
      <c r="C695" s="26"/>
      <c r="D695" s="26"/>
      <c r="E695" s="26"/>
      <c r="F695" s="26"/>
      <c r="G695" s="26"/>
      <c r="H695" s="26"/>
      <c r="I695" s="26"/>
      <c r="J695" s="26"/>
      <c r="K695" s="26"/>
      <c r="L695" s="26"/>
      <c r="M695" s="27"/>
      <c r="N695" s="26"/>
      <c r="O695" s="26"/>
      <c r="P695" s="26"/>
      <c r="Q695" s="26"/>
      <c r="R695" s="26"/>
      <c r="S695" s="26"/>
      <c r="T695" s="26"/>
      <c r="U695" s="26"/>
      <c r="V695" s="26"/>
      <c r="W695" s="26"/>
      <c r="X695" s="26"/>
      <c r="Y695" s="26"/>
    </row>
    <row r="696" spans="1:25" ht="15.75" customHeight="1">
      <c r="A696" s="26"/>
      <c r="B696" s="26"/>
      <c r="C696" s="26"/>
      <c r="D696" s="26"/>
      <c r="E696" s="26"/>
      <c r="F696" s="26"/>
      <c r="G696" s="26"/>
      <c r="H696" s="26"/>
      <c r="I696" s="26"/>
      <c r="J696" s="26"/>
      <c r="K696" s="26"/>
      <c r="L696" s="26"/>
      <c r="M696" s="27"/>
      <c r="N696" s="26"/>
      <c r="O696" s="26"/>
      <c r="P696" s="26"/>
      <c r="Q696" s="26"/>
      <c r="R696" s="26"/>
      <c r="S696" s="26"/>
      <c r="T696" s="26"/>
      <c r="U696" s="26"/>
      <c r="V696" s="26"/>
      <c r="W696" s="26"/>
      <c r="X696" s="26"/>
      <c r="Y696" s="26"/>
    </row>
    <row r="697" spans="1:25" ht="15.75" customHeight="1">
      <c r="A697" s="26"/>
      <c r="B697" s="26"/>
      <c r="C697" s="26"/>
      <c r="D697" s="26"/>
      <c r="E697" s="26"/>
      <c r="F697" s="26"/>
      <c r="G697" s="26"/>
      <c r="H697" s="26"/>
      <c r="I697" s="26"/>
      <c r="J697" s="26"/>
      <c r="K697" s="26"/>
      <c r="L697" s="26"/>
      <c r="M697" s="27"/>
      <c r="N697" s="26"/>
      <c r="O697" s="26"/>
      <c r="P697" s="26"/>
      <c r="Q697" s="26"/>
      <c r="R697" s="26"/>
      <c r="S697" s="26"/>
      <c r="T697" s="26"/>
      <c r="U697" s="26"/>
      <c r="V697" s="26"/>
      <c r="W697" s="26"/>
      <c r="X697" s="26"/>
      <c r="Y697" s="26"/>
    </row>
    <row r="698" spans="1:25" ht="15.75" customHeight="1">
      <c r="A698" s="26"/>
      <c r="B698" s="26"/>
      <c r="C698" s="26"/>
      <c r="D698" s="26"/>
      <c r="E698" s="26"/>
      <c r="F698" s="26"/>
      <c r="G698" s="26"/>
      <c r="H698" s="26"/>
      <c r="I698" s="26"/>
      <c r="J698" s="26"/>
      <c r="K698" s="26"/>
      <c r="L698" s="26"/>
      <c r="M698" s="27"/>
      <c r="N698" s="26"/>
      <c r="O698" s="26"/>
      <c r="P698" s="26"/>
      <c r="Q698" s="26"/>
      <c r="R698" s="26"/>
      <c r="S698" s="26"/>
      <c r="T698" s="26"/>
      <c r="U698" s="26"/>
      <c r="V698" s="26"/>
      <c r="W698" s="26"/>
      <c r="X698" s="26"/>
      <c r="Y698" s="26"/>
    </row>
    <row r="699" spans="1:25" ht="15.75" customHeight="1">
      <c r="A699" s="26"/>
      <c r="B699" s="26"/>
      <c r="C699" s="26"/>
      <c r="D699" s="26"/>
      <c r="E699" s="26"/>
      <c r="F699" s="26"/>
      <c r="G699" s="26"/>
      <c r="H699" s="26"/>
      <c r="I699" s="26"/>
      <c r="J699" s="26"/>
      <c r="K699" s="26"/>
      <c r="L699" s="26"/>
      <c r="M699" s="27"/>
      <c r="N699" s="26"/>
      <c r="O699" s="26"/>
      <c r="P699" s="26"/>
      <c r="Q699" s="26"/>
      <c r="R699" s="26"/>
      <c r="S699" s="26"/>
      <c r="T699" s="26"/>
      <c r="U699" s="26"/>
      <c r="V699" s="26"/>
      <c r="W699" s="26"/>
      <c r="X699" s="26"/>
      <c r="Y699" s="26"/>
    </row>
    <row r="700" spans="1:25" ht="15.75" customHeight="1">
      <c r="A700" s="26"/>
      <c r="B700" s="26"/>
      <c r="C700" s="26"/>
      <c r="D700" s="26"/>
      <c r="E700" s="26"/>
      <c r="F700" s="26"/>
      <c r="G700" s="26"/>
      <c r="H700" s="26"/>
      <c r="I700" s="26"/>
      <c r="J700" s="26"/>
      <c r="K700" s="26"/>
      <c r="L700" s="26"/>
      <c r="M700" s="27"/>
      <c r="N700" s="26"/>
      <c r="O700" s="26"/>
      <c r="P700" s="26"/>
      <c r="Q700" s="26"/>
      <c r="R700" s="26"/>
      <c r="S700" s="26"/>
      <c r="T700" s="26"/>
      <c r="U700" s="26"/>
      <c r="V700" s="26"/>
      <c r="W700" s="26"/>
      <c r="X700" s="26"/>
      <c r="Y700" s="26"/>
    </row>
    <row r="701" spans="1:25" ht="15.75" customHeight="1">
      <c r="A701" s="26"/>
      <c r="B701" s="26"/>
      <c r="C701" s="26"/>
      <c r="D701" s="26"/>
      <c r="E701" s="26"/>
      <c r="F701" s="26"/>
      <c r="G701" s="26"/>
      <c r="H701" s="26"/>
      <c r="I701" s="26"/>
      <c r="J701" s="26"/>
      <c r="K701" s="26"/>
      <c r="L701" s="26"/>
      <c r="M701" s="27"/>
      <c r="N701" s="26"/>
      <c r="O701" s="26"/>
      <c r="P701" s="26"/>
      <c r="Q701" s="26"/>
      <c r="R701" s="26"/>
      <c r="S701" s="26"/>
      <c r="T701" s="26"/>
      <c r="U701" s="26"/>
      <c r="V701" s="26"/>
      <c r="W701" s="26"/>
      <c r="X701" s="26"/>
      <c r="Y701" s="26"/>
    </row>
    <row r="702" spans="1:25" ht="15.75" customHeight="1">
      <c r="A702" s="26"/>
      <c r="B702" s="26"/>
      <c r="C702" s="26"/>
      <c r="D702" s="26"/>
      <c r="E702" s="26"/>
      <c r="F702" s="26"/>
      <c r="G702" s="26"/>
      <c r="H702" s="26"/>
      <c r="I702" s="26"/>
      <c r="J702" s="26"/>
      <c r="K702" s="26"/>
      <c r="L702" s="26"/>
      <c r="M702" s="27"/>
      <c r="N702" s="26"/>
      <c r="O702" s="26"/>
      <c r="P702" s="26"/>
      <c r="Q702" s="26"/>
      <c r="R702" s="26"/>
      <c r="S702" s="26"/>
      <c r="T702" s="26"/>
      <c r="U702" s="26"/>
      <c r="V702" s="26"/>
      <c r="W702" s="26"/>
      <c r="X702" s="26"/>
      <c r="Y702" s="26"/>
    </row>
    <row r="703" spans="1:25" ht="15.75" customHeight="1">
      <c r="A703" s="26"/>
      <c r="B703" s="26"/>
      <c r="C703" s="26"/>
      <c r="D703" s="26"/>
      <c r="E703" s="26"/>
      <c r="F703" s="26"/>
      <c r="G703" s="26"/>
      <c r="H703" s="26"/>
      <c r="I703" s="26"/>
      <c r="J703" s="26"/>
      <c r="K703" s="26"/>
      <c r="L703" s="26"/>
      <c r="M703" s="27"/>
      <c r="N703" s="26"/>
      <c r="O703" s="26"/>
      <c r="P703" s="26"/>
      <c r="Q703" s="26"/>
      <c r="R703" s="26"/>
      <c r="S703" s="26"/>
      <c r="T703" s="26"/>
      <c r="U703" s="26"/>
      <c r="V703" s="26"/>
      <c r="W703" s="26"/>
      <c r="X703" s="26"/>
      <c r="Y703" s="26"/>
    </row>
    <row r="704" spans="1:25" ht="15.75" customHeight="1">
      <c r="A704" s="26"/>
      <c r="B704" s="26"/>
      <c r="C704" s="26"/>
      <c r="D704" s="26"/>
      <c r="E704" s="26"/>
      <c r="F704" s="26"/>
      <c r="G704" s="26"/>
      <c r="H704" s="26"/>
      <c r="I704" s="26"/>
      <c r="J704" s="26"/>
      <c r="K704" s="26"/>
      <c r="L704" s="26"/>
      <c r="M704" s="27"/>
      <c r="N704" s="26"/>
      <c r="O704" s="26"/>
      <c r="P704" s="26"/>
      <c r="Q704" s="26"/>
      <c r="R704" s="26"/>
      <c r="S704" s="26"/>
      <c r="T704" s="26"/>
      <c r="U704" s="26"/>
      <c r="V704" s="26"/>
      <c r="W704" s="26"/>
      <c r="X704" s="26"/>
      <c r="Y704" s="26"/>
    </row>
    <row r="705" spans="1:25" ht="15.75" customHeight="1">
      <c r="A705" s="26"/>
      <c r="B705" s="26"/>
      <c r="C705" s="26"/>
      <c r="D705" s="26"/>
      <c r="E705" s="26"/>
      <c r="F705" s="26"/>
      <c r="G705" s="26"/>
      <c r="H705" s="26"/>
      <c r="I705" s="26"/>
      <c r="J705" s="26"/>
      <c r="K705" s="26"/>
      <c r="L705" s="26"/>
      <c r="M705" s="27"/>
      <c r="N705" s="26"/>
      <c r="O705" s="26"/>
      <c r="P705" s="26"/>
      <c r="Q705" s="26"/>
      <c r="R705" s="26"/>
      <c r="S705" s="26"/>
      <c r="T705" s="26"/>
      <c r="U705" s="26"/>
      <c r="V705" s="26"/>
      <c r="W705" s="26"/>
      <c r="X705" s="26"/>
      <c r="Y705" s="26"/>
    </row>
    <row r="706" spans="1:25" ht="15.75" customHeight="1">
      <c r="A706" s="26"/>
      <c r="B706" s="26"/>
      <c r="C706" s="26"/>
      <c r="D706" s="26"/>
      <c r="E706" s="26"/>
      <c r="F706" s="26"/>
      <c r="G706" s="26"/>
      <c r="H706" s="26"/>
      <c r="I706" s="26"/>
      <c r="J706" s="26"/>
      <c r="K706" s="26"/>
      <c r="L706" s="26"/>
      <c r="M706" s="27"/>
      <c r="N706" s="26"/>
      <c r="O706" s="26"/>
      <c r="P706" s="26"/>
      <c r="Q706" s="26"/>
      <c r="R706" s="26"/>
      <c r="S706" s="26"/>
      <c r="T706" s="26"/>
      <c r="U706" s="26"/>
      <c r="V706" s="26"/>
      <c r="W706" s="26"/>
      <c r="X706" s="26"/>
      <c r="Y706" s="26"/>
    </row>
    <row r="707" spans="1:25" ht="15.75" customHeight="1">
      <c r="A707" s="26"/>
      <c r="B707" s="26"/>
      <c r="C707" s="26"/>
      <c r="D707" s="26"/>
      <c r="E707" s="26"/>
      <c r="F707" s="26"/>
      <c r="G707" s="26"/>
      <c r="H707" s="26"/>
      <c r="I707" s="26"/>
      <c r="J707" s="26"/>
      <c r="K707" s="26"/>
      <c r="L707" s="26"/>
      <c r="M707" s="27"/>
      <c r="N707" s="26"/>
      <c r="O707" s="26"/>
      <c r="P707" s="26"/>
      <c r="Q707" s="26"/>
      <c r="R707" s="26"/>
      <c r="S707" s="26"/>
      <c r="T707" s="26"/>
      <c r="U707" s="26"/>
      <c r="V707" s="26"/>
      <c r="W707" s="26"/>
      <c r="X707" s="26"/>
      <c r="Y707" s="26"/>
    </row>
    <row r="708" spans="1:25" ht="15.75" customHeight="1">
      <c r="A708" s="26"/>
      <c r="B708" s="26"/>
      <c r="C708" s="26"/>
      <c r="D708" s="26"/>
      <c r="E708" s="26"/>
      <c r="F708" s="26"/>
      <c r="G708" s="26"/>
      <c r="H708" s="26"/>
      <c r="I708" s="26"/>
      <c r="J708" s="26"/>
      <c r="K708" s="26"/>
      <c r="L708" s="26"/>
      <c r="M708" s="27"/>
      <c r="N708" s="26"/>
      <c r="O708" s="26"/>
      <c r="P708" s="26"/>
      <c r="Q708" s="26"/>
      <c r="R708" s="26"/>
      <c r="S708" s="26"/>
      <c r="T708" s="26"/>
      <c r="U708" s="26"/>
      <c r="V708" s="26"/>
      <c r="W708" s="26"/>
      <c r="X708" s="26"/>
      <c r="Y708" s="26"/>
    </row>
    <row r="709" spans="1:25" ht="15.75" customHeight="1">
      <c r="A709" s="26"/>
      <c r="B709" s="26"/>
      <c r="C709" s="26"/>
      <c r="D709" s="26"/>
      <c r="E709" s="26"/>
      <c r="F709" s="26"/>
      <c r="G709" s="26"/>
      <c r="H709" s="26"/>
      <c r="I709" s="26"/>
      <c r="J709" s="26"/>
      <c r="K709" s="26"/>
      <c r="L709" s="26"/>
      <c r="M709" s="27"/>
      <c r="N709" s="26"/>
      <c r="O709" s="26"/>
      <c r="P709" s="26"/>
      <c r="Q709" s="26"/>
      <c r="R709" s="26"/>
      <c r="S709" s="26"/>
      <c r="T709" s="26"/>
      <c r="U709" s="26"/>
      <c r="V709" s="26"/>
      <c r="W709" s="26"/>
      <c r="X709" s="26"/>
      <c r="Y709" s="26"/>
    </row>
    <row r="710" spans="1:25" ht="15.75" customHeight="1">
      <c r="A710" s="26"/>
      <c r="B710" s="26"/>
      <c r="C710" s="26"/>
      <c r="D710" s="26"/>
      <c r="E710" s="26"/>
      <c r="F710" s="26"/>
      <c r="G710" s="26"/>
      <c r="H710" s="26"/>
      <c r="I710" s="26"/>
      <c r="J710" s="26"/>
      <c r="K710" s="26"/>
      <c r="L710" s="26"/>
      <c r="M710" s="27"/>
      <c r="N710" s="26"/>
      <c r="O710" s="26"/>
      <c r="P710" s="26"/>
      <c r="Q710" s="26"/>
      <c r="R710" s="26"/>
      <c r="S710" s="26"/>
      <c r="T710" s="26"/>
      <c r="U710" s="26"/>
      <c r="V710" s="26"/>
      <c r="W710" s="26"/>
      <c r="X710" s="26"/>
      <c r="Y710" s="26"/>
    </row>
    <row r="711" spans="1:25" ht="15.75" customHeight="1">
      <c r="A711" s="26"/>
      <c r="B711" s="26"/>
      <c r="C711" s="26"/>
      <c r="D711" s="26"/>
      <c r="E711" s="26"/>
      <c r="F711" s="26"/>
      <c r="G711" s="26"/>
      <c r="H711" s="26"/>
      <c r="I711" s="26"/>
      <c r="J711" s="26"/>
      <c r="K711" s="26"/>
      <c r="L711" s="26"/>
      <c r="M711" s="27"/>
      <c r="N711" s="26"/>
      <c r="O711" s="26"/>
      <c r="P711" s="26"/>
      <c r="Q711" s="26"/>
      <c r="R711" s="26"/>
      <c r="S711" s="26"/>
      <c r="T711" s="26"/>
      <c r="U711" s="26"/>
      <c r="V711" s="26"/>
      <c r="W711" s="26"/>
      <c r="X711" s="26"/>
      <c r="Y711" s="26"/>
    </row>
    <row r="712" spans="1:25" ht="15.75" customHeight="1">
      <c r="A712" s="26"/>
      <c r="B712" s="26"/>
      <c r="C712" s="26"/>
      <c r="D712" s="26"/>
      <c r="E712" s="26"/>
      <c r="F712" s="26"/>
      <c r="G712" s="26"/>
      <c r="H712" s="26"/>
      <c r="I712" s="26"/>
      <c r="J712" s="26"/>
      <c r="K712" s="26"/>
      <c r="L712" s="26"/>
      <c r="M712" s="27"/>
      <c r="N712" s="26"/>
      <c r="O712" s="26"/>
      <c r="P712" s="26"/>
      <c r="Q712" s="26"/>
      <c r="R712" s="26"/>
      <c r="S712" s="26"/>
      <c r="T712" s="26"/>
      <c r="U712" s="26"/>
      <c r="V712" s="26"/>
      <c r="W712" s="26"/>
      <c r="X712" s="26"/>
      <c r="Y712" s="26"/>
    </row>
    <row r="713" spans="1:25" ht="15.75" customHeight="1">
      <c r="A713" s="26"/>
      <c r="B713" s="26"/>
      <c r="C713" s="26"/>
      <c r="D713" s="26"/>
      <c r="E713" s="26"/>
      <c r="F713" s="26"/>
      <c r="G713" s="26"/>
      <c r="H713" s="26"/>
      <c r="I713" s="26"/>
      <c r="J713" s="26"/>
      <c r="K713" s="26"/>
      <c r="L713" s="26"/>
      <c r="M713" s="27"/>
      <c r="N713" s="26"/>
      <c r="O713" s="26"/>
      <c r="P713" s="26"/>
      <c r="Q713" s="26"/>
      <c r="R713" s="26"/>
      <c r="S713" s="26"/>
      <c r="T713" s="26"/>
      <c r="U713" s="26"/>
      <c r="V713" s="26"/>
      <c r="W713" s="26"/>
      <c r="X713" s="26"/>
      <c r="Y713" s="26"/>
    </row>
    <row r="714" spans="1:25" ht="15.75" customHeight="1">
      <c r="A714" s="26"/>
      <c r="B714" s="26"/>
      <c r="C714" s="26"/>
      <c r="D714" s="26"/>
      <c r="E714" s="26"/>
      <c r="F714" s="26"/>
      <c r="G714" s="26"/>
      <c r="H714" s="26"/>
      <c r="I714" s="26"/>
      <c r="J714" s="26"/>
      <c r="K714" s="26"/>
      <c r="L714" s="26"/>
      <c r="M714" s="27"/>
      <c r="N714" s="26"/>
      <c r="O714" s="26"/>
      <c r="P714" s="26"/>
      <c r="Q714" s="26"/>
      <c r="R714" s="26"/>
      <c r="S714" s="26"/>
      <c r="T714" s="26"/>
      <c r="U714" s="26"/>
      <c r="V714" s="26"/>
      <c r="W714" s="26"/>
      <c r="X714" s="26"/>
      <c r="Y714" s="26"/>
    </row>
    <row r="715" spans="1:25" ht="15.75" customHeight="1">
      <c r="A715" s="26"/>
      <c r="B715" s="26"/>
      <c r="C715" s="26"/>
      <c r="D715" s="26"/>
      <c r="E715" s="26"/>
      <c r="F715" s="26"/>
      <c r="G715" s="26"/>
      <c r="H715" s="26"/>
      <c r="I715" s="26"/>
      <c r="J715" s="26"/>
      <c r="K715" s="26"/>
      <c r="L715" s="26"/>
      <c r="M715" s="27"/>
      <c r="N715" s="26"/>
      <c r="O715" s="26"/>
      <c r="P715" s="26"/>
      <c r="Q715" s="26"/>
      <c r="R715" s="26"/>
      <c r="S715" s="26"/>
      <c r="T715" s="26"/>
      <c r="U715" s="26"/>
      <c r="V715" s="26"/>
      <c r="W715" s="26"/>
      <c r="X715" s="26"/>
      <c r="Y715" s="26"/>
    </row>
    <row r="716" spans="1:25" ht="15.75" customHeight="1">
      <c r="A716" s="26"/>
      <c r="B716" s="26"/>
      <c r="C716" s="26"/>
      <c r="D716" s="26"/>
      <c r="E716" s="26"/>
      <c r="F716" s="26"/>
      <c r="G716" s="26"/>
      <c r="H716" s="26"/>
      <c r="I716" s="26"/>
      <c r="J716" s="26"/>
      <c r="K716" s="26"/>
      <c r="L716" s="26"/>
      <c r="M716" s="27"/>
      <c r="N716" s="26"/>
      <c r="O716" s="26"/>
      <c r="P716" s="26"/>
      <c r="Q716" s="26"/>
      <c r="R716" s="26"/>
      <c r="S716" s="26"/>
      <c r="T716" s="26"/>
      <c r="U716" s="26"/>
      <c r="V716" s="26"/>
      <c r="W716" s="26"/>
      <c r="X716" s="26"/>
      <c r="Y716" s="26"/>
    </row>
    <row r="717" spans="1:25" ht="15.75" customHeight="1">
      <c r="A717" s="26"/>
      <c r="B717" s="26"/>
      <c r="C717" s="26"/>
      <c r="D717" s="26"/>
      <c r="E717" s="26"/>
      <c r="F717" s="26"/>
      <c r="G717" s="26"/>
      <c r="H717" s="26"/>
      <c r="I717" s="26"/>
      <c r="J717" s="26"/>
      <c r="K717" s="26"/>
      <c r="L717" s="26"/>
      <c r="M717" s="27"/>
      <c r="N717" s="26"/>
      <c r="O717" s="26"/>
      <c r="P717" s="26"/>
      <c r="Q717" s="26"/>
      <c r="R717" s="26"/>
      <c r="S717" s="26"/>
      <c r="T717" s="26"/>
      <c r="U717" s="26"/>
      <c r="V717" s="26"/>
      <c r="W717" s="26"/>
      <c r="X717" s="26"/>
      <c r="Y717" s="26"/>
    </row>
    <row r="718" spans="1:25" ht="15.75" customHeight="1">
      <c r="A718" s="26"/>
      <c r="B718" s="26"/>
      <c r="C718" s="26"/>
      <c r="D718" s="26"/>
      <c r="E718" s="26"/>
      <c r="F718" s="26"/>
      <c r="G718" s="26"/>
      <c r="H718" s="26"/>
      <c r="I718" s="26"/>
      <c r="J718" s="26"/>
      <c r="K718" s="26"/>
      <c r="L718" s="26"/>
      <c r="M718" s="27"/>
      <c r="N718" s="26"/>
      <c r="O718" s="26"/>
      <c r="P718" s="26"/>
      <c r="Q718" s="26"/>
      <c r="R718" s="26"/>
      <c r="S718" s="26"/>
      <c r="T718" s="26"/>
      <c r="U718" s="26"/>
      <c r="V718" s="26"/>
      <c r="W718" s="26"/>
      <c r="X718" s="26"/>
      <c r="Y718" s="26"/>
    </row>
    <row r="719" spans="1:25" ht="15.75" customHeight="1">
      <c r="A719" s="26"/>
      <c r="B719" s="26"/>
      <c r="C719" s="26"/>
      <c r="D719" s="26"/>
      <c r="E719" s="26"/>
      <c r="F719" s="26"/>
      <c r="G719" s="26"/>
      <c r="H719" s="26"/>
      <c r="I719" s="26"/>
      <c r="J719" s="26"/>
      <c r="K719" s="26"/>
      <c r="L719" s="26"/>
      <c r="M719" s="27"/>
      <c r="N719" s="26"/>
      <c r="O719" s="26"/>
      <c r="P719" s="26"/>
      <c r="Q719" s="26"/>
      <c r="R719" s="26"/>
      <c r="S719" s="26"/>
      <c r="T719" s="26"/>
      <c r="U719" s="26"/>
      <c r="V719" s="26"/>
      <c r="W719" s="26"/>
      <c r="X719" s="26"/>
      <c r="Y719" s="26"/>
    </row>
    <row r="720" spans="1:25" ht="15.75" customHeight="1">
      <c r="A720" s="26"/>
      <c r="B720" s="26"/>
      <c r="C720" s="26"/>
      <c r="D720" s="26"/>
      <c r="E720" s="26"/>
      <c r="F720" s="26"/>
      <c r="G720" s="26"/>
      <c r="H720" s="26"/>
      <c r="I720" s="26"/>
      <c r="J720" s="26"/>
      <c r="K720" s="26"/>
      <c r="L720" s="26"/>
      <c r="M720" s="27"/>
      <c r="N720" s="26"/>
      <c r="O720" s="26"/>
      <c r="P720" s="26"/>
      <c r="Q720" s="26"/>
      <c r="R720" s="26"/>
      <c r="S720" s="26"/>
      <c r="T720" s="26"/>
      <c r="U720" s="26"/>
      <c r="V720" s="26"/>
      <c r="W720" s="26"/>
      <c r="X720" s="26"/>
      <c r="Y720" s="26"/>
    </row>
    <row r="721" spans="1:25" ht="15.75" customHeight="1">
      <c r="A721" s="26"/>
      <c r="B721" s="26"/>
      <c r="C721" s="26"/>
      <c r="D721" s="26"/>
      <c r="E721" s="26"/>
      <c r="F721" s="26"/>
      <c r="G721" s="26"/>
      <c r="H721" s="26"/>
      <c r="I721" s="26"/>
      <c r="J721" s="26"/>
      <c r="K721" s="26"/>
      <c r="L721" s="26"/>
      <c r="M721" s="27"/>
      <c r="N721" s="26"/>
      <c r="O721" s="26"/>
      <c r="P721" s="26"/>
      <c r="Q721" s="26"/>
      <c r="R721" s="26"/>
      <c r="S721" s="26"/>
      <c r="T721" s="26"/>
      <c r="U721" s="26"/>
      <c r="V721" s="26"/>
      <c r="W721" s="26"/>
      <c r="X721" s="26"/>
      <c r="Y721" s="26"/>
    </row>
    <row r="722" spans="1:25" ht="15.75" customHeight="1">
      <c r="A722" s="26"/>
      <c r="B722" s="26"/>
      <c r="C722" s="26"/>
      <c r="D722" s="26"/>
      <c r="E722" s="26"/>
      <c r="F722" s="26"/>
      <c r="G722" s="26"/>
      <c r="H722" s="26"/>
      <c r="I722" s="26"/>
      <c r="J722" s="26"/>
      <c r="K722" s="26"/>
      <c r="L722" s="26"/>
      <c r="M722" s="27"/>
      <c r="N722" s="26"/>
      <c r="O722" s="26"/>
      <c r="P722" s="26"/>
      <c r="Q722" s="26"/>
      <c r="R722" s="26"/>
      <c r="S722" s="26"/>
      <c r="T722" s="26"/>
      <c r="U722" s="26"/>
      <c r="V722" s="26"/>
      <c r="W722" s="26"/>
      <c r="X722" s="26"/>
      <c r="Y722" s="26"/>
    </row>
    <row r="723" spans="1:25" ht="15.75" customHeight="1">
      <c r="A723" s="26"/>
      <c r="B723" s="26"/>
      <c r="C723" s="26"/>
      <c r="D723" s="26"/>
      <c r="E723" s="26"/>
      <c r="F723" s="26"/>
      <c r="G723" s="26"/>
      <c r="H723" s="26"/>
      <c r="I723" s="26"/>
      <c r="J723" s="26"/>
      <c r="K723" s="26"/>
      <c r="L723" s="26"/>
      <c r="M723" s="27"/>
      <c r="N723" s="26"/>
      <c r="O723" s="26"/>
      <c r="P723" s="26"/>
      <c r="Q723" s="26"/>
      <c r="R723" s="26"/>
      <c r="S723" s="26"/>
      <c r="T723" s="26"/>
      <c r="U723" s="26"/>
      <c r="V723" s="26"/>
      <c r="W723" s="26"/>
      <c r="X723" s="26"/>
      <c r="Y723" s="26"/>
    </row>
    <row r="724" spans="1:25" ht="15.75" customHeight="1">
      <c r="A724" s="26"/>
      <c r="B724" s="26"/>
      <c r="C724" s="26"/>
      <c r="D724" s="26"/>
      <c r="E724" s="26"/>
      <c r="F724" s="26"/>
      <c r="G724" s="26"/>
      <c r="H724" s="26"/>
      <c r="I724" s="26"/>
      <c r="J724" s="26"/>
      <c r="K724" s="26"/>
      <c r="L724" s="26"/>
      <c r="M724" s="27"/>
      <c r="N724" s="26"/>
      <c r="O724" s="26"/>
      <c r="P724" s="26"/>
      <c r="Q724" s="26"/>
      <c r="R724" s="26"/>
      <c r="S724" s="26"/>
      <c r="T724" s="26"/>
      <c r="U724" s="26"/>
      <c r="V724" s="26"/>
      <c r="W724" s="26"/>
      <c r="X724" s="26"/>
      <c r="Y724" s="26"/>
    </row>
    <row r="725" spans="1:25" ht="15.75" customHeight="1">
      <c r="A725" s="26"/>
      <c r="B725" s="26"/>
      <c r="C725" s="26"/>
      <c r="D725" s="26"/>
      <c r="E725" s="26"/>
      <c r="F725" s="26"/>
      <c r="G725" s="26"/>
      <c r="H725" s="26"/>
      <c r="I725" s="26"/>
      <c r="J725" s="26"/>
      <c r="K725" s="26"/>
      <c r="L725" s="26"/>
      <c r="M725" s="27"/>
      <c r="N725" s="26"/>
      <c r="O725" s="26"/>
      <c r="P725" s="26"/>
      <c r="Q725" s="26"/>
      <c r="R725" s="26"/>
      <c r="S725" s="26"/>
      <c r="T725" s="26"/>
      <c r="U725" s="26"/>
      <c r="V725" s="26"/>
      <c r="W725" s="26"/>
      <c r="X725" s="26"/>
      <c r="Y725" s="26"/>
    </row>
    <row r="726" spans="1:25" ht="15.75" customHeight="1">
      <c r="A726" s="26"/>
      <c r="B726" s="26"/>
      <c r="C726" s="26"/>
      <c r="D726" s="26"/>
      <c r="E726" s="26"/>
      <c r="F726" s="26"/>
      <c r="G726" s="26"/>
      <c r="H726" s="26"/>
      <c r="I726" s="26"/>
      <c r="J726" s="26"/>
      <c r="K726" s="26"/>
      <c r="L726" s="26"/>
      <c r="M726" s="27"/>
      <c r="N726" s="26"/>
      <c r="O726" s="26"/>
      <c r="P726" s="26"/>
      <c r="Q726" s="26"/>
      <c r="R726" s="26"/>
      <c r="S726" s="26"/>
      <c r="T726" s="26"/>
      <c r="U726" s="26"/>
      <c r="V726" s="26"/>
      <c r="W726" s="26"/>
      <c r="X726" s="26"/>
      <c r="Y726" s="26"/>
    </row>
    <row r="727" spans="1:25" ht="15.75" customHeight="1">
      <c r="A727" s="26"/>
      <c r="B727" s="26"/>
      <c r="C727" s="26"/>
      <c r="D727" s="26"/>
      <c r="E727" s="26"/>
      <c r="F727" s="26"/>
      <c r="G727" s="26"/>
      <c r="H727" s="26"/>
      <c r="I727" s="26"/>
      <c r="J727" s="26"/>
      <c r="K727" s="26"/>
      <c r="L727" s="26"/>
      <c r="M727" s="27"/>
      <c r="N727" s="26"/>
      <c r="O727" s="26"/>
      <c r="P727" s="26"/>
      <c r="Q727" s="26"/>
      <c r="R727" s="26"/>
      <c r="S727" s="26"/>
      <c r="T727" s="26"/>
      <c r="U727" s="26"/>
      <c r="V727" s="26"/>
      <c r="W727" s="26"/>
      <c r="X727" s="26"/>
      <c r="Y727" s="26"/>
    </row>
    <row r="728" spans="1:25" ht="15.75" customHeight="1">
      <c r="A728" s="26"/>
      <c r="B728" s="26"/>
      <c r="C728" s="26"/>
      <c r="D728" s="26"/>
      <c r="E728" s="26"/>
      <c r="F728" s="26"/>
      <c r="G728" s="26"/>
      <c r="H728" s="26"/>
      <c r="I728" s="26"/>
      <c r="J728" s="26"/>
      <c r="K728" s="26"/>
      <c r="L728" s="26"/>
      <c r="M728" s="27"/>
      <c r="N728" s="26"/>
      <c r="O728" s="26"/>
      <c r="P728" s="26"/>
      <c r="Q728" s="26"/>
      <c r="R728" s="26"/>
      <c r="S728" s="26"/>
      <c r="T728" s="26"/>
      <c r="U728" s="26"/>
      <c r="V728" s="26"/>
      <c r="W728" s="26"/>
      <c r="X728" s="26"/>
      <c r="Y728" s="26"/>
    </row>
    <row r="729" spans="1:25" ht="15.75" customHeight="1">
      <c r="A729" s="26"/>
      <c r="B729" s="26"/>
      <c r="C729" s="26"/>
      <c r="D729" s="26"/>
      <c r="E729" s="26"/>
      <c r="F729" s="26"/>
      <c r="G729" s="26"/>
      <c r="H729" s="26"/>
      <c r="I729" s="26"/>
      <c r="J729" s="26"/>
      <c r="K729" s="26"/>
      <c r="L729" s="26"/>
      <c r="M729" s="27"/>
      <c r="N729" s="26"/>
      <c r="O729" s="26"/>
      <c r="P729" s="26"/>
      <c r="Q729" s="26"/>
      <c r="R729" s="26"/>
      <c r="S729" s="26"/>
      <c r="T729" s="26"/>
      <c r="U729" s="26"/>
      <c r="V729" s="26"/>
      <c r="W729" s="26"/>
      <c r="X729" s="26"/>
      <c r="Y729" s="26"/>
    </row>
    <row r="730" spans="1:25" ht="15.75" customHeight="1">
      <c r="A730" s="26"/>
      <c r="B730" s="26"/>
      <c r="C730" s="26"/>
      <c r="D730" s="26"/>
      <c r="E730" s="26"/>
      <c r="F730" s="26"/>
      <c r="G730" s="26"/>
      <c r="H730" s="26"/>
      <c r="I730" s="26"/>
      <c r="J730" s="26"/>
      <c r="K730" s="26"/>
      <c r="L730" s="26"/>
      <c r="M730" s="27"/>
      <c r="N730" s="26"/>
      <c r="O730" s="26"/>
      <c r="P730" s="26"/>
      <c r="Q730" s="26"/>
      <c r="R730" s="26"/>
      <c r="S730" s="26"/>
      <c r="T730" s="26"/>
      <c r="U730" s="26"/>
      <c r="V730" s="26"/>
      <c r="W730" s="26"/>
      <c r="X730" s="26"/>
      <c r="Y730" s="26"/>
    </row>
    <row r="731" spans="1:25" ht="15.75" customHeight="1">
      <c r="A731" s="26"/>
      <c r="B731" s="26"/>
      <c r="C731" s="26"/>
      <c r="D731" s="26"/>
      <c r="E731" s="26"/>
      <c r="F731" s="26"/>
      <c r="G731" s="26"/>
      <c r="H731" s="26"/>
      <c r="I731" s="26"/>
      <c r="J731" s="26"/>
      <c r="K731" s="26"/>
      <c r="L731" s="26"/>
      <c r="M731" s="27"/>
      <c r="N731" s="26"/>
      <c r="O731" s="26"/>
      <c r="P731" s="26"/>
      <c r="Q731" s="26"/>
      <c r="R731" s="26"/>
      <c r="S731" s="26"/>
      <c r="T731" s="26"/>
      <c r="U731" s="26"/>
      <c r="V731" s="26"/>
      <c r="W731" s="26"/>
      <c r="X731" s="26"/>
      <c r="Y731" s="26"/>
    </row>
    <row r="732" spans="1:25" ht="15.75" customHeight="1">
      <c r="A732" s="26"/>
      <c r="B732" s="26"/>
      <c r="C732" s="26"/>
      <c r="D732" s="26"/>
      <c r="E732" s="26"/>
      <c r="F732" s="26"/>
      <c r="G732" s="26"/>
      <c r="H732" s="26"/>
      <c r="I732" s="26"/>
      <c r="J732" s="26"/>
      <c r="K732" s="26"/>
      <c r="L732" s="26"/>
      <c r="M732" s="27"/>
      <c r="N732" s="26"/>
      <c r="O732" s="26"/>
      <c r="P732" s="26"/>
      <c r="Q732" s="26"/>
      <c r="R732" s="26"/>
      <c r="S732" s="26"/>
      <c r="T732" s="26"/>
      <c r="U732" s="26"/>
      <c r="V732" s="26"/>
      <c r="W732" s="26"/>
      <c r="X732" s="26"/>
      <c r="Y732" s="26"/>
    </row>
    <row r="733" spans="1:25" ht="15.75" customHeight="1">
      <c r="A733" s="26"/>
      <c r="B733" s="26"/>
      <c r="C733" s="26"/>
      <c r="D733" s="26"/>
      <c r="E733" s="26"/>
      <c r="F733" s="26"/>
      <c r="G733" s="26"/>
      <c r="H733" s="26"/>
      <c r="I733" s="26"/>
      <c r="J733" s="26"/>
      <c r="K733" s="26"/>
      <c r="L733" s="26"/>
      <c r="M733" s="27"/>
      <c r="N733" s="26"/>
      <c r="O733" s="26"/>
      <c r="P733" s="26"/>
      <c r="Q733" s="26"/>
      <c r="R733" s="26"/>
      <c r="S733" s="26"/>
      <c r="T733" s="26"/>
      <c r="U733" s="26"/>
      <c r="V733" s="26"/>
      <c r="W733" s="26"/>
      <c r="X733" s="26"/>
      <c r="Y733" s="26"/>
    </row>
    <row r="734" spans="1:25" ht="15.75" customHeight="1">
      <c r="A734" s="26"/>
      <c r="B734" s="26"/>
      <c r="C734" s="26"/>
      <c r="D734" s="26"/>
      <c r="E734" s="26"/>
      <c r="F734" s="26"/>
      <c r="G734" s="26"/>
      <c r="H734" s="26"/>
      <c r="I734" s="26"/>
      <c r="J734" s="26"/>
      <c r="K734" s="26"/>
      <c r="L734" s="26"/>
      <c r="M734" s="27"/>
      <c r="N734" s="26"/>
      <c r="O734" s="26"/>
      <c r="P734" s="26"/>
      <c r="Q734" s="26"/>
      <c r="R734" s="26"/>
      <c r="S734" s="26"/>
      <c r="T734" s="26"/>
      <c r="U734" s="26"/>
      <c r="V734" s="26"/>
      <c r="W734" s="26"/>
      <c r="X734" s="26"/>
      <c r="Y734" s="26"/>
    </row>
    <row r="735" spans="1:25" ht="15.75" customHeight="1">
      <c r="A735" s="26"/>
      <c r="B735" s="26"/>
      <c r="C735" s="26"/>
      <c r="D735" s="26"/>
      <c r="E735" s="26"/>
      <c r="F735" s="26"/>
      <c r="G735" s="26"/>
      <c r="H735" s="26"/>
      <c r="I735" s="26"/>
      <c r="J735" s="26"/>
      <c r="K735" s="26"/>
      <c r="L735" s="26"/>
      <c r="M735" s="27"/>
      <c r="N735" s="26"/>
      <c r="O735" s="26"/>
      <c r="P735" s="26"/>
      <c r="Q735" s="26"/>
      <c r="R735" s="26"/>
      <c r="S735" s="26"/>
      <c r="T735" s="26"/>
      <c r="U735" s="26"/>
      <c r="V735" s="26"/>
      <c r="W735" s="26"/>
      <c r="X735" s="26"/>
      <c r="Y735" s="26"/>
    </row>
    <row r="736" spans="1:25" ht="15.75" customHeight="1">
      <c r="A736" s="26"/>
      <c r="B736" s="26"/>
      <c r="C736" s="26"/>
      <c r="D736" s="26"/>
      <c r="E736" s="26"/>
      <c r="F736" s="26"/>
      <c r="G736" s="26"/>
      <c r="H736" s="26"/>
      <c r="I736" s="26"/>
      <c r="J736" s="26"/>
      <c r="K736" s="26"/>
      <c r="L736" s="26"/>
      <c r="M736" s="27"/>
      <c r="N736" s="26"/>
      <c r="O736" s="26"/>
      <c r="P736" s="26"/>
      <c r="Q736" s="26"/>
      <c r="R736" s="26"/>
      <c r="S736" s="26"/>
      <c r="T736" s="26"/>
      <c r="U736" s="26"/>
      <c r="V736" s="26"/>
      <c r="W736" s="26"/>
      <c r="X736" s="26"/>
      <c r="Y736" s="26"/>
    </row>
    <row r="737" spans="1:25" ht="15.75" customHeight="1">
      <c r="A737" s="26"/>
      <c r="B737" s="26"/>
      <c r="C737" s="26"/>
      <c r="D737" s="26"/>
      <c r="E737" s="26"/>
      <c r="F737" s="26"/>
      <c r="G737" s="26"/>
      <c r="H737" s="26"/>
      <c r="I737" s="26"/>
      <c r="J737" s="26"/>
      <c r="K737" s="26"/>
      <c r="L737" s="26"/>
      <c r="M737" s="27"/>
      <c r="N737" s="26"/>
      <c r="O737" s="26"/>
      <c r="P737" s="26"/>
      <c r="Q737" s="26"/>
      <c r="R737" s="26"/>
      <c r="S737" s="26"/>
      <c r="T737" s="26"/>
      <c r="U737" s="26"/>
      <c r="V737" s="26"/>
      <c r="W737" s="26"/>
      <c r="X737" s="26"/>
      <c r="Y737" s="26"/>
    </row>
    <row r="738" spans="1:25" ht="15.75" customHeight="1">
      <c r="A738" s="26"/>
      <c r="B738" s="26"/>
      <c r="C738" s="26"/>
      <c r="D738" s="26"/>
      <c r="E738" s="26"/>
      <c r="F738" s="26"/>
      <c r="G738" s="26"/>
      <c r="H738" s="26"/>
      <c r="I738" s="26"/>
      <c r="J738" s="26"/>
      <c r="K738" s="26"/>
      <c r="L738" s="26"/>
      <c r="M738" s="27"/>
      <c r="N738" s="26"/>
      <c r="O738" s="26"/>
      <c r="P738" s="26"/>
      <c r="Q738" s="26"/>
      <c r="R738" s="26"/>
      <c r="S738" s="26"/>
      <c r="T738" s="26"/>
      <c r="U738" s="26"/>
      <c r="V738" s="26"/>
      <c r="W738" s="26"/>
      <c r="X738" s="26"/>
      <c r="Y738" s="26"/>
    </row>
    <row r="739" spans="1:25" ht="15.75" customHeight="1">
      <c r="A739" s="26"/>
      <c r="B739" s="26"/>
      <c r="C739" s="26"/>
      <c r="D739" s="26"/>
      <c r="E739" s="26"/>
      <c r="F739" s="26"/>
      <c r="G739" s="26"/>
      <c r="H739" s="26"/>
      <c r="I739" s="26"/>
      <c r="J739" s="26"/>
      <c r="K739" s="26"/>
      <c r="L739" s="26"/>
      <c r="M739" s="27"/>
      <c r="N739" s="26"/>
      <c r="O739" s="26"/>
      <c r="P739" s="26"/>
      <c r="Q739" s="26"/>
      <c r="R739" s="26"/>
      <c r="S739" s="26"/>
      <c r="T739" s="26"/>
      <c r="U739" s="26"/>
      <c r="V739" s="26"/>
      <c r="W739" s="26"/>
      <c r="X739" s="26"/>
      <c r="Y739" s="26"/>
    </row>
    <row r="740" spans="1:25" ht="15.75" customHeight="1">
      <c r="A740" s="26"/>
      <c r="B740" s="26"/>
      <c r="C740" s="26"/>
      <c r="D740" s="26"/>
      <c r="E740" s="26"/>
      <c r="F740" s="26"/>
      <c r="G740" s="26"/>
      <c r="H740" s="26"/>
      <c r="I740" s="26"/>
      <c r="J740" s="26"/>
      <c r="K740" s="26"/>
      <c r="L740" s="26"/>
      <c r="M740" s="27"/>
      <c r="N740" s="26"/>
      <c r="O740" s="26"/>
      <c r="P740" s="26"/>
      <c r="Q740" s="26"/>
      <c r="R740" s="26"/>
      <c r="S740" s="26"/>
      <c r="T740" s="26"/>
      <c r="U740" s="26"/>
      <c r="V740" s="26"/>
      <c r="W740" s="26"/>
      <c r="X740" s="26"/>
      <c r="Y740" s="26"/>
    </row>
    <row r="741" spans="1:25" ht="15.75" customHeight="1">
      <c r="A741" s="26"/>
      <c r="B741" s="26"/>
      <c r="C741" s="26"/>
      <c r="D741" s="26"/>
      <c r="E741" s="26"/>
      <c r="F741" s="26"/>
      <c r="G741" s="26"/>
      <c r="H741" s="26"/>
      <c r="I741" s="26"/>
      <c r="J741" s="26"/>
      <c r="K741" s="26"/>
      <c r="L741" s="26"/>
      <c r="M741" s="27"/>
      <c r="N741" s="26"/>
      <c r="O741" s="26"/>
      <c r="P741" s="26"/>
      <c r="Q741" s="26"/>
      <c r="R741" s="26"/>
      <c r="S741" s="26"/>
      <c r="T741" s="26"/>
      <c r="U741" s="26"/>
      <c r="V741" s="26"/>
      <c r="W741" s="26"/>
      <c r="X741" s="26"/>
      <c r="Y741" s="26"/>
    </row>
    <row r="742" spans="1:25" ht="15.75" customHeight="1">
      <c r="A742" s="26"/>
      <c r="B742" s="26"/>
      <c r="C742" s="26"/>
      <c r="D742" s="26"/>
      <c r="E742" s="26"/>
      <c r="F742" s="26"/>
      <c r="G742" s="26"/>
      <c r="H742" s="26"/>
      <c r="I742" s="26"/>
      <c r="J742" s="26"/>
      <c r="K742" s="26"/>
      <c r="L742" s="26"/>
      <c r="M742" s="27"/>
      <c r="N742" s="26"/>
      <c r="O742" s="26"/>
      <c r="P742" s="26"/>
      <c r="Q742" s="26"/>
      <c r="R742" s="26"/>
      <c r="S742" s="26"/>
      <c r="T742" s="26"/>
      <c r="U742" s="26"/>
      <c r="V742" s="26"/>
      <c r="W742" s="26"/>
      <c r="X742" s="26"/>
      <c r="Y742" s="26"/>
    </row>
    <row r="743" spans="1:25" ht="15.75" customHeight="1">
      <c r="A743" s="26"/>
      <c r="B743" s="26"/>
      <c r="C743" s="26"/>
      <c r="D743" s="26"/>
      <c r="E743" s="26"/>
      <c r="F743" s="26"/>
      <c r="G743" s="26"/>
      <c r="H743" s="26"/>
      <c r="I743" s="26"/>
      <c r="J743" s="26"/>
      <c r="K743" s="26"/>
      <c r="L743" s="26"/>
      <c r="M743" s="27"/>
      <c r="N743" s="26"/>
      <c r="O743" s="26"/>
      <c r="P743" s="26"/>
      <c r="Q743" s="26"/>
      <c r="R743" s="26"/>
      <c r="S743" s="26"/>
      <c r="T743" s="26"/>
      <c r="U743" s="26"/>
      <c r="V743" s="26"/>
      <c r="W743" s="26"/>
      <c r="X743" s="26"/>
      <c r="Y743" s="26"/>
    </row>
    <row r="744" spans="1:25" ht="15.75" customHeight="1">
      <c r="A744" s="26"/>
      <c r="B744" s="26"/>
      <c r="C744" s="26"/>
      <c r="D744" s="26"/>
      <c r="E744" s="26"/>
      <c r="F744" s="26"/>
      <c r="G744" s="26"/>
      <c r="H744" s="26"/>
      <c r="I744" s="26"/>
      <c r="J744" s="26"/>
      <c r="K744" s="26"/>
      <c r="L744" s="26"/>
      <c r="M744" s="27"/>
      <c r="N744" s="26"/>
      <c r="O744" s="26"/>
      <c r="P744" s="26"/>
      <c r="Q744" s="26"/>
      <c r="R744" s="26"/>
      <c r="S744" s="26"/>
      <c r="T744" s="26"/>
      <c r="U744" s="26"/>
      <c r="V744" s="26"/>
      <c r="W744" s="26"/>
      <c r="X744" s="26"/>
      <c r="Y744" s="26"/>
    </row>
    <row r="745" spans="1:25" ht="15.75" customHeight="1">
      <c r="A745" s="26"/>
      <c r="B745" s="26"/>
      <c r="C745" s="26"/>
      <c r="D745" s="26"/>
      <c r="E745" s="26"/>
      <c r="F745" s="26"/>
      <c r="G745" s="26"/>
      <c r="H745" s="26"/>
      <c r="I745" s="26"/>
      <c r="J745" s="26"/>
      <c r="K745" s="26"/>
      <c r="L745" s="26"/>
      <c r="M745" s="27"/>
      <c r="N745" s="26"/>
      <c r="O745" s="26"/>
      <c r="P745" s="26"/>
      <c r="Q745" s="26"/>
      <c r="R745" s="26"/>
      <c r="S745" s="26"/>
      <c r="T745" s="26"/>
      <c r="U745" s="26"/>
      <c r="V745" s="26"/>
      <c r="W745" s="26"/>
      <c r="X745" s="26"/>
      <c r="Y745" s="26"/>
    </row>
    <row r="746" spans="1:25" ht="15.75" customHeight="1">
      <c r="A746" s="26"/>
      <c r="B746" s="26"/>
      <c r="C746" s="26"/>
      <c r="D746" s="26"/>
      <c r="E746" s="26"/>
      <c r="F746" s="26"/>
      <c r="G746" s="26"/>
      <c r="H746" s="26"/>
      <c r="I746" s="26"/>
      <c r="J746" s="26"/>
      <c r="K746" s="26"/>
      <c r="L746" s="26"/>
      <c r="M746" s="27"/>
      <c r="N746" s="26"/>
      <c r="O746" s="26"/>
      <c r="P746" s="26"/>
      <c r="Q746" s="26"/>
      <c r="R746" s="26"/>
      <c r="S746" s="26"/>
      <c r="T746" s="26"/>
      <c r="U746" s="26"/>
      <c r="V746" s="26"/>
      <c r="W746" s="26"/>
      <c r="X746" s="26"/>
      <c r="Y746" s="26"/>
    </row>
    <row r="747" spans="1:25" ht="15.75" customHeight="1">
      <c r="A747" s="26"/>
      <c r="B747" s="26"/>
      <c r="C747" s="26"/>
      <c r="D747" s="26"/>
      <c r="E747" s="26"/>
      <c r="F747" s="26"/>
      <c r="G747" s="26"/>
      <c r="H747" s="26"/>
      <c r="I747" s="26"/>
      <c r="J747" s="26"/>
      <c r="K747" s="26"/>
      <c r="L747" s="26"/>
      <c r="M747" s="27"/>
      <c r="N747" s="26"/>
      <c r="O747" s="26"/>
      <c r="P747" s="26"/>
      <c r="Q747" s="26"/>
      <c r="R747" s="26"/>
      <c r="S747" s="26"/>
      <c r="T747" s="26"/>
      <c r="U747" s="26"/>
      <c r="V747" s="26"/>
      <c r="W747" s="26"/>
      <c r="X747" s="26"/>
      <c r="Y747" s="26"/>
    </row>
    <row r="748" spans="1:25" ht="15.75" customHeight="1">
      <c r="A748" s="26"/>
      <c r="B748" s="26"/>
      <c r="C748" s="26"/>
      <c r="D748" s="26"/>
      <c r="E748" s="26"/>
      <c r="F748" s="26"/>
      <c r="G748" s="26"/>
      <c r="H748" s="26"/>
      <c r="I748" s="26"/>
      <c r="J748" s="26"/>
      <c r="K748" s="26"/>
      <c r="L748" s="26"/>
      <c r="M748" s="27"/>
      <c r="N748" s="26"/>
      <c r="O748" s="26"/>
      <c r="P748" s="26"/>
      <c r="Q748" s="26"/>
      <c r="R748" s="26"/>
      <c r="S748" s="26"/>
      <c r="T748" s="26"/>
      <c r="U748" s="26"/>
      <c r="V748" s="26"/>
      <c r="W748" s="26"/>
      <c r="X748" s="26"/>
      <c r="Y748" s="26"/>
    </row>
    <row r="749" spans="1:25" ht="15.75" customHeight="1">
      <c r="A749" s="26"/>
      <c r="B749" s="26"/>
      <c r="C749" s="26"/>
      <c r="D749" s="26"/>
      <c r="E749" s="26"/>
      <c r="F749" s="26"/>
      <c r="G749" s="26"/>
      <c r="H749" s="26"/>
      <c r="I749" s="26"/>
      <c r="J749" s="26"/>
      <c r="K749" s="26"/>
      <c r="L749" s="26"/>
      <c r="M749" s="27"/>
      <c r="N749" s="26"/>
      <c r="O749" s="26"/>
      <c r="P749" s="26"/>
      <c r="Q749" s="26"/>
      <c r="R749" s="26"/>
      <c r="S749" s="26"/>
      <c r="T749" s="26"/>
      <c r="U749" s="26"/>
      <c r="V749" s="26"/>
      <c r="W749" s="26"/>
      <c r="X749" s="26"/>
      <c r="Y749" s="26"/>
    </row>
    <row r="750" spans="1:25" ht="15.75" customHeight="1">
      <c r="A750" s="26"/>
      <c r="B750" s="26"/>
      <c r="C750" s="26"/>
      <c r="D750" s="26"/>
      <c r="E750" s="26"/>
      <c r="F750" s="26"/>
      <c r="G750" s="26"/>
      <c r="H750" s="26"/>
      <c r="I750" s="26"/>
      <c r="J750" s="26"/>
      <c r="K750" s="26"/>
      <c r="L750" s="26"/>
      <c r="M750" s="27"/>
      <c r="N750" s="26"/>
      <c r="O750" s="26"/>
      <c r="P750" s="26"/>
      <c r="Q750" s="26"/>
      <c r="R750" s="26"/>
      <c r="S750" s="26"/>
      <c r="T750" s="26"/>
      <c r="U750" s="26"/>
      <c r="V750" s="26"/>
      <c r="W750" s="26"/>
      <c r="X750" s="26"/>
      <c r="Y750" s="26"/>
    </row>
    <row r="751" spans="1:25" ht="15.75" customHeight="1">
      <c r="A751" s="26"/>
      <c r="B751" s="26"/>
      <c r="C751" s="26"/>
      <c r="D751" s="26"/>
      <c r="E751" s="26"/>
      <c r="F751" s="26"/>
      <c r="G751" s="26"/>
      <c r="H751" s="26"/>
      <c r="I751" s="26"/>
      <c r="J751" s="26"/>
      <c r="K751" s="26"/>
      <c r="L751" s="26"/>
      <c r="M751" s="27"/>
      <c r="N751" s="26"/>
      <c r="O751" s="26"/>
      <c r="P751" s="26"/>
      <c r="Q751" s="26"/>
      <c r="R751" s="26"/>
      <c r="S751" s="26"/>
      <c r="T751" s="26"/>
      <c r="U751" s="26"/>
      <c r="V751" s="26"/>
      <c r="W751" s="26"/>
      <c r="X751" s="26"/>
      <c r="Y751" s="26"/>
    </row>
    <row r="752" spans="1:25" ht="15.75" customHeight="1">
      <c r="A752" s="26"/>
      <c r="B752" s="26"/>
      <c r="C752" s="26"/>
      <c r="D752" s="26"/>
      <c r="E752" s="26"/>
      <c r="F752" s="26"/>
      <c r="G752" s="26"/>
      <c r="H752" s="26"/>
      <c r="I752" s="26"/>
      <c r="J752" s="26"/>
      <c r="K752" s="26"/>
      <c r="L752" s="26"/>
      <c r="M752" s="27"/>
      <c r="N752" s="26"/>
      <c r="O752" s="26"/>
      <c r="P752" s="26"/>
      <c r="Q752" s="26"/>
      <c r="R752" s="26"/>
      <c r="S752" s="26"/>
      <c r="T752" s="26"/>
      <c r="U752" s="26"/>
      <c r="V752" s="26"/>
      <c r="W752" s="26"/>
      <c r="X752" s="26"/>
      <c r="Y752" s="26"/>
    </row>
    <row r="753" spans="1:25" ht="15.75" customHeight="1">
      <c r="A753" s="26"/>
      <c r="B753" s="26"/>
      <c r="C753" s="26"/>
      <c r="D753" s="26"/>
      <c r="E753" s="26"/>
      <c r="F753" s="26"/>
      <c r="G753" s="26"/>
      <c r="H753" s="26"/>
      <c r="I753" s="26"/>
      <c r="J753" s="26"/>
      <c r="K753" s="26"/>
      <c r="L753" s="26"/>
      <c r="M753" s="27"/>
      <c r="N753" s="26"/>
      <c r="O753" s="26"/>
      <c r="P753" s="26"/>
      <c r="Q753" s="26"/>
      <c r="R753" s="26"/>
      <c r="S753" s="26"/>
      <c r="T753" s="26"/>
      <c r="U753" s="26"/>
      <c r="V753" s="26"/>
      <c r="W753" s="26"/>
      <c r="X753" s="26"/>
      <c r="Y753" s="26"/>
    </row>
    <row r="754" spans="1:25" ht="15.75" customHeight="1">
      <c r="A754" s="26"/>
      <c r="B754" s="26"/>
      <c r="C754" s="26"/>
      <c r="D754" s="26"/>
      <c r="E754" s="26"/>
      <c r="F754" s="26"/>
      <c r="G754" s="26"/>
      <c r="H754" s="26"/>
      <c r="I754" s="26"/>
      <c r="J754" s="26"/>
      <c r="K754" s="26"/>
      <c r="L754" s="26"/>
      <c r="M754" s="27"/>
      <c r="N754" s="26"/>
      <c r="O754" s="26"/>
      <c r="P754" s="26"/>
      <c r="Q754" s="26"/>
      <c r="R754" s="26"/>
      <c r="S754" s="26"/>
      <c r="T754" s="26"/>
      <c r="U754" s="26"/>
      <c r="V754" s="26"/>
      <c r="W754" s="26"/>
      <c r="X754" s="26"/>
      <c r="Y754" s="26"/>
    </row>
    <row r="755" spans="1:25" ht="15.75" customHeight="1">
      <c r="A755" s="26"/>
      <c r="B755" s="26"/>
      <c r="C755" s="26"/>
      <c r="D755" s="26"/>
      <c r="E755" s="26"/>
      <c r="F755" s="26"/>
      <c r="G755" s="26"/>
      <c r="H755" s="26"/>
      <c r="I755" s="26"/>
      <c r="J755" s="26"/>
      <c r="K755" s="26"/>
      <c r="L755" s="26"/>
      <c r="M755" s="27"/>
      <c r="N755" s="26"/>
      <c r="O755" s="26"/>
      <c r="P755" s="26"/>
      <c r="Q755" s="26"/>
      <c r="R755" s="26"/>
      <c r="S755" s="26"/>
      <c r="T755" s="26"/>
      <c r="U755" s="26"/>
      <c r="V755" s="26"/>
      <c r="W755" s="26"/>
      <c r="X755" s="26"/>
      <c r="Y755" s="26"/>
    </row>
    <row r="756" spans="1:25" ht="15.75" customHeight="1">
      <c r="A756" s="26"/>
      <c r="B756" s="26"/>
      <c r="C756" s="26"/>
      <c r="D756" s="26"/>
      <c r="E756" s="26"/>
      <c r="F756" s="26"/>
      <c r="G756" s="26"/>
      <c r="H756" s="26"/>
      <c r="I756" s="26"/>
      <c r="J756" s="26"/>
      <c r="K756" s="26"/>
      <c r="L756" s="26"/>
      <c r="M756" s="27"/>
      <c r="N756" s="26"/>
      <c r="O756" s="26"/>
      <c r="P756" s="26"/>
      <c r="Q756" s="26"/>
      <c r="R756" s="26"/>
      <c r="S756" s="26"/>
      <c r="T756" s="26"/>
      <c r="U756" s="26"/>
      <c r="V756" s="26"/>
      <c r="W756" s="26"/>
      <c r="X756" s="26"/>
      <c r="Y756" s="26"/>
    </row>
    <row r="757" spans="1:25" ht="15.75" customHeight="1">
      <c r="A757" s="26"/>
      <c r="B757" s="26"/>
      <c r="C757" s="26"/>
      <c r="D757" s="26"/>
      <c r="E757" s="26"/>
      <c r="F757" s="26"/>
      <c r="G757" s="26"/>
      <c r="H757" s="26"/>
      <c r="I757" s="26"/>
      <c r="J757" s="26"/>
      <c r="K757" s="26"/>
      <c r="L757" s="26"/>
      <c r="M757" s="27"/>
      <c r="N757" s="26"/>
      <c r="O757" s="26"/>
      <c r="P757" s="26"/>
      <c r="Q757" s="26"/>
      <c r="R757" s="26"/>
      <c r="S757" s="26"/>
      <c r="T757" s="26"/>
      <c r="U757" s="26"/>
      <c r="V757" s="26"/>
      <c r="W757" s="26"/>
      <c r="X757" s="26"/>
      <c r="Y757" s="26"/>
    </row>
    <row r="758" spans="1:25" ht="15.75" customHeight="1">
      <c r="A758" s="26"/>
      <c r="B758" s="26"/>
      <c r="C758" s="26"/>
      <c r="D758" s="26"/>
      <c r="E758" s="26"/>
      <c r="F758" s="26"/>
      <c r="G758" s="26"/>
      <c r="H758" s="26"/>
      <c r="I758" s="26"/>
      <c r="J758" s="26"/>
      <c r="K758" s="26"/>
      <c r="L758" s="26"/>
      <c r="M758" s="27"/>
      <c r="N758" s="26"/>
      <c r="O758" s="26"/>
      <c r="P758" s="26"/>
      <c r="Q758" s="26"/>
      <c r="R758" s="26"/>
      <c r="S758" s="26"/>
      <c r="T758" s="26"/>
      <c r="U758" s="26"/>
      <c r="V758" s="26"/>
      <c r="W758" s="26"/>
      <c r="X758" s="26"/>
      <c r="Y758" s="26"/>
    </row>
    <row r="759" spans="1:25" ht="15.75" customHeight="1">
      <c r="A759" s="26"/>
      <c r="B759" s="26"/>
      <c r="C759" s="26"/>
      <c r="D759" s="26"/>
      <c r="E759" s="26"/>
      <c r="F759" s="26"/>
      <c r="G759" s="26"/>
      <c r="H759" s="26"/>
      <c r="I759" s="26"/>
      <c r="J759" s="26"/>
      <c r="K759" s="26"/>
      <c r="L759" s="26"/>
      <c r="M759" s="27"/>
      <c r="N759" s="26"/>
      <c r="O759" s="26"/>
      <c r="P759" s="26"/>
      <c r="Q759" s="26"/>
      <c r="R759" s="26"/>
      <c r="S759" s="26"/>
      <c r="T759" s="26"/>
      <c r="U759" s="26"/>
      <c r="V759" s="26"/>
      <c r="W759" s="26"/>
      <c r="X759" s="26"/>
      <c r="Y759" s="26"/>
    </row>
    <row r="760" spans="1:25" ht="15.75" customHeight="1">
      <c r="A760" s="26"/>
      <c r="B760" s="26"/>
      <c r="C760" s="26"/>
      <c r="D760" s="26"/>
      <c r="E760" s="26"/>
      <c r="F760" s="26"/>
      <c r="G760" s="26"/>
      <c r="H760" s="26"/>
      <c r="I760" s="26"/>
      <c r="J760" s="26"/>
      <c r="K760" s="26"/>
      <c r="L760" s="26"/>
      <c r="M760" s="27"/>
      <c r="N760" s="26"/>
      <c r="O760" s="26"/>
      <c r="P760" s="26"/>
      <c r="Q760" s="26"/>
      <c r="R760" s="26"/>
      <c r="S760" s="26"/>
      <c r="T760" s="26"/>
      <c r="U760" s="26"/>
      <c r="V760" s="26"/>
      <c r="W760" s="26"/>
      <c r="X760" s="26"/>
      <c r="Y760" s="26"/>
    </row>
    <row r="761" spans="1:25" ht="15.75" customHeight="1">
      <c r="A761" s="26"/>
      <c r="B761" s="26"/>
      <c r="C761" s="26"/>
      <c r="D761" s="26"/>
      <c r="E761" s="26"/>
      <c r="F761" s="26"/>
      <c r="G761" s="26"/>
      <c r="H761" s="26"/>
      <c r="I761" s="26"/>
      <c r="J761" s="26"/>
      <c r="K761" s="26"/>
      <c r="L761" s="26"/>
      <c r="M761" s="27"/>
      <c r="N761" s="26"/>
      <c r="O761" s="26"/>
      <c r="P761" s="26"/>
      <c r="Q761" s="26"/>
      <c r="R761" s="26"/>
      <c r="S761" s="26"/>
      <c r="T761" s="26"/>
      <c r="U761" s="26"/>
      <c r="V761" s="26"/>
      <c r="W761" s="26"/>
      <c r="X761" s="26"/>
      <c r="Y761" s="26"/>
    </row>
    <row r="762" spans="1:25" ht="15.75" customHeight="1">
      <c r="A762" s="26"/>
      <c r="B762" s="26"/>
      <c r="C762" s="26"/>
      <c r="D762" s="26"/>
      <c r="E762" s="26"/>
      <c r="F762" s="26"/>
      <c r="G762" s="26"/>
      <c r="H762" s="26"/>
      <c r="I762" s="26"/>
      <c r="J762" s="26"/>
      <c r="K762" s="26"/>
      <c r="L762" s="26"/>
      <c r="M762" s="27"/>
      <c r="N762" s="26"/>
      <c r="O762" s="26"/>
      <c r="P762" s="26"/>
      <c r="Q762" s="26"/>
      <c r="R762" s="26"/>
      <c r="S762" s="26"/>
      <c r="T762" s="26"/>
      <c r="U762" s="26"/>
      <c r="V762" s="26"/>
      <c r="W762" s="26"/>
      <c r="X762" s="26"/>
      <c r="Y762" s="26"/>
    </row>
    <row r="763" spans="1:25" ht="15.75" customHeight="1">
      <c r="A763" s="26"/>
      <c r="B763" s="26"/>
      <c r="C763" s="26"/>
      <c r="D763" s="26"/>
      <c r="E763" s="26"/>
      <c r="F763" s="26"/>
      <c r="G763" s="26"/>
      <c r="H763" s="26"/>
      <c r="I763" s="26"/>
      <c r="J763" s="26"/>
      <c r="K763" s="26"/>
      <c r="L763" s="26"/>
      <c r="M763" s="27"/>
      <c r="N763" s="26"/>
      <c r="O763" s="26"/>
      <c r="P763" s="26"/>
      <c r="Q763" s="26"/>
      <c r="R763" s="26"/>
      <c r="S763" s="26"/>
      <c r="T763" s="26"/>
      <c r="U763" s="26"/>
      <c r="V763" s="26"/>
      <c r="W763" s="26"/>
      <c r="X763" s="26"/>
      <c r="Y763" s="26"/>
    </row>
    <row r="764" spans="1:25" ht="15.75" customHeight="1">
      <c r="A764" s="26"/>
      <c r="B764" s="26"/>
      <c r="C764" s="26"/>
      <c r="D764" s="26"/>
      <c r="E764" s="26"/>
      <c r="F764" s="26"/>
      <c r="G764" s="26"/>
      <c r="H764" s="26"/>
      <c r="I764" s="26"/>
      <c r="J764" s="26"/>
      <c r="K764" s="26"/>
      <c r="L764" s="26"/>
      <c r="M764" s="27"/>
      <c r="N764" s="26"/>
      <c r="O764" s="26"/>
      <c r="P764" s="26"/>
      <c r="Q764" s="26"/>
      <c r="R764" s="26"/>
      <c r="S764" s="26"/>
      <c r="T764" s="26"/>
      <c r="U764" s="26"/>
      <c r="V764" s="26"/>
      <c r="W764" s="26"/>
      <c r="X764" s="26"/>
      <c r="Y764" s="26"/>
    </row>
    <row r="765" spans="1:25" ht="15.75" customHeight="1">
      <c r="A765" s="26"/>
      <c r="B765" s="26"/>
      <c r="C765" s="26"/>
      <c r="D765" s="26"/>
      <c r="E765" s="26"/>
      <c r="F765" s="26"/>
      <c r="G765" s="26"/>
      <c r="H765" s="26"/>
      <c r="I765" s="26"/>
      <c r="J765" s="26"/>
      <c r="K765" s="26"/>
      <c r="L765" s="26"/>
      <c r="M765" s="27"/>
      <c r="N765" s="26"/>
      <c r="O765" s="26"/>
      <c r="P765" s="26"/>
      <c r="Q765" s="26"/>
      <c r="R765" s="26"/>
      <c r="S765" s="26"/>
      <c r="T765" s="26"/>
      <c r="U765" s="26"/>
      <c r="V765" s="26"/>
      <c r="W765" s="26"/>
      <c r="X765" s="26"/>
      <c r="Y765" s="26"/>
    </row>
    <row r="766" spans="1:25" ht="15.75" customHeight="1">
      <c r="A766" s="26"/>
      <c r="B766" s="26"/>
      <c r="C766" s="26"/>
      <c r="D766" s="26"/>
      <c r="E766" s="26"/>
      <c r="F766" s="26"/>
      <c r="G766" s="26"/>
      <c r="H766" s="26"/>
      <c r="I766" s="26"/>
      <c r="J766" s="26"/>
      <c r="K766" s="26"/>
      <c r="L766" s="26"/>
      <c r="M766" s="27"/>
      <c r="N766" s="26"/>
      <c r="O766" s="26"/>
      <c r="P766" s="26"/>
      <c r="Q766" s="26"/>
      <c r="R766" s="26"/>
      <c r="S766" s="26"/>
      <c r="T766" s="26"/>
      <c r="U766" s="26"/>
      <c r="V766" s="26"/>
      <c r="W766" s="26"/>
      <c r="X766" s="26"/>
      <c r="Y766" s="26"/>
    </row>
    <row r="767" spans="1:25" ht="15.75" customHeight="1">
      <c r="A767" s="26"/>
      <c r="B767" s="26"/>
      <c r="C767" s="26"/>
      <c r="D767" s="26"/>
      <c r="E767" s="26"/>
      <c r="F767" s="26"/>
      <c r="G767" s="26"/>
      <c r="H767" s="26"/>
      <c r="I767" s="26"/>
      <c r="J767" s="26"/>
      <c r="K767" s="26"/>
      <c r="L767" s="26"/>
      <c r="M767" s="27"/>
      <c r="N767" s="26"/>
      <c r="O767" s="26"/>
      <c r="P767" s="26"/>
      <c r="Q767" s="26"/>
      <c r="R767" s="26"/>
      <c r="S767" s="26"/>
      <c r="T767" s="26"/>
      <c r="U767" s="26"/>
      <c r="V767" s="26"/>
      <c r="W767" s="26"/>
      <c r="X767" s="26"/>
      <c r="Y767" s="26"/>
    </row>
    <row r="768" spans="1:25" ht="15.75" customHeight="1">
      <c r="A768" s="26"/>
      <c r="B768" s="26"/>
      <c r="C768" s="26"/>
      <c r="D768" s="26"/>
      <c r="E768" s="26"/>
      <c r="F768" s="26"/>
      <c r="G768" s="26"/>
      <c r="H768" s="26"/>
      <c r="I768" s="26"/>
      <c r="J768" s="26"/>
      <c r="K768" s="26"/>
      <c r="L768" s="26"/>
      <c r="M768" s="27"/>
      <c r="N768" s="26"/>
      <c r="O768" s="26"/>
      <c r="P768" s="26"/>
      <c r="Q768" s="26"/>
      <c r="R768" s="26"/>
      <c r="S768" s="26"/>
      <c r="T768" s="26"/>
      <c r="U768" s="26"/>
      <c r="V768" s="26"/>
      <c r="W768" s="26"/>
      <c r="X768" s="26"/>
      <c r="Y768" s="26"/>
    </row>
    <row r="769" spans="1:25" ht="15.75" customHeight="1">
      <c r="A769" s="26"/>
      <c r="B769" s="26"/>
      <c r="C769" s="26"/>
      <c r="D769" s="26"/>
      <c r="E769" s="26"/>
      <c r="F769" s="26"/>
      <c r="G769" s="26"/>
      <c r="H769" s="26"/>
      <c r="I769" s="26"/>
      <c r="J769" s="26"/>
      <c r="K769" s="26"/>
      <c r="L769" s="26"/>
      <c r="M769" s="27"/>
      <c r="N769" s="26"/>
      <c r="O769" s="26"/>
      <c r="P769" s="26"/>
      <c r="Q769" s="26"/>
      <c r="R769" s="26"/>
      <c r="S769" s="26"/>
      <c r="T769" s="26"/>
      <c r="U769" s="26"/>
      <c r="V769" s="26"/>
      <c r="W769" s="26"/>
      <c r="X769" s="26"/>
      <c r="Y769" s="26"/>
    </row>
    <row r="770" spans="1:25" ht="15.75" customHeight="1">
      <c r="A770" s="26"/>
      <c r="B770" s="26"/>
      <c r="C770" s="26"/>
      <c r="D770" s="26"/>
      <c r="E770" s="26"/>
      <c r="F770" s="26"/>
      <c r="G770" s="26"/>
      <c r="H770" s="26"/>
      <c r="I770" s="26"/>
      <c r="J770" s="26"/>
      <c r="K770" s="26"/>
      <c r="L770" s="26"/>
      <c r="M770" s="27"/>
      <c r="N770" s="26"/>
      <c r="O770" s="26"/>
      <c r="P770" s="26"/>
      <c r="Q770" s="26"/>
      <c r="R770" s="26"/>
      <c r="S770" s="26"/>
      <c r="T770" s="26"/>
      <c r="U770" s="26"/>
      <c r="V770" s="26"/>
      <c r="W770" s="26"/>
      <c r="X770" s="26"/>
      <c r="Y770" s="26"/>
    </row>
    <row r="771" spans="1:25" ht="15.75" customHeight="1">
      <c r="A771" s="26"/>
      <c r="B771" s="26"/>
      <c r="C771" s="26"/>
      <c r="D771" s="26"/>
      <c r="E771" s="26"/>
      <c r="F771" s="26"/>
      <c r="G771" s="26"/>
      <c r="H771" s="26"/>
      <c r="I771" s="26"/>
      <c r="J771" s="26"/>
      <c r="K771" s="26"/>
      <c r="L771" s="26"/>
      <c r="M771" s="27"/>
      <c r="N771" s="26"/>
      <c r="O771" s="26"/>
      <c r="P771" s="26"/>
      <c r="Q771" s="26"/>
      <c r="R771" s="26"/>
      <c r="S771" s="26"/>
      <c r="T771" s="26"/>
      <c r="U771" s="26"/>
      <c r="V771" s="26"/>
      <c r="W771" s="26"/>
      <c r="X771" s="26"/>
      <c r="Y771" s="26"/>
    </row>
    <row r="772" spans="1:25" ht="15.75" customHeight="1">
      <c r="A772" s="26"/>
      <c r="B772" s="26"/>
      <c r="C772" s="26"/>
      <c r="D772" s="26"/>
      <c r="E772" s="26"/>
      <c r="F772" s="26"/>
      <c r="G772" s="26"/>
      <c r="H772" s="26"/>
      <c r="I772" s="26"/>
      <c r="J772" s="26"/>
      <c r="K772" s="26"/>
      <c r="L772" s="26"/>
      <c r="M772" s="27"/>
      <c r="N772" s="26"/>
      <c r="O772" s="26"/>
      <c r="P772" s="26"/>
      <c r="Q772" s="26"/>
      <c r="R772" s="26"/>
      <c r="S772" s="26"/>
      <c r="T772" s="26"/>
      <c r="U772" s="26"/>
      <c r="V772" s="26"/>
      <c r="W772" s="26"/>
      <c r="X772" s="26"/>
      <c r="Y772" s="26"/>
    </row>
    <row r="773" spans="1:25" ht="15.75" customHeight="1">
      <c r="A773" s="26"/>
      <c r="B773" s="26"/>
      <c r="C773" s="26"/>
      <c r="D773" s="26"/>
      <c r="E773" s="26"/>
      <c r="F773" s="26"/>
      <c r="G773" s="26"/>
      <c r="H773" s="26"/>
      <c r="I773" s="26"/>
      <c r="J773" s="26"/>
      <c r="K773" s="26"/>
      <c r="L773" s="26"/>
      <c r="M773" s="27"/>
      <c r="N773" s="26"/>
      <c r="O773" s="26"/>
      <c r="P773" s="26"/>
      <c r="Q773" s="26"/>
      <c r="R773" s="26"/>
      <c r="S773" s="26"/>
      <c r="T773" s="26"/>
      <c r="U773" s="26"/>
      <c r="V773" s="26"/>
      <c r="W773" s="26"/>
      <c r="X773" s="26"/>
      <c r="Y773" s="26"/>
    </row>
    <row r="774" spans="1:25" ht="15.75" customHeight="1">
      <c r="A774" s="26"/>
      <c r="B774" s="26"/>
      <c r="C774" s="26"/>
      <c r="D774" s="26"/>
      <c r="E774" s="26"/>
      <c r="F774" s="26"/>
      <c r="G774" s="26"/>
      <c r="H774" s="26"/>
      <c r="I774" s="26"/>
      <c r="J774" s="26"/>
      <c r="K774" s="26"/>
      <c r="L774" s="26"/>
      <c r="M774" s="27"/>
      <c r="N774" s="26"/>
      <c r="O774" s="26"/>
      <c r="P774" s="26"/>
      <c r="Q774" s="26"/>
      <c r="R774" s="26"/>
      <c r="S774" s="26"/>
      <c r="T774" s="26"/>
      <c r="U774" s="26"/>
      <c r="V774" s="26"/>
      <c r="W774" s="26"/>
      <c r="X774" s="26"/>
      <c r="Y774" s="26"/>
    </row>
    <row r="775" spans="1:25" ht="15.75" customHeight="1">
      <c r="A775" s="26"/>
      <c r="B775" s="26"/>
      <c r="C775" s="26"/>
      <c r="D775" s="26"/>
      <c r="E775" s="26"/>
      <c r="F775" s="26"/>
      <c r="G775" s="26"/>
      <c r="H775" s="26"/>
      <c r="I775" s="26"/>
      <c r="J775" s="26"/>
      <c r="K775" s="26"/>
      <c r="L775" s="26"/>
      <c r="M775" s="27"/>
      <c r="N775" s="26"/>
      <c r="O775" s="26"/>
      <c r="P775" s="26"/>
      <c r="Q775" s="26"/>
      <c r="R775" s="26"/>
      <c r="S775" s="26"/>
      <c r="T775" s="26"/>
      <c r="U775" s="26"/>
      <c r="V775" s="26"/>
      <c r="W775" s="26"/>
      <c r="X775" s="26"/>
      <c r="Y775" s="26"/>
    </row>
    <row r="776" spans="1:25" ht="15.75" customHeight="1">
      <c r="A776" s="26"/>
      <c r="B776" s="26"/>
      <c r="C776" s="26"/>
      <c r="D776" s="26"/>
      <c r="E776" s="26"/>
      <c r="F776" s="26"/>
      <c r="G776" s="26"/>
      <c r="H776" s="26"/>
      <c r="I776" s="26"/>
      <c r="J776" s="26"/>
      <c r="K776" s="26"/>
      <c r="L776" s="26"/>
      <c r="M776" s="27"/>
      <c r="N776" s="26"/>
      <c r="O776" s="26"/>
      <c r="P776" s="26"/>
      <c r="Q776" s="26"/>
      <c r="R776" s="26"/>
      <c r="S776" s="26"/>
      <c r="T776" s="26"/>
      <c r="U776" s="26"/>
      <c r="V776" s="26"/>
      <c r="W776" s="26"/>
      <c r="X776" s="26"/>
      <c r="Y776" s="26"/>
    </row>
    <row r="777" spans="1:25" ht="15.75" customHeight="1">
      <c r="A777" s="26"/>
      <c r="B777" s="26"/>
      <c r="C777" s="26"/>
      <c r="D777" s="26"/>
      <c r="E777" s="26"/>
      <c r="F777" s="26"/>
      <c r="G777" s="26"/>
      <c r="H777" s="26"/>
      <c r="I777" s="26"/>
      <c r="J777" s="26"/>
      <c r="K777" s="26"/>
      <c r="L777" s="26"/>
      <c r="M777" s="27"/>
      <c r="N777" s="26"/>
      <c r="O777" s="26"/>
      <c r="P777" s="26"/>
      <c r="Q777" s="26"/>
      <c r="R777" s="26"/>
      <c r="S777" s="26"/>
      <c r="T777" s="26"/>
      <c r="U777" s="26"/>
      <c r="V777" s="26"/>
      <c r="W777" s="26"/>
      <c r="X777" s="26"/>
      <c r="Y777" s="26"/>
    </row>
    <row r="778" spans="1:25" ht="15.75" customHeight="1">
      <c r="A778" s="26"/>
      <c r="B778" s="26"/>
      <c r="C778" s="26"/>
      <c r="D778" s="26"/>
      <c r="E778" s="26"/>
      <c r="F778" s="26"/>
      <c r="G778" s="26"/>
      <c r="H778" s="26"/>
      <c r="I778" s="26"/>
      <c r="J778" s="26"/>
      <c r="K778" s="26"/>
      <c r="L778" s="26"/>
      <c r="M778" s="27"/>
      <c r="N778" s="26"/>
      <c r="O778" s="26"/>
      <c r="P778" s="26"/>
      <c r="Q778" s="26"/>
      <c r="R778" s="26"/>
      <c r="S778" s="26"/>
      <c r="T778" s="26"/>
      <c r="U778" s="26"/>
      <c r="V778" s="26"/>
      <c r="W778" s="26"/>
      <c r="X778" s="26"/>
      <c r="Y778" s="26"/>
    </row>
    <row r="779" spans="1:25" ht="15.75" customHeight="1">
      <c r="A779" s="26"/>
      <c r="B779" s="26"/>
      <c r="C779" s="26"/>
      <c r="D779" s="26"/>
      <c r="E779" s="26"/>
      <c r="F779" s="26"/>
      <c r="G779" s="26"/>
      <c r="H779" s="26"/>
      <c r="I779" s="26"/>
      <c r="J779" s="26"/>
      <c r="K779" s="26"/>
      <c r="L779" s="26"/>
      <c r="M779" s="27"/>
      <c r="N779" s="26"/>
      <c r="O779" s="26"/>
      <c r="P779" s="26"/>
      <c r="Q779" s="26"/>
      <c r="R779" s="26"/>
      <c r="S779" s="26"/>
      <c r="T779" s="26"/>
      <c r="U779" s="26"/>
      <c r="V779" s="26"/>
      <c r="W779" s="26"/>
      <c r="X779" s="26"/>
      <c r="Y779" s="26"/>
    </row>
    <row r="780" spans="1:25" ht="15.75" customHeight="1">
      <c r="A780" s="26"/>
      <c r="B780" s="26"/>
      <c r="C780" s="26"/>
      <c r="D780" s="26"/>
      <c r="E780" s="26"/>
      <c r="F780" s="26"/>
      <c r="G780" s="26"/>
      <c r="H780" s="26"/>
      <c r="I780" s="26"/>
      <c r="J780" s="26"/>
      <c r="K780" s="26"/>
      <c r="L780" s="26"/>
      <c r="M780" s="27"/>
      <c r="N780" s="26"/>
      <c r="O780" s="26"/>
      <c r="P780" s="26"/>
      <c r="Q780" s="26"/>
      <c r="R780" s="26"/>
      <c r="S780" s="26"/>
      <c r="T780" s="26"/>
      <c r="U780" s="26"/>
      <c r="V780" s="26"/>
      <c r="W780" s="26"/>
      <c r="X780" s="26"/>
      <c r="Y780" s="26"/>
    </row>
    <row r="781" spans="1:25" ht="15.75" customHeight="1">
      <c r="A781" s="26"/>
      <c r="B781" s="26"/>
      <c r="C781" s="26"/>
      <c r="D781" s="26"/>
      <c r="E781" s="26"/>
      <c r="F781" s="26"/>
      <c r="G781" s="26"/>
      <c r="H781" s="26"/>
      <c r="I781" s="26"/>
      <c r="J781" s="26"/>
      <c r="K781" s="26"/>
      <c r="L781" s="26"/>
      <c r="M781" s="27"/>
      <c r="N781" s="26"/>
      <c r="O781" s="26"/>
      <c r="P781" s="26"/>
      <c r="Q781" s="26"/>
      <c r="R781" s="26"/>
      <c r="S781" s="26"/>
      <c r="T781" s="26"/>
      <c r="U781" s="26"/>
      <c r="V781" s="26"/>
      <c r="W781" s="26"/>
      <c r="X781" s="26"/>
      <c r="Y781" s="26"/>
    </row>
    <row r="782" spans="1:25" ht="15.75" customHeight="1">
      <c r="A782" s="26"/>
      <c r="B782" s="26"/>
      <c r="C782" s="26"/>
      <c r="D782" s="26"/>
      <c r="E782" s="26"/>
      <c r="F782" s="26"/>
      <c r="G782" s="26"/>
      <c r="H782" s="26"/>
      <c r="I782" s="26"/>
      <c r="J782" s="26"/>
      <c r="K782" s="26"/>
      <c r="L782" s="26"/>
      <c r="M782" s="27"/>
      <c r="N782" s="26"/>
      <c r="O782" s="26"/>
      <c r="P782" s="26"/>
      <c r="Q782" s="26"/>
      <c r="R782" s="26"/>
      <c r="S782" s="26"/>
      <c r="T782" s="26"/>
      <c r="U782" s="26"/>
      <c r="V782" s="26"/>
      <c r="W782" s="26"/>
      <c r="X782" s="26"/>
      <c r="Y782" s="26"/>
    </row>
    <row r="783" spans="1:25" ht="15.75" customHeight="1">
      <c r="A783" s="26"/>
      <c r="B783" s="26"/>
      <c r="C783" s="26"/>
      <c r="D783" s="26"/>
      <c r="E783" s="26"/>
      <c r="F783" s="26"/>
      <c r="G783" s="26"/>
      <c r="H783" s="26"/>
      <c r="I783" s="26"/>
      <c r="J783" s="26"/>
      <c r="K783" s="26"/>
      <c r="L783" s="26"/>
      <c r="M783" s="27"/>
      <c r="N783" s="26"/>
      <c r="O783" s="26"/>
      <c r="P783" s="26"/>
      <c r="Q783" s="26"/>
      <c r="R783" s="26"/>
      <c r="S783" s="26"/>
      <c r="T783" s="26"/>
      <c r="U783" s="26"/>
      <c r="V783" s="26"/>
      <c r="W783" s="26"/>
      <c r="X783" s="26"/>
      <c r="Y783" s="26"/>
    </row>
    <row r="784" spans="1:25" ht="15.75" customHeight="1">
      <c r="A784" s="26"/>
      <c r="B784" s="26"/>
      <c r="C784" s="26"/>
      <c r="D784" s="26"/>
      <c r="E784" s="26"/>
      <c r="F784" s="26"/>
      <c r="G784" s="26"/>
      <c r="H784" s="26"/>
      <c r="I784" s="26"/>
      <c r="J784" s="26"/>
      <c r="K784" s="26"/>
      <c r="L784" s="26"/>
      <c r="M784" s="27"/>
      <c r="N784" s="26"/>
      <c r="O784" s="26"/>
      <c r="P784" s="26"/>
      <c r="Q784" s="26"/>
      <c r="R784" s="26"/>
      <c r="S784" s="26"/>
      <c r="T784" s="26"/>
      <c r="U784" s="26"/>
      <c r="V784" s="26"/>
      <c r="W784" s="26"/>
      <c r="X784" s="26"/>
      <c r="Y784" s="26"/>
    </row>
    <row r="785" spans="1:25" ht="15.75" customHeight="1">
      <c r="A785" s="26"/>
      <c r="B785" s="26"/>
      <c r="C785" s="26"/>
      <c r="D785" s="26"/>
      <c r="E785" s="26"/>
      <c r="F785" s="26"/>
      <c r="G785" s="26"/>
      <c r="H785" s="26"/>
      <c r="I785" s="26"/>
      <c r="J785" s="26"/>
      <c r="K785" s="26"/>
      <c r="L785" s="26"/>
      <c r="M785" s="27"/>
      <c r="N785" s="26"/>
      <c r="O785" s="26"/>
      <c r="P785" s="26"/>
      <c r="Q785" s="26"/>
      <c r="R785" s="26"/>
      <c r="S785" s="26"/>
      <c r="T785" s="26"/>
      <c r="U785" s="26"/>
      <c r="V785" s="26"/>
      <c r="W785" s="26"/>
      <c r="X785" s="26"/>
      <c r="Y785" s="26"/>
    </row>
    <row r="786" spans="1:25" ht="15.75" customHeight="1">
      <c r="A786" s="26"/>
      <c r="B786" s="26"/>
      <c r="C786" s="26"/>
      <c r="D786" s="26"/>
      <c r="E786" s="26"/>
      <c r="F786" s="26"/>
      <c r="G786" s="26"/>
      <c r="H786" s="26"/>
      <c r="I786" s="26"/>
      <c r="J786" s="26"/>
      <c r="K786" s="26"/>
      <c r="L786" s="26"/>
      <c r="M786" s="27"/>
      <c r="N786" s="26"/>
      <c r="O786" s="26"/>
      <c r="P786" s="26"/>
      <c r="Q786" s="26"/>
      <c r="R786" s="26"/>
      <c r="S786" s="26"/>
      <c r="T786" s="26"/>
      <c r="U786" s="26"/>
      <c r="V786" s="26"/>
      <c r="W786" s="26"/>
      <c r="X786" s="26"/>
      <c r="Y786" s="26"/>
    </row>
    <row r="787" spans="1:25" ht="15.75" customHeight="1">
      <c r="A787" s="26"/>
      <c r="B787" s="26"/>
      <c r="C787" s="26"/>
      <c r="D787" s="26"/>
      <c r="E787" s="26"/>
      <c r="F787" s="26"/>
      <c r="G787" s="26"/>
      <c r="H787" s="26"/>
      <c r="I787" s="26"/>
      <c r="J787" s="26"/>
      <c r="K787" s="26"/>
      <c r="L787" s="26"/>
      <c r="M787" s="27"/>
      <c r="N787" s="26"/>
      <c r="O787" s="26"/>
      <c r="P787" s="26"/>
      <c r="Q787" s="26"/>
      <c r="R787" s="26"/>
      <c r="S787" s="26"/>
      <c r="T787" s="26"/>
      <c r="U787" s="26"/>
      <c r="V787" s="26"/>
      <c r="W787" s="26"/>
      <c r="X787" s="26"/>
      <c r="Y787" s="26"/>
    </row>
    <row r="788" spans="1:25" ht="15.75" customHeight="1">
      <c r="A788" s="26"/>
      <c r="B788" s="26"/>
      <c r="C788" s="26"/>
      <c r="D788" s="26"/>
      <c r="E788" s="26"/>
      <c r="F788" s="26"/>
      <c r="G788" s="26"/>
      <c r="H788" s="26"/>
      <c r="I788" s="26"/>
      <c r="J788" s="26"/>
      <c r="K788" s="26"/>
      <c r="L788" s="26"/>
      <c r="M788" s="27"/>
      <c r="N788" s="26"/>
      <c r="O788" s="26"/>
      <c r="P788" s="26"/>
      <c r="Q788" s="26"/>
      <c r="R788" s="26"/>
      <c r="S788" s="26"/>
      <c r="T788" s="26"/>
      <c r="U788" s="26"/>
      <c r="V788" s="26"/>
      <c r="W788" s="26"/>
      <c r="X788" s="26"/>
      <c r="Y788" s="26"/>
    </row>
    <row r="789" spans="1:25" ht="15.75" customHeight="1">
      <c r="A789" s="26"/>
      <c r="B789" s="26"/>
      <c r="C789" s="26"/>
      <c r="D789" s="26"/>
      <c r="E789" s="26"/>
      <c r="F789" s="26"/>
      <c r="G789" s="26"/>
      <c r="H789" s="26"/>
      <c r="I789" s="26"/>
      <c r="J789" s="26"/>
      <c r="K789" s="26"/>
      <c r="L789" s="26"/>
      <c r="M789" s="27"/>
      <c r="N789" s="26"/>
      <c r="O789" s="26"/>
      <c r="P789" s="26"/>
      <c r="Q789" s="26"/>
      <c r="R789" s="26"/>
      <c r="S789" s="26"/>
      <c r="T789" s="26"/>
      <c r="U789" s="26"/>
      <c r="V789" s="26"/>
      <c r="W789" s="26"/>
      <c r="X789" s="26"/>
      <c r="Y789" s="26"/>
    </row>
    <row r="790" spans="1:25" ht="15.75" customHeight="1">
      <c r="A790" s="26"/>
      <c r="B790" s="26"/>
      <c r="C790" s="26"/>
      <c r="D790" s="26"/>
      <c r="E790" s="26"/>
      <c r="F790" s="26"/>
      <c r="G790" s="26"/>
      <c r="H790" s="26"/>
      <c r="I790" s="26"/>
      <c r="J790" s="26"/>
      <c r="K790" s="26"/>
      <c r="L790" s="26"/>
      <c r="M790" s="27"/>
      <c r="N790" s="26"/>
      <c r="O790" s="26"/>
      <c r="P790" s="26"/>
      <c r="Q790" s="26"/>
      <c r="R790" s="26"/>
      <c r="S790" s="26"/>
      <c r="T790" s="26"/>
      <c r="U790" s="26"/>
      <c r="V790" s="26"/>
      <c r="W790" s="26"/>
      <c r="X790" s="26"/>
      <c r="Y790" s="26"/>
    </row>
    <row r="791" spans="1:25" ht="15.75" customHeight="1">
      <c r="A791" s="26"/>
      <c r="B791" s="26"/>
      <c r="C791" s="26"/>
      <c r="D791" s="26"/>
      <c r="E791" s="26"/>
      <c r="F791" s="26"/>
      <c r="G791" s="26"/>
      <c r="H791" s="26"/>
      <c r="I791" s="26"/>
      <c r="J791" s="26"/>
      <c r="K791" s="26"/>
      <c r="L791" s="26"/>
      <c r="M791" s="27"/>
      <c r="N791" s="26"/>
      <c r="O791" s="26"/>
      <c r="P791" s="26"/>
      <c r="Q791" s="26"/>
      <c r="R791" s="26"/>
      <c r="S791" s="26"/>
      <c r="T791" s="26"/>
      <c r="U791" s="26"/>
      <c r="V791" s="26"/>
      <c r="W791" s="26"/>
      <c r="X791" s="26"/>
      <c r="Y791" s="26"/>
    </row>
    <row r="792" spans="1:25" ht="15.75" customHeight="1">
      <c r="A792" s="26"/>
      <c r="B792" s="26"/>
      <c r="C792" s="26"/>
      <c r="D792" s="26"/>
      <c r="E792" s="26"/>
      <c r="F792" s="26"/>
      <c r="G792" s="26"/>
      <c r="H792" s="26"/>
      <c r="I792" s="26"/>
      <c r="J792" s="26"/>
      <c r="K792" s="26"/>
      <c r="L792" s="26"/>
      <c r="M792" s="27"/>
      <c r="N792" s="26"/>
      <c r="O792" s="26"/>
      <c r="P792" s="26"/>
      <c r="Q792" s="26"/>
      <c r="R792" s="26"/>
      <c r="S792" s="26"/>
      <c r="T792" s="26"/>
      <c r="U792" s="26"/>
      <c r="V792" s="26"/>
      <c r="W792" s="26"/>
      <c r="X792" s="26"/>
      <c r="Y792" s="26"/>
    </row>
    <row r="793" spans="1:25" ht="15.75" customHeight="1">
      <c r="A793" s="26"/>
      <c r="B793" s="26"/>
      <c r="C793" s="26"/>
      <c r="D793" s="26"/>
      <c r="E793" s="26"/>
      <c r="F793" s="26"/>
      <c r="G793" s="26"/>
      <c r="H793" s="26"/>
      <c r="I793" s="26"/>
      <c r="J793" s="26"/>
      <c r="K793" s="26"/>
      <c r="L793" s="26"/>
      <c r="M793" s="27"/>
      <c r="N793" s="26"/>
      <c r="O793" s="26"/>
      <c r="P793" s="26"/>
      <c r="Q793" s="26"/>
      <c r="R793" s="26"/>
      <c r="S793" s="26"/>
      <c r="T793" s="26"/>
      <c r="U793" s="26"/>
      <c r="V793" s="26"/>
      <c r="W793" s="26"/>
      <c r="X793" s="26"/>
      <c r="Y793" s="26"/>
    </row>
    <row r="794" spans="1:25" ht="15.75" customHeight="1">
      <c r="A794" s="26"/>
      <c r="B794" s="26"/>
      <c r="C794" s="26"/>
      <c r="D794" s="26"/>
      <c r="E794" s="26"/>
      <c r="F794" s="26"/>
      <c r="G794" s="26"/>
      <c r="H794" s="26"/>
      <c r="I794" s="26"/>
      <c r="J794" s="26"/>
      <c r="K794" s="26"/>
      <c r="L794" s="26"/>
      <c r="M794" s="27"/>
      <c r="N794" s="26"/>
      <c r="O794" s="26"/>
      <c r="P794" s="26"/>
      <c r="Q794" s="26"/>
      <c r="R794" s="26"/>
      <c r="S794" s="26"/>
      <c r="T794" s="26"/>
      <c r="U794" s="26"/>
      <c r="V794" s="26"/>
      <c r="W794" s="26"/>
      <c r="X794" s="26"/>
      <c r="Y794" s="26"/>
    </row>
    <row r="795" spans="1:25" ht="15.75" customHeight="1">
      <c r="A795" s="26"/>
      <c r="B795" s="26"/>
      <c r="C795" s="26"/>
      <c r="D795" s="26"/>
      <c r="E795" s="26"/>
      <c r="F795" s="26"/>
      <c r="G795" s="26"/>
      <c r="H795" s="26"/>
      <c r="I795" s="26"/>
      <c r="J795" s="26"/>
      <c r="K795" s="26"/>
      <c r="L795" s="26"/>
      <c r="M795" s="27"/>
      <c r="N795" s="26"/>
      <c r="O795" s="26"/>
      <c r="P795" s="26"/>
      <c r="Q795" s="26"/>
      <c r="R795" s="26"/>
      <c r="S795" s="26"/>
      <c r="T795" s="26"/>
      <c r="U795" s="26"/>
      <c r="V795" s="26"/>
      <c r="W795" s="26"/>
      <c r="X795" s="26"/>
      <c r="Y795" s="26"/>
    </row>
    <row r="796" spans="1:25" ht="15.75" customHeight="1">
      <c r="A796" s="26"/>
      <c r="B796" s="26"/>
      <c r="C796" s="26"/>
      <c r="D796" s="26"/>
      <c r="E796" s="26"/>
      <c r="F796" s="26"/>
      <c r="G796" s="26"/>
      <c r="H796" s="26"/>
      <c r="I796" s="26"/>
      <c r="J796" s="26"/>
      <c r="K796" s="26"/>
      <c r="L796" s="26"/>
      <c r="M796" s="27"/>
      <c r="N796" s="26"/>
      <c r="O796" s="26"/>
      <c r="P796" s="26"/>
      <c r="Q796" s="26"/>
      <c r="R796" s="26"/>
      <c r="S796" s="26"/>
      <c r="T796" s="26"/>
      <c r="U796" s="26"/>
      <c r="V796" s="26"/>
      <c r="W796" s="26"/>
      <c r="X796" s="26"/>
      <c r="Y796" s="26"/>
    </row>
    <row r="797" spans="1:25" ht="15.75" customHeight="1">
      <c r="A797" s="26"/>
      <c r="B797" s="26"/>
      <c r="C797" s="26"/>
      <c r="D797" s="26"/>
      <c r="E797" s="26"/>
      <c r="F797" s="26"/>
      <c r="G797" s="26"/>
      <c r="H797" s="26"/>
      <c r="I797" s="26"/>
      <c r="J797" s="26"/>
      <c r="K797" s="26"/>
      <c r="L797" s="26"/>
      <c r="M797" s="27"/>
      <c r="N797" s="26"/>
      <c r="O797" s="26"/>
      <c r="P797" s="26"/>
      <c r="Q797" s="26"/>
      <c r="R797" s="26"/>
      <c r="S797" s="26"/>
      <c r="T797" s="26"/>
      <c r="U797" s="26"/>
      <c r="V797" s="26"/>
      <c r="W797" s="26"/>
      <c r="X797" s="26"/>
      <c r="Y797" s="26"/>
    </row>
    <row r="798" spans="1:25" ht="15.75" customHeight="1">
      <c r="A798" s="26"/>
      <c r="B798" s="26"/>
      <c r="C798" s="26"/>
      <c r="D798" s="26"/>
      <c r="E798" s="26"/>
      <c r="F798" s="26"/>
      <c r="G798" s="26"/>
      <c r="H798" s="26"/>
      <c r="I798" s="26"/>
      <c r="J798" s="26"/>
      <c r="K798" s="26"/>
      <c r="L798" s="26"/>
      <c r="M798" s="27"/>
      <c r="N798" s="26"/>
      <c r="O798" s="26"/>
      <c r="P798" s="26"/>
      <c r="Q798" s="26"/>
      <c r="R798" s="26"/>
      <c r="S798" s="26"/>
      <c r="T798" s="26"/>
      <c r="U798" s="26"/>
      <c r="V798" s="26"/>
      <c r="W798" s="26"/>
      <c r="X798" s="26"/>
      <c r="Y798" s="26"/>
    </row>
    <row r="799" spans="1:25" ht="15.75" customHeight="1">
      <c r="A799" s="26"/>
      <c r="B799" s="26"/>
      <c r="C799" s="26"/>
      <c r="D799" s="26"/>
      <c r="E799" s="26"/>
      <c r="F799" s="26"/>
      <c r="G799" s="26"/>
      <c r="H799" s="26"/>
      <c r="I799" s="26"/>
      <c r="J799" s="26"/>
      <c r="K799" s="26"/>
      <c r="L799" s="26"/>
      <c r="M799" s="27"/>
      <c r="N799" s="26"/>
      <c r="O799" s="26"/>
      <c r="P799" s="26"/>
      <c r="Q799" s="26"/>
      <c r="R799" s="26"/>
      <c r="S799" s="26"/>
      <c r="T799" s="26"/>
      <c r="U799" s="26"/>
      <c r="V799" s="26"/>
      <c r="W799" s="26"/>
      <c r="X799" s="26"/>
      <c r="Y799" s="26"/>
    </row>
    <row r="800" spans="1:25" ht="15.75" customHeight="1">
      <c r="A800" s="26"/>
      <c r="B800" s="26"/>
      <c r="C800" s="26"/>
      <c r="D800" s="26"/>
      <c r="E800" s="26"/>
      <c r="F800" s="26"/>
      <c r="G800" s="26"/>
      <c r="H800" s="26"/>
      <c r="I800" s="26"/>
      <c r="J800" s="26"/>
      <c r="K800" s="26"/>
      <c r="L800" s="26"/>
      <c r="M800" s="27"/>
      <c r="N800" s="26"/>
      <c r="O800" s="26"/>
      <c r="P800" s="26"/>
      <c r="Q800" s="26"/>
      <c r="R800" s="26"/>
      <c r="S800" s="26"/>
      <c r="T800" s="26"/>
      <c r="U800" s="26"/>
      <c r="V800" s="26"/>
      <c r="W800" s="26"/>
      <c r="X800" s="26"/>
      <c r="Y800" s="26"/>
    </row>
    <row r="801" spans="1:25" ht="15.75" customHeight="1">
      <c r="A801" s="26"/>
      <c r="B801" s="26"/>
      <c r="C801" s="26"/>
      <c r="D801" s="26"/>
      <c r="E801" s="26"/>
      <c r="F801" s="26"/>
      <c r="G801" s="26"/>
      <c r="H801" s="26"/>
      <c r="I801" s="26"/>
      <c r="J801" s="26"/>
      <c r="K801" s="26"/>
      <c r="L801" s="26"/>
      <c r="M801" s="27"/>
      <c r="N801" s="26"/>
      <c r="O801" s="26"/>
      <c r="P801" s="26"/>
      <c r="Q801" s="26"/>
      <c r="R801" s="26"/>
      <c r="S801" s="26"/>
      <c r="T801" s="26"/>
      <c r="U801" s="26"/>
      <c r="V801" s="26"/>
      <c r="W801" s="26"/>
      <c r="X801" s="26"/>
      <c r="Y801" s="26"/>
    </row>
    <row r="802" spans="1:25" ht="15.75" customHeight="1">
      <c r="A802" s="26"/>
      <c r="B802" s="26"/>
      <c r="C802" s="26"/>
      <c r="D802" s="26"/>
      <c r="E802" s="26"/>
      <c r="F802" s="26"/>
      <c r="G802" s="26"/>
      <c r="H802" s="26"/>
      <c r="I802" s="26"/>
      <c r="J802" s="26"/>
      <c r="K802" s="26"/>
      <c r="L802" s="26"/>
      <c r="M802" s="27"/>
      <c r="N802" s="26"/>
      <c r="O802" s="26"/>
      <c r="P802" s="26"/>
      <c r="Q802" s="26"/>
      <c r="R802" s="26"/>
      <c r="S802" s="26"/>
      <c r="T802" s="26"/>
      <c r="U802" s="26"/>
      <c r="V802" s="26"/>
      <c r="W802" s="26"/>
      <c r="X802" s="26"/>
      <c r="Y802" s="26"/>
    </row>
    <row r="803" spans="1:25" ht="15.75" customHeight="1">
      <c r="A803" s="26"/>
      <c r="B803" s="26"/>
      <c r="C803" s="26"/>
      <c r="D803" s="26"/>
      <c r="E803" s="26"/>
      <c r="F803" s="26"/>
      <c r="G803" s="26"/>
      <c r="H803" s="26"/>
      <c r="I803" s="26"/>
      <c r="J803" s="26"/>
      <c r="K803" s="26"/>
      <c r="L803" s="26"/>
      <c r="M803" s="27"/>
      <c r="N803" s="26"/>
      <c r="O803" s="26"/>
      <c r="P803" s="26"/>
      <c r="Q803" s="26"/>
      <c r="R803" s="26"/>
      <c r="S803" s="26"/>
      <c r="T803" s="26"/>
      <c r="U803" s="26"/>
      <c r="V803" s="26"/>
      <c r="W803" s="26"/>
      <c r="X803" s="26"/>
      <c r="Y803" s="26"/>
    </row>
    <row r="804" spans="1:25" ht="15.75" customHeight="1">
      <c r="A804" s="26"/>
      <c r="B804" s="26"/>
      <c r="C804" s="26"/>
      <c r="D804" s="26"/>
      <c r="E804" s="26"/>
      <c r="F804" s="26"/>
      <c r="G804" s="26"/>
      <c r="H804" s="26"/>
      <c r="I804" s="26"/>
      <c r="J804" s="26"/>
      <c r="K804" s="26"/>
      <c r="L804" s="26"/>
      <c r="M804" s="27"/>
      <c r="N804" s="26"/>
      <c r="O804" s="26"/>
      <c r="P804" s="26"/>
      <c r="Q804" s="26"/>
      <c r="R804" s="26"/>
      <c r="S804" s="26"/>
      <c r="T804" s="26"/>
      <c r="U804" s="26"/>
      <c r="V804" s="26"/>
      <c r="W804" s="26"/>
      <c r="X804" s="26"/>
      <c r="Y804" s="26"/>
    </row>
    <row r="805" spans="1:25" ht="15.75" customHeight="1">
      <c r="A805" s="26"/>
      <c r="B805" s="26"/>
      <c r="C805" s="26"/>
      <c r="D805" s="26"/>
      <c r="E805" s="26"/>
      <c r="F805" s="26"/>
      <c r="G805" s="26"/>
      <c r="H805" s="26"/>
      <c r="I805" s="26"/>
      <c r="J805" s="26"/>
      <c r="K805" s="26"/>
      <c r="L805" s="26"/>
      <c r="M805" s="27"/>
      <c r="N805" s="26"/>
      <c r="O805" s="26"/>
      <c r="P805" s="26"/>
      <c r="Q805" s="26"/>
      <c r="R805" s="26"/>
      <c r="S805" s="26"/>
      <c r="T805" s="26"/>
      <c r="U805" s="26"/>
      <c r="V805" s="26"/>
      <c r="W805" s="26"/>
      <c r="X805" s="26"/>
      <c r="Y805" s="26"/>
    </row>
    <row r="806" spans="1:25" ht="15.75" customHeight="1">
      <c r="A806" s="26"/>
      <c r="B806" s="26"/>
      <c r="C806" s="26"/>
      <c r="D806" s="26"/>
      <c r="E806" s="26"/>
      <c r="F806" s="26"/>
      <c r="G806" s="26"/>
      <c r="H806" s="26"/>
      <c r="I806" s="26"/>
      <c r="J806" s="26"/>
      <c r="K806" s="26"/>
      <c r="L806" s="26"/>
      <c r="M806" s="27"/>
      <c r="N806" s="26"/>
      <c r="O806" s="26"/>
      <c r="P806" s="26"/>
      <c r="Q806" s="26"/>
      <c r="R806" s="26"/>
      <c r="S806" s="26"/>
      <c r="T806" s="26"/>
      <c r="U806" s="26"/>
      <c r="V806" s="26"/>
      <c r="W806" s="26"/>
      <c r="X806" s="26"/>
      <c r="Y806" s="26"/>
    </row>
    <row r="807" spans="1:25" ht="15.75" customHeight="1">
      <c r="A807" s="26"/>
      <c r="B807" s="26"/>
      <c r="C807" s="26"/>
      <c r="D807" s="26"/>
      <c r="E807" s="26"/>
      <c r="F807" s="26"/>
      <c r="G807" s="26"/>
      <c r="H807" s="26"/>
      <c r="I807" s="26"/>
      <c r="J807" s="26"/>
      <c r="K807" s="26"/>
      <c r="L807" s="26"/>
      <c r="M807" s="27"/>
      <c r="N807" s="26"/>
      <c r="O807" s="26"/>
      <c r="P807" s="26"/>
      <c r="Q807" s="26"/>
      <c r="R807" s="26"/>
      <c r="S807" s="26"/>
      <c r="T807" s="26"/>
      <c r="U807" s="26"/>
      <c r="V807" s="26"/>
      <c r="W807" s="26"/>
      <c r="X807" s="26"/>
      <c r="Y807" s="26"/>
    </row>
    <row r="808" spans="1:25" ht="15.75" customHeight="1">
      <c r="A808" s="26"/>
      <c r="B808" s="26"/>
      <c r="C808" s="26"/>
      <c r="D808" s="26"/>
      <c r="E808" s="26"/>
      <c r="F808" s="26"/>
      <c r="G808" s="26"/>
      <c r="H808" s="26"/>
      <c r="I808" s="26"/>
      <c r="J808" s="26"/>
      <c r="K808" s="26"/>
      <c r="L808" s="26"/>
      <c r="M808" s="27"/>
      <c r="N808" s="26"/>
      <c r="O808" s="26"/>
      <c r="P808" s="26"/>
      <c r="Q808" s="26"/>
      <c r="R808" s="26"/>
      <c r="S808" s="26"/>
      <c r="T808" s="26"/>
      <c r="U808" s="26"/>
      <c r="V808" s="26"/>
      <c r="W808" s="26"/>
      <c r="X808" s="26"/>
      <c r="Y808" s="26"/>
    </row>
    <row r="809" spans="1:25" ht="15.75" customHeight="1">
      <c r="A809" s="26"/>
      <c r="B809" s="26"/>
      <c r="C809" s="26"/>
      <c r="D809" s="26"/>
      <c r="E809" s="26"/>
      <c r="F809" s="26"/>
      <c r="G809" s="26"/>
      <c r="H809" s="26"/>
      <c r="I809" s="26"/>
      <c r="J809" s="26"/>
      <c r="K809" s="26"/>
      <c r="L809" s="26"/>
      <c r="M809" s="27"/>
      <c r="N809" s="26"/>
      <c r="O809" s="26"/>
      <c r="P809" s="26"/>
      <c r="Q809" s="26"/>
      <c r="R809" s="26"/>
      <c r="S809" s="26"/>
      <c r="T809" s="26"/>
      <c r="U809" s="26"/>
      <c r="V809" s="26"/>
      <c r="W809" s="26"/>
      <c r="X809" s="26"/>
      <c r="Y809" s="26"/>
    </row>
    <row r="810" spans="1:25" ht="15.75" customHeight="1">
      <c r="A810" s="26"/>
      <c r="B810" s="26"/>
      <c r="C810" s="26"/>
      <c r="D810" s="26"/>
      <c r="E810" s="26"/>
      <c r="F810" s="26"/>
      <c r="G810" s="26"/>
      <c r="H810" s="26"/>
      <c r="I810" s="26"/>
      <c r="J810" s="26"/>
      <c r="K810" s="26"/>
      <c r="L810" s="26"/>
      <c r="M810" s="27"/>
      <c r="N810" s="26"/>
      <c r="O810" s="26"/>
      <c r="P810" s="26"/>
      <c r="Q810" s="26"/>
      <c r="R810" s="26"/>
      <c r="S810" s="26"/>
      <c r="T810" s="26"/>
      <c r="U810" s="26"/>
      <c r="V810" s="26"/>
      <c r="W810" s="26"/>
      <c r="X810" s="26"/>
      <c r="Y810" s="26"/>
    </row>
    <row r="811" spans="1:25" ht="15.75" customHeight="1">
      <c r="A811" s="26"/>
      <c r="B811" s="26"/>
      <c r="C811" s="26"/>
      <c r="D811" s="26"/>
      <c r="E811" s="26"/>
      <c r="F811" s="26"/>
      <c r="G811" s="26"/>
      <c r="H811" s="26"/>
      <c r="I811" s="26"/>
      <c r="J811" s="26"/>
      <c r="K811" s="26"/>
      <c r="L811" s="26"/>
      <c r="M811" s="27"/>
      <c r="N811" s="26"/>
      <c r="O811" s="26"/>
      <c r="P811" s="26"/>
      <c r="Q811" s="26"/>
      <c r="R811" s="26"/>
      <c r="S811" s="26"/>
      <c r="T811" s="26"/>
      <c r="U811" s="26"/>
      <c r="V811" s="26"/>
      <c r="W811" s="26"/>
      <c r="X811" s="26"/>
      <c r="Y811" s="26"/>
    </row>
    <row r="812" spans="1:25" ht="15.75" customHeight="1">
      <c r="A812" s="26"/>
      <c r="B812" s="26"/>
      <c r="C812" s="26"/>
      <c r="D812" s="26"/>
      <c r="E812" s="26"/>
      <c r="F812" s="26"/>
      <c r="G812" s="26"/>
      <c r="H812" s="26"/>
      <c r="I812" s="26"/>
      <c r="J812" s="26"/>
      <c r="K812" s="26"/>
      <c r="L812" s="26"/>
      <c r="M812" s="27"/>
      <c r="N812" s="26"/>
      <c r="O812" s="26"/>
      <c r="P812" s="26"/>
      <c r="Q812" s="26"/>
      <c r="R812" s="26"/>
      <c r="S812" s="26"/>
      <c r="T812" s="26"/>
      <c r="U812" s="26"/>
      <c r="V812" s="26"/>
      <c r="W812" s="26"/>
      <c r="X812" s="26"/>
      <c r="Y812" s="26"/>
    </row>
    <row r="813" spans="1:25" ht="15.75" customHeight="1">
      <c r="A813" s="26"/>
      <c r="B813" s="26"/>
      <c r="C813" s="26"/>
      <c r="D813" s="26"/>
      <c r="E813" s="26"/>
      <c r="F813" s="26"/>
      <c r="G813" s="26"/>
      <c r="H813" s="26"/>
      <c r="I813" s="26"/>
      <c r="J813" s="26"/>
      <c r="K813" s="26"/>
      <c r="L813" s="26"/>
      <c r="M813" s="27"/>
      <c r="N813" s="26"/>
      <c r="O813" s="26"/>
      <c r="P813" s="26"/>
      <c r="Q813" s="26"/>
      <c r="R813" s="26"/>
      <c r="S813" s="26"/>
      <c r="T813" s="26"/>
      <c r="U813" s="26"/>
      <c r="V813" s="26"/>
      <c r="W813" s="26"/>
      <c r="X813" s="26"/>
      <c r="Y813" s="26"/>
    </row>
    <row r="814" spans="1:25" ht="15.75" customHeight="1">
      <c r="A814" s="26"/>
      <c r="B814" s="26"/>
      <c r="C814" s="26"/>
      <c r="D814" s="26"/>
      <c r="E814" s="26"/>
      <c r="F814" s="26"/>
      <c r="G814" s="26"/>
      <c r="H814" s="26"/>
      <c r="I814" s="26"/>
      <c r="J814" s="26"/>
      <c r="K814" s="26"/>
      <c r="L814" s="26"/>
      <c r="M814" s="27"/>
      <c r="N814" s="26"/>
      <c r="O814" s="26"/>
      <c r="P814" s="26"/>
      <c r="Q814" s="26"/>
      <c r="R814" s="26"/>
      <c r="S814" s="26"/>
      <c r="T814" s="26"/>
      <c r="U814" s="26"/>
      <c r="V814" s="26"/>
      <c r="W814" s="26"/>
      <c r="X814" s="26"/>
      <c r="Y814" s="26"/>
    </row>
    <row r="815" spans="1:25" ht="15.75" customHeight="1">
      <c r="A815" s="26"/>
      <c r="B815" s="26"/>
      <c r="C815" s="26"/>
      <c r="D815" s="26"/>
      <c r="E815" s="26"/>
      <c r="F815" s="26"/>
      <c r="G815" s="26"/>
      <c r="H815" s="26"/>
      <c r="I815" s="26"/>
      <c r="J815" s="26"/>
      <c r="K815" s="26"/>
      <c r="L815" s="26"/>
      <c r="M815" s="27"/>
      <c r="N815" s="26"/>
      <c r="O815" s="26"/>
      <c r="P815" s="26"/>
      <c r="Q815" s="26"/>
      <c r="R815" s="26"/>
      <c r="S815" s="26"/>
      <c r="T815" s="26"/>
      <c r="U815" s="26"/>
      <c r="V815" s="26"/>
      <c r="W815" s="26"/>
      <c r="X815" s="26"/>
      <c r="Y815" s="26"/>
    </row>
    <row r="816" spans="1:25" ht="15.75" customHeight="1">
      <c r="A816" s="26"/>
      <c r="B816" s="26"/>
      <c r="C816" s="26"/>
      <c r="D816" s="26"/>
      <c r="E816" s="26"/>
      <c r="F816" s="26"/>
      <c r="G816" s="26"/>
      <c r="H816" s="26"/>
      <c r="I816" s="26"/>
      <c r="J816" s="26"/>
      <c r="K816" s="26"/>
      <c r="L816" s="26"/>
      <c r="M816" s="27"/>
      <c r="N816" s="26"/>
      <c r="O816" s="26"/>
      <c r="P816" s="26"/>
      <c r="Q816" s="26"/>
      <c r="R816" s="26"/>
      <c r="S816" s="26"/>
      <c r="T816" s="26"/>
      <c r="U816" s="26"/>
      <c r="V816" s="26"/>
      <c r="W816" s="26"/>
      <c r="X816" s="26"/>
      <c r="Y816" s="26"/>
    </row>
    <row r="817" spans="1:25" ht="15.75" customHeight="1">
      <c r="A817" s="26"/>
      <c r="B817" s="26"/>
      <c r="C817" s="26"/>
      <c r="D817" s="26"/>
      <c r="E817" s="26"/>
      <c r="F817" s="26"/>
      <c r="G817" s="26"/>
      <c r="H817" s="26"/>
      <c r="I817" s="26"/>
      <c r="J817" s="26"/>
      <c r="K817" s="26"/>
      <c r="L817" s="26"/>
      <c r="M817" s="27"/>
      <c r="N817" s="26"/>
      <c r="O817" s="26"/>
      <c r="P817" s="26"/>
      <c r="Q817" s="26"/>
      <c r="R817" s="26"/>
      <c r="S817" s="26"/>
      <c r="T817" s="26"/>
      <c r="U817" s="26"/>
      <c r="V817" s="26"/>
      <c r="W817" s="26"/>
      <c r="X817" s="26"/>
      <c r="Y817" s="26"/>
    </row>
    <row r="818" spans="1:25" ht="15.75" customHeight="1">
      <c r="A818" s="26"/>
      <c r="B818" s="26"/>
      <c r="C818" s="26"/>
      <c r="D818" s="26"/>
      <c r="E818" s="26"/>
      <c r="F818" s="26"/>
      <c r="G818" s="26"/>
      <c r="H818" s="26"/>
      <c r="I818" s="26"/>
      <c r="J818" s="26"/>
      <c r="K818" s="26"/>
      <c r="L818" s="26"/>
      <c r="M818" s="27"/>
      <c r="N818" s="26"/>
      <c r="O818" s="26"/>
      <c r="P818" s="26"/>
      <c r="Q818" s="26"/>
      <c r="R818" s="26"/>
      <c r="S818" s="26"/>
      <c r="T818" s="26"/>
      <c r="U818" s="26"/>
      <c r="V818" s="26"/>
      <c r="W818" s="26"/>
      <c r="X818" s="26"/>
      <c r="Y818" s="26"/>
    </row>
    <row r="819" spans="1:25" ht="15.75" customHeight="1">
      <c r="A819" s="26"/>
      <c r="B819" s="26"/>
      <c r="C819" s="26"/>
      <c r="D819" s="26"/>
      <c r="E819" s="26"/>
      <c r="F819" s="26"/>
      <c r="G819" s="26"/>
      <c r="H819" s="26"/>
      <c r="I819" s="26"/>
      <c r="J819" s="26"/>
      <c r="K819" s="26"/>
      <c r="L819" s="26"/>
      <c r="M819" s="27"/>
      <c r="N819" s="26"/>
      <c r="O819" s="26"/>
      <c r="P819" s="26"/>
      <c r="Q819" s="26"/>
      <c r="R819" s="26"/>
      <c r="S819" s="26"/>
      <c r="T819" s="26"/>
      <c r="U819" s="26"/>
      <c r="V819" s="26"/>
      <c r="W819" s="26"/>
      <c r="X819" s="26"/>
      <c r="Y819" s="26"/>
    </row>
    <row r="820" spans="1:25" ht="15.75" customHeight="1">
      <c r="A820" s="26"/>
      <c r="B820" s="26"/>
      <c r="C820" s="26"/>
      <c r="D820" s="26"/>
      <c r="E820" s="26"/>
      <c r="F820" s="26"/>
      <c r="G820" s="26"/>
      <c r="H820" s="26"/>
      <c r="I820" s="26"/>
      <c r="J820" s="26"/>
      <c r="K820" s="26"/>
      <c r="L820" s="26"/>
      <c r="M820" s="27"/>
      <c r="N820" s="26"/>
      <c r="O820" s="26"/>
      <c r="P820" s="26"/>
      <c r="Q820" s="26"/>
      <c r="R820" s="26"/>
      <c r="S820" s="26"/>
      <c r="T820" s="26"/>
      <c r="U820" s="26"/>
      <c r="V820" s="26"/>
      <c r="W820" s="26"/>
      <c r="X820" s="26"/>
      <c r="Y820" s="26"/>
    </row>
    <row r="821" spans="1:25" ht="15.75" customHeight="1">
      <c r="A821" s="26"/>
      <c r="B821" s="26"/>
      <c r="C821" s="26"/>
      <c r="D821" s="26"/>
      <c r="E821" s="26"/>
      <c r="F821" s="26"/>
      <c r="G821" s="26"/>
      <c r="H821" s="26"/>
      <c r="I821" s="26"/>
      <c r="J821" s="26"/>
      <c r="K821" s="26"/>
      <c r="L821" s="26"/>
      <c r="M821" s="27"/>
      <c r="N821" s="26"/>
      <c r="O821" s="26"/>
      <c r="P821" s="26"/>
      <c r="Q821" s="26"/>
      <c r="R821" s="26"/>
      <c r="S821" s="26"/>
      <c r="T821" s="26"/>
      <c r="U821" s="26"/>
      <c r="V821" s="26"/>
      <c r="W821" s="26"/>
      <c r="X821" s="26"/>
      <c r="Y821" s="26"/>
    </row>
    <row r="822" spans="1:25" ht="15.75" customHeight="1">
      <c r="A822" s="26"/>
      <c r="B822" s="26"/>
      <c r="C822" s="26"/>
      <c r="D822" s="26"/>
      <c r="E822" s="26"/>
      <c r="F822" s="26"/>
      <c r="G822" s="26"/>
      <c r="H822" s="26"/>
      <c r="I822" s="26"/>
      <c r="J822" s="26"/>
      <c r="K822" s="26"/>
      <c r="L822" s="26"/>
      <c r="M822" s="27"/>
      <c r="N822" s="26"/>
      <c r="O822" s="26"/>
      <c r="P822" s="26"/>
      <c r="Q822" s="26"/>
      <c r="R822" s="26"/>
      <c r="S822" s="26"/>
      <c r="T822" s="26"/>
      <c r="U822" s="26"/>
      <c r="V822" s="26"/>
      <c r="W822" s="26"/>
      <c r="X822" s="26"/>
      <c r="Y822" s="26"/>
    </row>
    <row r="823" spans="1:25" ht="15.75" customHeight="1">
      <c r="A823" s="26"/>
      <c r="B823" s="26"/>
      <c r="C823" s="26"/>
      <c r="D823" s="26"/>
      <c r="E823" s="26"/>
      <c r="F823" s="26"/>
      <c r="G823" s="26"/>
      <c r="H823" s="26"/>
      <c r="I823" s="26"/>
      <c r="J823" s="26"/>
      <c r="K823" s="26"/>
      <c r="L823" s="26"/>
      <c r="M823" s="27"/>
      <c r="N823" s="26"/>
      <c r="O823" s="26"/>
      <c r="P823" s="26"/>
      <c r="Q823" s="26"/>
      <c r="R823" s="26"/>
      <c r="S823" s="26"/>
      <c r="T823" s="26"/>
      <c r="U823" s="26"/>
      <c r="V823" s="26"/>
      <c r="W823" s="26"/>
      <c r="X823" s="26"/>
      <c r="Y823" s="26"/>
    </row>
    <row r="824" spans="1:25" ht="15.75" customHeight="1">
      <c r="A824" s="26"/>
      <c r="B824" s="26"/>
      <c r="C824" s="26"/>
      <c r="D824" s="26"/>
      <c r="E824" s="26"/>
      <c r="F824" s="26"/>
      <c r="G824" s="26"/>
      <c r="H824" s="26"/>
      <c r="I824" s="26"/>
      <c r="J824" s="26"/>
      <c r="K824" s="26"/>
      <c r="L824" s="26"/>
      <c r="M824" s="27"/>
      <c r="N824" s="26"/>
      <c r="O824" s="26"/>
      <c r="P824" s="26"/>
      <c r="Q824" s="26"/>
      <c r="R824" s="26"/>
      <c r="S824" s="26"/>
      <c r="T824" s="26"/>
      <c r="U824" s="26"/>
      <c r="V824" s="26"/>
      <c r="W824" s="26"/>
      <c r="X824" s="26"/>
      <c r="Y824" s="26"/>
    </row>
    <row r="825" spans="1:25" ht="15.75" customHeight="1">
      <c r="A825" s="26"/>
      <c r="B825" s="26"/>
      <c r="C825" s="26"/>
      <c r="D825" s="26"/>
      <c r="E825" s="26"/>
      <c r="F825" s="26"/>
      <c r="G825" s="26"/>
      <c r="H825" s="26"/>
      <c r="I825" s="26"/>
      <c r="J825" s="26"/>
      <c r="K825" s="26"/>
      <c r="L825" s="26"/>
      <c r="M825" s="27"/>
      <c r="N825" s="26"/>
      <c r="O825" s="26"/>
      <c r="P825" s="26"/>
      <c r="Q825" s="26"/>
      <c r="R825" s="26"/>
      <c r="S825" s="26"/>
      <c r="T825" s="26"/>
      <c r="U825" s="26"/>
      <c r="V825" s="26"/>
      <c r="W825" s="26"/>
      <c r="X825" s="26"/>
      <c r="Y825" s="26"/>
    </row>
    <row r="826" spans="1:25" ht="15.75" customHeight="1">
      <c r="A826" s="26"/>
      <c r="B826" s="26"/>
      <c r="C826" s="26"/>
      <c r="D826" s="26"/>
      <c r="E826" s="26"/>
      <c r="F826" s="26"/>
      <c r="G826" s="26"/>
      <c r="H826" s="26"/>
      <c r="I826" s="26"/>
      <c r="J826" s="26"/>
      <c r="K826" s="26"/>
      <c r="L826" s="26"/>
      <c r="M826" s="27"/>
      <c r="N826" s="26"/>
      <c r="O826" s="26"/>
      <c r="P826" s="26"/>
      <c r="Q826" s="26"/>
      <c r="R826" s="26"/>
      <c r="S826" s="26"/>
      <c r="T826" s="26"/>
      <c r="U826" s="26"/>
      <c r="V826" s="26"/>
      <c r="W826" s="26"/>
      <c r="X826" s="26"/>
      <c r="Y826" s="26"/>
    </row>
    <row r="827" spans="1:25" ht="15.75" customHeight="1">
      <c r="A827" s="26"/>
      <c r="B827" s="26"/>
      <c r="C827" s="26"/>
      <c r="D827" s="26"/>
      <c r="E827" s="26"/>
      <c r="F827" s="26"/>
      <c r="G827" s="26"/>
      <c r="H827" s="26"/>
      <c r="I827" s="26"/>
      <c r="J827" s="26"/>
      <c r="K827" s="26"/>
      <c r="L827" s="26"/>
      <c r="M827" s="27"/>
      <c r="N827" s="26"/>
      <c r="O827" s="26"/>
      <c r="P827" s="26"/>
      <c r="Q827" s="26"/>
      <c r="R827" s="26"/>
      <c r="S827" s="26"/>
      <c r="T827" s="26"/>
      <c r="U827" s="26"/>
      <c r="V827" s="26"/>
      <c r="W827" s="26"/>
      <c r="X827" s="26"/>
      <c r="Y827" s="26"/>
    </row>
    <row r="828" spans="1:25" ht="15.75" customHeight="1">
      <c r="A828" s="26"/>
      <c r="B828" s="26"/>
      <c r="C828" s="26"/>
      <c r="D828" s="26"/>
      <c r="E828" s="26"/>
      <c r="F828" s="26"/>
      <c r="G828" s="26"/>
      <c r="H828" s="26"/>
      <c r="I828" s="26"/>
      <c r="J828" s="26"/>
      <c r="K828" s="26"/>
      <c r="L828" s="26"/>
      <c r="M828" s="27"/>
      <c r="N828" s="26"/>
      <c r="O828" s="26"/>
      <c r="P828" s="26"/>
      <c r="Q828" s="26"/>
      <c r="R828" s="26"/>
      <c r="S828" s="26"/>
      <c r="T828" s="26"/>
      <c r="U828" s="26"/>
      <c r="V828" s="26"/>
      <c r="W828" s="26"/>
      <c r="X828" s="26"/>
      <c r="Y828" s="26"/>
    </row>
    <row r="829" spans="1:25" ht="15.75" customHeight="1">
      <c r="A829" s="26"/>
      <c r="B829" s="26"/>
      <c r="C829" s="26"/>
      <c r="D829" s="26"/>
      <c r="E829" s="26"/>
      <c r="F829" s="26"/>
      <c r="G829" s="26"/>
      <c r="H829" s="26"/>
      <c r="I829" s="26"/>
      <c r="J829" s="26"/>
      <c r="K829" s="26"/>
      <c r="L829" s="26"/>
      <c r="M829" s="27"/>
      <c r="N829" s="26"/>
      <c r="O829" s="26"/>
      <c r="P829" s="26"/>
      <c r="Q829" s="26"/>
      <c r="R829" s="26"/>
      <c r="S829" s="26"/>
      <c r="T829" s="26"/>
      <c r="U829" s="26"/>
      <c r="V829" s="26"/>
      <c r="W829" s="26"/>
      <c r="X829" s="26"/>
      <c r="Y829" s="26"/>
    </row>
    <row r="830" spans="1:25" ht="15.75" customHeight="1">
      <c r="A830" s="26"/>
      <c r="B830" s="26"/>
      <c r="C830" s="26"/>
      <c r="D830" s="26"/>
      <c r="E830" s="26"/>
      <c r="F830" s="26"/>
      <c r="G830" s="26"/>
      <c r="H830" s="26"/>
      <c r="I830" s="26"/>
      <c r="J830" s="26"/>
      <c r="K830" s="26"/>
      <c r="L830" s="26"/>
      <c r="M830" s="27"/>
      <c r="N830" s="26"/>
      <c r="O830" s="26"/>
      <c r="P830" s="26"/>
      <c r="Q830" s="26"/>
      <c r="R830" s="26"/>
      <c r="S830" s="26"/>
      <c r="T830" s="26"/>
      <c r="U830" s="26"/>
      <c r="V830" s="26"/>
      <c r="W830" s="26"/>
      <c r="X830" s="26"/>
      <c r="Y830" s="26"/>
    </row>
    <row r="831" spans="1:25" ht="15.75" customHeight="1">
      <c r="A831" s="26"/>
      <c r="B831" s="26"/>
      <c r="C831" s="26"/>
      <c r="D831" s="26"/>
      <c r="E831" s="26"/>
      <c r="F831" s="26"/>
      <c r="G831" s="26"/>
      <c r="H831" s="26"/>
      <c r="I831" s="26"/>
      <c r="J831" s="26"/>
      <c r="K831" s="26"/>
      <c r="L831" s="26"/>
      <c r="M831" s="27"/>
      <c r="N831" s="26"/>
      <c r="O831" s="26"/>
      <c r="P831" s="26"/>
      <c r="Q831" s="26"/>
      <c r="R831" s="26"/>
      <c r="S831" s="26"/>
      <c r="T831" s="26"/>
      <c r="U831" s="26"/>
      <c r="V831" s="26"/>
      <c r="W831" s="26"/>
      <c r="X831" s="26"/>
      <c r="Y831" s="26"/>
    </row>
    <row r="832" spans="1:25" ht="15.75" customHeight="1">
      <c r="A832" s="26"/>
      <c r="B832" s="26"/>
      <c r="C832" s="26"/>
      <c r="D832" s="26"/>
      <c r="E832" s="26"/>
      <c r="F832" s="26"/>
      <c r="G832" s="26"/>
      <c r="H832" s="26"/>
      <c r="I832" s="26"/>
      <c r="J832" s="26"/>
      <c r="K832" s="26"/>
      <c r="L832" s="26"/>
      <c r="M832" s="27"/>
      <c r="N832" s="26"/>
      <c r="O832" s="26"/>
      <c r="P832" s="26"/>
      <c r="Q832" s="26"/>
      <c r="R832" s="26"/>
      <c r="S832" s="26"/>
      <c r="T832" s="26"/>
      <c r="U832" s="26"/>
      <c r="V832" s="26"/>
      <c r="W832" s="26"/>
      <c r="X832" s="26"/>
      <c r="Y832" s="26"/>
    </row>
    <row r="833" spans="1:25" ht="15.75" customHeight="1">
      <c r="A833" s="26"/>
      <c r="B833" s="26"/>
      <c r="C833" s="26"/>
      <c r="D833" s="26"/>
      <c r="E833" s="26"/>
      <c r="F833" s="26"/>
      <c r="G833" s="26"/>
      <c r="H833" s="26"/>
      <c r="I833" s="26"/>
      <c r="J833" s="26"/>
      <c r="K833" s="26"/>
      <c r="L833" s="26"/>
      <c r="M833" s="27"/>
      <c r="N833" s="26"/>
      <c r="O833" s="26"/>
      <c r="P833" s="26"/>
      <c r="Q833" s="26"/>
      <c r="R833" s="26"/>
      <c r="S833" s="26"/>
      <c r="T833" s="26"/>
      <c r="U833" s="26"/>
      <c r="V833" s="26"/>
      <c r="W833" s="26"/>
      <c r="X833" s="26"/>
      <c r="Y833" s="26"/>
    </row>
    <row r="834" spans="1:25" ht="15.75" customHeight="1">
      <c r="A834" s="26"/>
      <c r="B834" s="26"/>
      <c r="C834" s="26"/>
      <c r="D834" s="26"/>
      <c r="E834" s="26"/>
      <c r="F834" s="26"/>
      <c r="G834" s="26"/>
      <c r="H834" s="26"/>
      <c r="I834" s="26"/>
      <c r="J834" s="26"/>
      <c r="K834" s="26"/>
      <c r="L834" s="26"/>
      <c r="M834" s="27"/>
      <c r="N834" s="26"/>
      <c r="O834" s="26"/>
      <c r="P834" s="26"/>
      <c r="Q834" s="26"/>
      <c r="R834" s="26"/>
      <c r="S834" s="26"/>
      <c r="T834" s="26"/>
      <c r="U834" s="26"/>
      <c r="V834" s="26"/>
      <c r="W834" s="26"/>
      <c r="X834" s="26"/>
      <c r="Y834" s="26"/>
    </row>
    <row r="835" spans="1:25" ht="15.75" customHeight="1">
      <c r="A835" s="26"/>
      <c r="B835" s="26"/>
      <c r="C835" s="26"/>
      <c r="D835" s="26"/>
      <c r="E835" s="26"/>
      <c r="F835" s="26"/>
      <c r="G835" s="26"/>
      <c r="H835" s="26"/>
      <c r="I835" s="26"/>
      <c r="J835" s="26"/>
      <c r="K835" s="26"/>
      <c r="L835" s="26"/>
      <c r="M835" s="27"/>
      <c r="N835" s="26"/>
      <c r="O835" s="26"/>
      <c r="P835" s="26"/>
      <c r="Q835" s="26"/>
      <c r="R835" s="26"/>
      <c r="S835" s="26"/>
      <c r="T835" s="26"/>
      <c r="U835" s="26"/>
      <c r="V835" s="26"/>
      <c r="W835" s="26"/>
      <c r="X835" s="26"/>
      <c r="Y835" s="26"/>
    </row>
    <row r="836" spans="1:25" ht="15.75" customHeight="1">
      <c r="A836" s="26"/>
      <c r="B836" s="26"/>
      <c r="C836" s="26"/>
      <c r="D836" s="26"/>
      <c r="E836" s="26"/>
      <c r="F836" s="26"/>
      <c r="G836" s="26"/>
      <c r="H836" s="26"/>
      <c r="I836" s="26"/>
      <c r="J836" s="26"/>
      <c r="K836" s="26"/>
      <c r="L836" s="26"/>
      <c r="M836" s="27"/>
      <c r="N836" s="26"/>
      <c r="O836" s="26"/>
      <c r="P836" s="26"/>
      <c r="Q836" s="26"/>
      <c r="R836" s="26"/>
      <c r="S836" s="26"/>
      <c r="T836" s="26"/>
      <c r="U836" s="26"/>
      <c r="V836" s="26"/>
      <c r="W836" s="26"/>
      <c r="X836" s="26"/>
      <c r="Y836" s="26"/>
    </row>
    <row r="837" spans="1:25" ht="15.75" customHeight="1">
      <c r="A837" s="26"/>
      <c r="B837" s="26"/>
      <c r="C837" s="26"/>
      <c r="D837" s="26"/>
      <c r="E837" s="26"/>
      <c r="F837" s="26"/>
      <c r="G837" s="26"/>
      <c r="H837" s="26"/>
      <c r="I837" s="26"/>
      <c r="J837" s="26"/>
      <c r="K837" s="26"/>
      <c r="L837" s="26"/>
      <c r="M837" s="27"/>
      <c r="N837" s="26"/>
      <c r="O837" s="26"/>
      <c r="P837" s="26"/>
      <c r="Q837" s="26"/>
      <c r="R837" s="26"/>
      <c r="S837" s="26"/>
      <c r="T837" s="26"/>
      <c r="U837" s="26"/>
      <c r="V837" s="26"/>
      <c r="W837" s="26"/>
      <c r="X837" s="26"/>
      <c r="Y837" s="26"/>
    </row>
    <row r="838" spans="1:25" ht="15.75" customHeight="1">
      <c r="A838" s="26"/>
      <c r="B838" s="26"/>
      <c r="C838" s="26"/>
      <c r="D838" s="26"/>
      <c r="E838" s="26"/>
      <c r="F838" s="26"/>
      <c r="G838" s="26"/>
      <c r="H838" s="26"/>
      <c r="I838" s="26"/>
      <c r="J838" s="26"/>
      <c r="K838" s="26"/>
      <c r="L838" s="26"/>
      <c r="M838" s="27"/>
      <c r="N838" s="26"/>
      <c r="O838" s="26"/>
      <c r="P838" s="26"/>
      <c r="Q838" s="26"/>
      <c r="R838" s="26"/>
      <c r="S838" s="26"/>
      <c r="T838" s="26"/>
      <c r="U838" s="26"/>
      <c r="V838" s="26"/>
      <c r="W838" s="26"/>
      <c r="X838" s="26"/>
      <c r="Y838" s="26"/>
    </row>
    <row r="839" spans="1:25" ht="15.75" customHeight="1">
      <c r="A839" s="26"/>
      <c r="B839" s="26"/>
      <c r="C839" s="26"/>
      <c r="D839" s="26"/>
      <c r="E839" s="26"/>
      <c r="F839" s="26"/>
      <c r="G839" s="26"/>
      <c r="H839" s="26"/>
      <c r="I839" s="26"/>
      <c r="J839" s="26"/>
      <c r="K839" s="26"/>
      <c r="L839" s="26"/>
      <c r="M839" s="27"/>
      <c r="N839" s="26"/>
      <c r="O839" s="26"/>
      <c r="P839" s="26"/>
      <c r="Q839" s="26"/>
      <c r="R839" s="26"/>
      <c r="S839" s="26"/>
      <c r="T839" s="26"/>
      <c r="U839" s="26"/>
      <c r="V839" s="26"/>
      <c r="W839" s="26"/>
      <c r="X839" s="26"/>
      <c r="Y839" s="26"/>
    </row>
    <row r="840" spans="1:25" ht="15.75" customHeight="1">
      <c r="A840" s="26"/>
      <c r="B840" s="26"/>
      <c r="C840" s="26"/>
      <c r="D840" s="26"/>
      <c r="E840" s="26"/>
      <c r="F840" s="26"/>
      <c r="G840" s="26"/>
      <c r="H840" s="26"/>
      <c r="I840" s="26"/>
      <c r="J840" s="26"/>
      <c r="K840" s="26"/>
      <c r="L840" s="26"/>
      <c r="M840" s="27"/>
      <c r="N840" s="26"/>
      <c r="O840" s="26"/>
      <c r="P840" s="26"/>
      <c r="Q840" s="26"/>
      <c r="R840" s="26"/>
      <c r="S840" s="26"/>
      <c r="T840" s="26"/>
      <c r="U840" s="26"/>
      <c r="V840" s="26"/>
      <c r="W840" s="26"/>
      <c r="X840" s="26"/>
      <c r="Y840" s="26"/>
    </row>
    <row r="841" spans="1:25" ht="15.75" customHeight="1">
      <c r="A841" s="26"/>
      <c r="B841" s="26"/>
      <c r="C841" s="26"/>
      <c r="D841" s="26"/>
      <c r="E841" s="26"/>
      <c r="F841" s="26"/>
      <c r="G841" s="26"/>
      <c r="H841" s="26"/>
      <c r="I841" s="26"/>
      <c r="J841" s="26"/>
      <c r="K841" s="26"/>
      <c r="L841" s="26"/>
      <c r="M841" s="27"/>
      <c r="N841" s="26"/>
      <c r="O841" s="26"/>
      <c r="P841" s="26"/>
      <c r="Q841" s="26"/>
      <c r="R841" s="26"/>
      <c r="S841" s="26"/>
      <c r="T841" s="26"/>
      <c r="U841" s="26"/>
      <c r="V841" s="26"/>
      <c r="W841" s="26"/>
      <c r="X841" s="26"/>
      <c r="Y841" s="26"/>
    </row>
    <row r="842" spans="1:25" ht="15.75" customHeight="1">
      <c r="A842" s="26"/>
      <c r="B842" s="26"/>
      <c r="C842" s="26"/>
      <c r="D842" s="26"/>
      <c r="E842" s="26"/>
      <c r="F842" s="26"/>
      <c r="G842" s="26"/>
      <c r="H842" s="26"/>
      <c r="I842" s="26"/>
      <c r="J842" s="26"/>
      <c r="K842" s="26"/>
      <c r="L842" s="26"/>
      <c r="M842" s="27"/>
      <c r="N842" s="26"/>
      <c r="O842" s="26"/>
      <c r="P842" s="26"/>
      <c r="Q842" s="26"/>
      <c r="R842" s="26"/>
      <c r="S842" s="26"/>
      <c r="T842" s="26"/>
      <c r="U842" s="26"/>
      <c r="V842" s="26"/>
      <c r="W842" s="26"/>
      <c r="X842" s="26"/>
      <c r="Y842" s="26"/>
    </row>
    <row r="843" spans="1:25" ht="15.75" customHeight="1">
      <c r="A843" s="26"/>
      <c r="B843" s="26"/>
      <c r="C843" s="26"/>
      <c r="D843" s="26"/>
      <c r="E843" s="26"/>
      <c r="F843" s="26"/>
      <c r="G843" s="26"/>
      <c r="H843" s="26"/>
      <c r="I843" s="26"/>
      <c r="J843" s="26"/>
      <c r="K843" s="26"/>
      <c r="L843" s="26"/>
      <c r="M843" s="27"/>
      <c r="N843" s="26"/>
      <c r="O843" s="26"/>
      <c r="P843" s="26"/>
      <c r="Q843" s="26"/>
      <c r="R843" s="26"/>
      <c r="S843" s="26"/>
      <c r="T843" s="26"/>
      <c r="U843" s="26"/>
      <c r="V843" s="26"/>
      <c r="W843" s="26"/>
      <c r="X843" s="26"/>
      <c r="Y843" s="26"/>
    </row>
    <row r="844" spans="1:25" ht="15.75" customHeight="1">
      <c r="A844" s="26"/>
      <c r="B844" s="26"/>
      <c r="C844" s="26"/>
      <c r="D844" s="26"/>
      <c r="E844" s="26"/>
      <c r="F844" s="26"/>
      <c r="G844" s="26"/>
      <c r="H844" s="26"/>
      <c r="I844" s="26"/>
      <c r="J844" s="26"/>
      <c r="K844" s="26"/>
      <c r="L844" s="26"/>
      <c r="M844" s="27"/>
      <c r="N844" s="26"/>
      <c r="O844" s="26"/>
      <c r="P844" s="26"/>
      <c r="Q844" s="26"/>
      <c r="R844" s="26"/>
      <c r="S844" s="26"/>
      <c r="T844" s="26"/>
      <c r="U844" s="26"/>
      <c r="V844" s="26"/>
      <c r="W844" s="26"/>
      <c r="X844" s="26"/>
      <c r="Y844" s="26"/>
    </row>
    <row r="845" spans="1:25" ht="15.75" customHeight="1">
      <c r="A845" s="26"/>
      <c r="B845" s="26"/>
      <c r="C845" s="26"/>
      <c r="D845" s="26"/>
      <c r="E845" s="26"/>
      <c r="F845" s="26"/>
      <c r="G845" s="26"/>
      <c r="H845" s="26"/>
      <c r="I845" s="26"/>
      <c r="J845" s="26"/>
      <c r="K845" s="26"/>
      <c r="L845" s="26"/>
      <c r="M845" s="27"/>
      <c r="N845" s="26"/>
      <c r="O845" s="26"/>
      <c r="P845" s="26"/>
      <c r="Q845" s="26"/>
      <c r="R845" s="26"/>
      <c r="S845" s="26"/>
      <c r="T845" s="26"/>
      <c r="U845" s="26"/>
      <c r="V845" s="26"/>
      <c r="W845" s="26"/>
      <c r="X845" s="26"/>
      <c r="Y845" s="26"/>
    </row>
    <row r="846" spans="1:25" ht="15.75" customHeight="1">
      <c r="A846" s="26"/>
      <c r="B846" s="26"/>
      <c r="C846" s="26"/>
      <c r="D846" s="26"/>
      <c r="E846" s="26"/>
      <c r="F846" s="26"/>
      <c r="G846" s="26"/>
      <c r="H846" s="26"/>
      <c r="I846" s="26"/>
      <c r="J846" s="26"/>
      <c r="K846" s="26"/>
      <c r="L846" s="26"/>
      <c r="M846" s="27"/>
      <c r="N846" s="26"/>
      <c r="O846" s="26"/>
      <c r="P846" s="26"/>
      <c r="Q846" s="26"/>
      <c r="R846" s="26"/>
      <c r="S846" s="26"/>
      <c r="T846" s="26"/>
      <c r="U846" s="26"/>
      <c r="V846" s="26"/>
      <c r="W846" s="26"/>
      <c r="X846" s="26"/>
      <c r="Y846" s="26"/>
    </row>
    <row r="847" spans="1:25" ht="15.75" customHeight="1">
      <c r="A847" s="26"/>
      <c r="B847" s="26"/>
      <c r="C847" s="26"/>
      <c r="D847" s="26"/>
      <c r="E847" s="26"/>
      <c r="F847" s="26"/>
      <c r="G847" s="26"/>
      <c r="H847" s="26"/>
      <c r="I847" s="26"/>
      <c r="J847" s="26"/>
      <c r="K847" s="26"/>
      <c r="L847" s="26"/>
      <c r="M847" s="27"/>
      <c r="N847" s="26"/>
      <c r="O847" s="26"/>
      <c r="P847" s="26"/>
      <c r="Q847" s="26"/>
      <c r="R847" s="26"/>
      <c r="S847" s="26"/>
      <c r="T847" s="26"/>
      <c r="U847" s="26"/>
      <c r="V847" s="26"/>
      <c r="W847" s="26"/>
      <c r="X847" s="26"/>
      <c r="Y847" s="26"/>
    </row>
    <row r="848" spans="1:25" ht="15.75" customHeight="1">
      <c r="A848" s="26"/>
      <c r="B848" s="26"/>
      <c r="C848" s="26"/>
      <c r="D848" s="26"/>
      <c r="E848" s="26"/>
      <c r="F848" s="26"/>
      <c r="G848" s="26"/>
      <c r="H848" s="26"/>
      <c r="I848" s="26"/>
      <c r="J848" s="26"/>
      <c r="K848" s="26"/>
      <c r="L848" s="26"/>
      <c r="M848" s="27"/>
      <c r="N848" s="26"/>
      <c r="O848" s="26"/>
      <c r="P848" s="26"/>
      <c r="Q848" s="26"/>
      <c r="R848" s="26"/>
      <c r="S848" s="26"/>
      <c r="T848" s="26"/>
      <c r="U848" s="26"/>
      <c r="V848" s="26"/>
      <c r="W848" s="26"/>
      <c r="X848" s="26"/>
      <c r="Y848" s="26"/>
    </row>
    <row r="849" spans="1:25" ht="15.75" customHeight="1">
      <c r="A849" s="26"/>
      <c r="B849" s="26"/>
      <c r="C849" s="26"/>
      <c r="D849" s="26"/>
      <c r="E849" s="26"/>
      <c r="F849" s="26"/>
      <c r="G849" s="26"/>
      <c r="H849" s="26"/>
      <c r="I849" s="26"/>
      <c r="J849" s="26"/>
      <c r="K849" s="26"/>
      <c r="L849" s="26"/>
      <c r="M849" s="27"/>
      <c r="N849" s="26"/>
      <c r="O849" s="26"/>
      <c r="P849" s="26"/>
      <c r="Q849" s="26"/>
      <c r="R849" s="26"/>
      <c r="S849" s="26"/>
      <c r="T849" s="26"/>
      <c r="U849" s="26"/>
      <c r="V849" s="26"/>
      <c r="W849" s="26"/>
      <c r="X849" s="26"/>
      <c r="Y849" s="26"/>
    </row>
    <row r="850" spans="1:25" ht="15.75" customHeight="1">
      <c r="A850" s="26"/>
      <c r="B850" s="26"/>
      <c r="C850" s="26"/>
      <c r="D850" s="26"/>
      <c r="E850" s="26"/>
      <c r="F850" s="26"/>
      <c r="G850" s="26"/>
      <c r="H850" s="26"/>
      <c r="I850" s="26"/>
      <c r="J850" s="26"/>
      <c r="K850" s="26"/>
      <c r="L850" s="26"/>
      <c r="M850" s="27"/>
      <c r="N850" s="26"/>
      <c r="O850" s="26"/>
      <c r="P850" s="26"/>
      <c r="Q850" s="26"/>
      <c r="R850" s="26"/>
      <c r="S850" s="26"/>
      <c r="T850" s="26"/>
      <c r="U850" s="26"/>
      <c r="V850" s="26"/>
      <c r="W850" s="26"/>
      <c r="X850" s="26"/>
      <c r="Y850" s="26"/>
    </row>
    <row r="851" spans="1:25" ht="15.75" customHeight="1">
      <c r="A851" s="26"/>
      <c r="B851" s="26"/>
      <c r="C851" s="26"/>
      <c r="D851" s="26"/>
      <c r="E851" s="26"/>
      <c r="F851" s="26"/>
      <c r="G851" s="26"/>
      <c r="H851" s="26"/>
      <c r="I851" s="26"/>
      <c r="J851" s="26"/>
      <c r="K851" s="26"/>
      <c r="L851" s="26"/>
      <c r="M851" s="27"/>
      <c r="N851" s="26"/>
      <c r="O851" s="26"/>
      <c r="P851" s="26"/>
      <c r="Q851" s="26"/>
      <c r="R851" s="26"/>
      <c r="S851" s="26"/>
      <c r="T851" s="26"/>
      <c r="U851" s="26"/>
      <c r="V851" s="26"/>
      <c r="W851" s="26"/>
      <c r="X851" s="26"/>
      <c r="Y851" s="26"/>
    </row>
    <row r="852" spans="1:25" ht="15.75" customHeight="1">
      <c r="A852" s="26"/>
      <c r="B852" s="26"/>
      <c r="C852" s="26"/>
      <c r="D852" s="26"/>
      <c r="E852" s="26"/>
      <c r="F852" s="26"/>
      <c r="G852" s="26"/>
      <c r="H852" s="26"/>
      <c r="I852" s="26"/>
      <c r="J852" s="26"/>
      <c r="K852" s="26"/>
      <c r="L852" s="26"/>
      <c r="M852" s="27"/>
      <c r="N852" s="26"/>
      <c r="O852" s="26"/>
      <c r="P852" s="26"/>
      <c r="Q852" s="26"/>
      <c r="R852" s="26"/>
      <c r="S852" s="26"/>
      <c r="T852" s="26"/>
      <c r="U852" s="26"/>
      <c r="V852" s="26"/>
      <c r="W852" s="26"/>
      <c r="X852" s="26"/>
      <c r="Y852" s="26"/>
    </row>
    <row r="853" spans="1:25" ht="15.75" customHeight="1">
      <c r="A853" s="26"/>
      <c r="B853" s="26"/>
      <c r="C853" s="26"/>
      <c r="D853" s="26"/>
      <c r="E853" s="26"/>
      <c r="F853" s="26"/>
      <c r="G853" s="26"/>
      <c r="H853" s="26"/>
      <c r="I853" s="26"/>
      <c r="J853" s="26"/>
      <c r="K853" s="26"/>
      <c r="L853" s="26"/>
      <c r="M853" s="27"/>
      <c r="N853" s="26"/>
      <c r="O853" s="26"/>
      <c r="P853" s="26"/>
      <c r="Q853" s="26"/>
      <c r="R853" s="26"/>
      <c r="S853" s="26"/>
      <c r="T853" s="26"/>
      <c r="U853" s="26"/>
      <c r="V853" s="26"/>
      <c r="W853" s="26"/>
      <c r="X853" s="26"/>
      <c r="Y853" s="26"/>
    </row>
    <row r="854" spans="1:25" ht="15.75" customHeight="1">
      <c r="A854" s="26"/>
      <c r="B854" s="26"/>
      <c r="C854" s="26"/>
      <c r="D854" s="26"/>
      <c r="E854" s="26"/>
      <c r="F854" s="26"/>
      <c r="G854" s="26"/>
      <c r="H854" s="26"/>
      <c r="I854" s="26"/>
      <c r="J854" s="26"/>
      <c r="K854" s="26"/>
      <c r="L854" s="26"/>
      <c r="M854" s="27"/>
      <c r="N854" s="26"/>
      <c r="O854" s="26"/>
      <c r="P854" s="26"/>
      <c r="Q854" s="26"/>
      <c r="R854" s="26"/>
      <c r="S854" s="26"/>
      <c r="T854" s="26"/>
      <c r="U854" s="26"/>
      <c r="V854" s="26"/>
      <c r="W854" s="26"/>
      <c r="X854" s="26"/>
      <c r="Y854" s="26"/>
    </row>
    <row r="855" spans="1:25" ht="15.75" customHeight="1">
      <c r="A855" s="26"/>
      <c r="B855" s="26"/>
      <c r="C855" s="26"/>
      <c r="D855" s="26"/>
      <c r="E855" s="26"/>
      <c r="F855" s="26"/>
      <c r="G855" s="26"/>
      <c r="H855" s="26"/>
      <c r="I855" s="26"/>
      <c r="J855" s="26"/>
      <c r="K855" s="26"/>
      <c r="L855" s="26"/>
      <c r="M855" s="27"/>
      <c r="N855" s="26"/>
      <c r="O855" s="26"/>
      <c r="P855" s="26"/>
      <c r="Q855" s="26"/>
      <c r="R855" s="26"/>
      <c r="S855" s="26"/>
      <c r="T855" s="26"/>
      <c r="U855" s="26"/>
      <c r="V855" s="26"/>
      <c r="W855" s="26"/>
      <c r="X855" s="26"/>
      <c r="Y855" s="26"/>
    </row>
    <row r="856" spans="1:25" ht="15.75" customHeight="1">
      <c r="A856" s="26"/>
      <c r="B856" s="26"/>
      <c r="C856" s="26"/>
      <c r="D856" s="26"/>
      <c r="E856" s="26"/>
      <c r="F856" s="26"/>
      <c r="G856" s="26"/>
      <c r="H856" s="26"/>
      <c r="I856" s="26"/>
      <c r="J856" s="26"/>
      <c r="K856" s="26"/>
      <c r="L856" s="26"/>
      <c r="M856" s="27"/>
      <c r="N856" s="26"/>
      <c r="O856" s="26"/>
      <c r="P856" s="26"/>
      <c r="Q856" s="26"/>
      <c r="R856" s="26"/>
      <c r="S856" s="26"/>
      <c r="T856" s="26"/>
      <c r="U856" s="26"/>
      <c r="V856" s="26"/>
      <c r="W856" s="26"/>
      <c r="X856" s="26"/>
      <c r="Y856" s="26"/>
    </row>
    <row r="857" spans="1:25" ht="15.75" customHeight="1">
      <c r="A857" s="26"/>
      <c r="B857" s="26"/>
      <c r="C857" s="26"/>
      <c r="D857" s="26"/>
      <c r="E857" s="26"/>
      <c r="F857" s="26"/>
      <c r="G857" s="26"/>
      <c r="H857" s="26"/>
      <c r="I857" s="26"/>
      <c r="J857" s="26"/>
      <c r="K857" s="26"/>
      <c r="L857" s="26"/>
      <c r="M857" s="27"/>
      <c r="N857" s="26"/>
      <c r="O857" s="26"/>
      <c r="P857" s="26"/>
      <c r="Q857" s="26"/>
      <c r="R857" s="26"/>
      <c r="S857" s="26"/>
      <c r="T857" s="26"/>
      <c r="U857" s="26"/>
      <c r="V857" s="26"/>
      <c r="W857" s="26"/>
      <c r="X857" s="26"/>
      <c r="Y857" s="26"/>
    </row>
    <row r="858" spans="1:25" ht="15.75" customHeight="1">
      <c r="A858" s="26"/>
      <c r="B858" s="26"/>
      <c r="C858" s="26"/>
      <c r="D858" s="26"/>
      <c r="E858" s="26"/>
      <c r="F858" s="26"/>
      <c r="G858" s="26"/>
      <c r="H858" s="26"/>
      <c r="I858" s="26"/>
      <c r="J858" s="26"/>
      <c r="K858" s="26"/>
      <c r="L858" s="26"/>
      <c r="M858" s="27"/>
      <c r="N858" s="26"/>
      <c r="O858" s="26"/>
      <c r="P858" s="26"/>
      <c r="Q858" s="26"/>
      <c r="R858" s="26"/>
      <c r="S858" s="26"/>
      <c r="T858" s="26"/>
      <c r="U858" s="26"/>
      <c r="V858" s="26"/>
      <c r="W858" s="26"/>
      <c r="X858" s="26"/>
      <c r="Y858" s="26"/>
    </row>
    <row r="859" spans="1:25" ht="15.75" customHeight="1">
      <c r="A859" s="26"/>
      <c r="B859" s="26"/>
      <c r="C859" s="26"/>
      <c r="D859" s="26"/>
      <c r="E859" s="26"/>
      <c r="F859" s="26"/>
      <c r="G859" s="26"/>
      <c r="H859" s="26"/>
      <c r="I859" s="26"/>
      <c r="J859" s="26"/>
      <c r="K859" s="26"/>
      <c r="L859" s="26"/>
      <c r="M859" s="27"/>
      <c r="N859" s="26"/>
      <c r="O859" s="26"/>
      <c r="P859" s="26"/>
      <c r="Q859" s="26"/>
      <c r="R859" s="26"/>
      <c r="S859" s="26"/>
      <c r="T859" s="26"/>
      <c r="U859" s="26"/>
      <c r="V859" s="26"/>
      <c r="W859" s="26"/>
      <c r="X859" s="26"/>
      <c r="Y859" s="26"/>
    </row>
    <row r="860" spans="1:25" ht="15.75" customHeight="1">
      <c r="A860" s="26"/>
      <c r="B860" s="26"/>
      <c r="C860" s="26"/>
      <c r="D860" s="26"/>
      <c r="E860" s="26"/>
      <c r="F860" s="26"/>
      <c r="G860" s="26"/>
      <c r="H860" s="26"/>
      <c r="I860" s="26"/>
      <c r="J860" s="26"/>
      <c r="K860" s="26"/>
      <c r="L860" s="26"/>
      <c r="M860" s="27"/>
      <c r="N860" s="26"/>
      <c r="O860" s="26"/>
      <c r="P860" s="26"/>
      <c r="Q860" s="26"/>
      <c r="R860" s="26"/>
      <c r="S860" s="26"/>
      <c r="T860" s="26"/>
      <c r="U860" s="26"/>
      <c r="V860" s="26"/>
      <c r="W860" s="26"/>
      <c r="X860" s="26"/>
      <c r="Y860" s="26"/>
    </row>
    <row r="861" spans="1:25" ht="15.75" customHeight="1">
      <c r="A861" s="26"/>
      <c r="B861" s="26"/>
      <c r="C861" s="26"/>
      <c r="D861" s="26"/>
      <c r="E861" s="26"/>
      <c r="F861" s="26"/>
      <c r="G861" s="26"/>
      <c r="H861" s="26"/>
      <c r="I861" s="26"/>
      <c r="J861" s="26"/>
      <c r="K861" s="26"/>
      <c r="L861" s="26"/>
      <c r="M861" s="27"/>
      <c r="N861" s="26"/>
      <c r="O861" s="26"/>
      <c r="P861" s="26"/>
      <c r="Q861" s="26"/>
      <c r="R861" s="26"/>
      <c r="S861" s="26"/>
      <c r="T861" s="26"/>
      <c r="U861" s="26"/>
      <c r="V861" s="26"/>
      <c r="W861" s="26"/>
      <c r="X861" s="26"/>
      <c r="Y861" s="26"/>
    </row>
    <row r="862" spans="1:25" ht="15.75" customHeight="1">
      <c r="A862" s="26"/>
      <c r="B862" s="26"/>
      <c r="C862" s="26"/>
      <c r="D862" s="26"/>
      <c r="E862" s="26"/>
      <c r="F862" s="26"/>
      <c r="G862" s="26"/>
      <c r="H862" s="26"/>
      <c r="I862" s="26"/>
      <c r="J862" s="26"/>
      <c r="K862" s="26"/>
      <c r="L862" s="26"/>
      <c r="M862" s="27"/>
      <c r="N862" s="26"/>
      <c r="O862" s="26"/>
      <c r="P862" s="26"/>
      <c r="Q862" s="26"/>
      <c r="R862" s="26"/>
      <c r="S862" s="26"/>
      <c r="T862" s="26"/>
      <c r="U862" s="26"/>
      <c r="V862" s="26"/>
      <c r="W862" s="26"/>
      <c r="X862" s="26"/>
      <c r="Y862" s="26"/>
    </row>
    <row r="863" spans="1:25" ht="15.75" customHeight="1">
      <c r="A863" s="26"/>
      <c r="B863" s="26"/>
      <c r="C863" s="26"/>
      <c r="D863" s="26"/>
      <c r="E863" s="26"/>
      <c r="F863" s="26"/>
      <c r="G863" s="26"/>
      <c r="H863" s="26"/>
      <c r="I863" s="26"/>
      <c r="J863" s="26"/>
      <c r="K863" s="26"/>
      <c r="L863" s="26"/>
      <c r="M863" s="27"/>
      <c r="N863" s="26"/>
      <c r="O863" s="26"/>
      <c r="P863" s="26"/>
      <c r="Q863" s="26"/>
      <c r="R863" s="26"/>
      <c r="S863" s="26"/>
      <c r="T863" s="26"/>
      <c r="U863" s="26"/>
      <c r="V863" s="26"/>
      <c r="W863" s="26"/>
      <c r="X863" s="26"/>
      <c r="Y863" s="26"/>
    </row>
    <row r="864" spans="1:25" ht="15.75" customHeight="1">
      <c r="A864" s="26"/>
      <c r="B864" s="26"/>
      <c r="C864" s="26"/>
      <c r="D864" s="26"/>
      <c r="E864" s="26"/>
      <c r="F864" s="26"/>
      <c r="G864" s="26"/>
      <c r="H864" s="26"/>
      <c r="I864" s="26"/>
      <c r="J864" s="26"/>
      <c r="K864" s="26"/>
      <c r="L864" s="26"/>
      <c r="M864" s="27"/>
      <c r="N864" s="26"/>
      <c r="O864" s="26"/>
      <c r="P864" s="26"/>
      <c r="Q864" s="26"/>
      <c r="R864" s="26"/>
      <c r="S864" s="26"/>
      <c r="T864" s="26"/>
      <c r="U864" s="26"/>
      <c r="V864" s="26"/>
      <c r="W864" s="26"/>
      <c r="X864" s="26"/>
      <c r="Y864" s="26"/>
    </row>
    <row r="865" spans="1:25" ht="15.75" customHeight="1">
      <c r="A865" s="26"/>
      <c r="B865" s="26"/>
      <c r="C865" s="26"/>
      <c r="D865" s="26"/>
      <c r="E865" s="26"/>
      <c r="F865" s="26"/>
      <c r="G865" s="26"/>
      <c r="H865" s="26"/>
      <c r="I865" s="26"/>
      <c r="J865" s="26"/>
      <c r="K865" s="26"/>
      <c r="L865" s="26"/>
      <c r="M865" s="27"/>
      <c r="N865" s="26"/>
      <c r="O865" s="26"/>
      <c r="P865" s="26"/>
      <c r="Q865" s="26"/>
      <c r="R865" s="26"/>
      <c r="S865" s="26"/>
      <c r="T865" s="26"/>
      <c r="U865" s="26"/>
      <c r="V865" s="26"/>
      <c r="W865" s="26"/>
      <c r="X865" s="26"/>
      <c r="Y865" s="26"/>
    </row>
    <row r="866" spans="1:25" ht="15.75" customHeight="1">
      <c r="A866" s="26"/>
      <c r="B866" s="26"/>
      <c r="C866" s="26"/>
      <c r="D866" s="26"/>
      <c r="E866" s="26"/>
      <c r="F866" s="26"/>
      <c r="G866" s="26"/>
      <c r="H866" s="26"/>
      <c r="I866" s="26"/>
      <c r="J866" s="26"/>
      <c r="K866" s="26"/>
      <c r="L866" s="26"/>
      <c r="M866" s="27"/>
      <c r="N866" s="26"/>
      <c r="O866" s="26"/>
      <c r="P866" s="26"/>
      <c r="Q866" s="26"/>
      <c r="R866" s="26"/>
      <c r="S866" s="26"/>
      <c r="T866" s="26"/>
      <c r="U866" s="26"/>
      <c r="V866" s="26"/>
      <c r="W866" s="26"/>
      <c r="X866" s="26"/>
      <c r="Y866" s="26"/>
    </row>
    <row r="867" spans="1:25" ht="15.75" customHeight="1">
      <c r="A867" s="26"/>
      <c r="B867" s="26"/>
      <c r="C867" s="26"/>
      <c r="D867" s="26"/>
      <c r="E867" s="26"/>
      <c r="F867" s="26"/>
      <c r="G867" s="26"/>
      <c r="H867" s="26"/>
      <c r="I867" s="26"/>
      <c r="J867" s="26"/>
      <c r="K867" s="26"/>
      <c r="L867" s="26"/>
      <c r="M867" s="27"/>
      <c r="N867" s="26"/>
      <c r="O867" s="26"/>
      <c r="P867" s="26"/>
      <c r="Q867" s="26"/>
      <c r="R867" s="26"/>
      <c r="S867" s="26"/>
      <c r="T867" s="26"/>
      <c r="U867" s="26"/>
      <c r="V867" s="26"/>
      <c r="W867" s="26"/>
      <c r="X867" s="26"/>
      <c r="Y867" s="26"/>
    </row>
    <row r="868" spans="1:25" ht="15.75" customHeight="1">
      <c r="A868" s="26"/>
      <c r="B868" s="26"/>
      <c r="C868" s="26"/>
      <c r="D868" s="26"/>
      <c r="E868" s="26"/>
      <c r="F868" s="26"/>
      <c r="G868" s="26"/>
      <c r="H868" s="26"/>
      <c r="I868" s="26"/>
      <c r="J868" s="26"/>
      <c r="K868" s="26"/>
      <c r="L868" s="26"/>
      <c r="M868" s="27"/>
      <c r="N868" s="26"/>
      <c r="O868" s="26"/>
      <c r="P868" s="26"/>
      <c r="Q868" s="26"/>
      <c r="R868" s="26"/>
      <c r="S868" s="26"/>
      <c r="T868" s="26"/>
      <c r="U868" s="26"/>
      <c r="V868" s="26"/>
      <c r="W868" s="26"/>
      <c r="X868" s="26"/>
      <c r="Y868" s="26"/>
    </row>
    <row r="869" spans="1:25" ht="15.75" customHeight="1">
      <c r="A869" s="26"/>
      <c r="B869" s="26"/>
      <c r="C869" s="26"/>
      <c r="D869" s="26"/>
      <c r="E869" s="26"/>
      <c r="F869" s="26"/>
      <c r="G869" s="26"/>
      <c r="H869" s="26"/>
      <c r="I869" s="26"/>
      <c r="J869" s="26"/>
      <c r="K869" s="26"/>
      <c r="L869" s="26"/>
      <c r="M869" s="27"/>
      <c r="N869" s="26"/>
      <c r="O869" s="26"/>
      <c r="P869" s="26"/>
      <c r="Q869" s="26"/>
      <c r="R869" s="26"/>
      <c r="S869" s="26"/>
      <c r="T869" s="26"/>
      <c r="U869" s="26"/>
      <c r="V869" s="26"/>
      <c r="W869" s="26"/>
      <c r="X869" s="26"/>
      <c r="Y869" s="26"/>
    </row>
    <row r="870" spans="1:25" ht="15.75" customHeight="1">
      <c r="A870" s="26"/>
      <c r="B870" s="26"/>
      <c r="C870" s="26"/>
      <c r="D870" s="26"/>
      <c r="E870" s="26"/>
      <c r="F870" s="26"/>
      <c r="G870" s="26"/>
      <c r="H870" s="26"/>
      <c r="I870" s="26"/>
      <c r="J870" s="26"/>
      <c r="K870" s="26"/>
      <c r="L870" s="26"/>
      <c r="M870" s="27"/>
      <c r="N870" s="26"/>
      <c r="O870" s="26"/>
      <c r="P870" s="26"/>
      <c r="Q870" s="26"/>
      <c r="R870" s="26"/>
      <c r="S870" s="26"/>
      <c r="T870" s="26"/>
      <c r="U870" s="26"/>
      <c r="V870" s="26"/>
      <c r="W870" s="26"/>
      <c r="X870" s="26"/>
      <c r="Y870" s="26"/>
    </row>
    <row r="871" spans="1:25" ht="15.75" customHeight="1">
      <c r="A871" s="26"/>
      <c r="B871" s="26"/>
      <c r="C871" s="26"/>
      <c r="D871" s="26"/>
      <c r="E871" s="26"/>
      <c r="F871" s="26"/>
      <c r="G871" s="26"/>
      <c r="H871" s="26"/>
      <c r="I871" s="26"/>
      <c r="J871" s="26"/>
      <c r="K871" s="26"/>
      <c r="L871" s="26"/>
      <c r="M871" s="27"/>
      <c r="N871" s="26"/>
      <c r="O871" s="26"/>
      <c r="P871" s="26"/>
      <c r="Q871" s="26"/>
      <c r="R871" s="26"/>
      <c r="S871" s="26"/>
      <c r="T871" s="26"/>
      <c r="U871" s="26"/>
      <c r="V871" s="26"/>
      <c r="W871" s="26"/>
      <c r="X871" s="26"/>
      <c r="Y871" s="26"/>
    </row>
    <row r="872" spans="1:25" ht="15.75" customHeight="1">
      <c r="A872" s="26"/>
      <c r="B872" s="26"/>
      <c r="C872" s="26"/>
      <c r="D872" s="26"/>
      <c r="E872" s="26"/>
      <c r="F872" s="26"/>
      <c r="G872" s="26"/>
      <c r="H872" s="26"/>
      <c r="I872" s="26"/>
      <c r="J872" s="26"/>
      <c r="K872" s="26"/>
      <c r="L872" s="26"/>
      <c r="M872" s="27"/>
      <c r="N872" s="26"/>
      <c r="O872" s="26"/>
      <c r="P872" s="26"/>
      <c r="Q872" s="26"/>
      <c r="R872" s="26"/>
      <c r="S872" s="26"/>
      <c r="T872" s="26"/>
      <c r="U872" s="26"/>
      <c r="V872" s="26"/>
      <c r="W872" s="26"/>
      <c r="X872" s="26"/>
      <c r="Y872" s="26"/>
    </row>
    <row r="873" spans="1:25" ht="15.75" customHeight="1">
      <c r="A873" s="26"/>
      <c r="B873" s="26"/>
      <c r="C873" s="26"/>
      <c r="D873" s="26"/>
      <c r="E873" s="26"/>
      <c r="F873" s="26"/>
      <c r="G873" s="26"/>
      <c r="H873" s="26"/>
      <c r="I873" s="26"/>
      <c r="J873" s="26"/>
      <c r="K873" s="26"/>
      <c r="L873" s="26"/>
      <c r="M873" s="27"/>
      <c r="N873" s="26"/>
      <c r="O873" s="26"/>
      <c r="P873" s="26"/>
      <c r="Q873" s="26"/>
      <c r="R873" s="26"/>
      <c r="S873" s="26"/>
      <c r="T873" s="26"/>
      <c r="U873" s="26"/>
      <c r="V873" s="26"/>
      <c r="W873" s="26"/>
      <c r="X873" s="26"/>
      <c r="Y873" s="26"/>
    </row>
    <row r="874" spans="1:25" ht="15.75" customHeight="1">
      <c r="A874" s="26"/>
      <c r="B874" s="26"/>
      <c r="C874" s="26"/>
      <c r="D874" s="26"/>
      <c r="E874" s="26"/>
      <c r="F874" s="26"/>
      <c r="G874" s="26"/>
      <c r="H874" s="26"/>
      <c r="I874" s="26"/>
      <c r="J874" s="26"/>
      <c r="K874" s="26"/>
      <c r="L874" s="26"/>
      <c r="M874" s="27"/>
      <c r="N874" s="26"/>
      <c r="O874" s="26"/>
      <c r="P874" s="26"/>
      <c r="Q874" s="26"/>
      <c r="R874" s="26"/>
      <c r="S874" s="26"/>
      <c r="T874" s="26"/>
      <c r="U874" s="26"/>
      <c r="V874" s="26"/>
      <c r="W874" s="26"/>
      <c r="X874" s="26"/>
      <c r="Y874" s="26"/>
    </row>
    <row r="875" spans="1:25" ht="15.75" customHeight="1">
      <c r="A875" s="26"/>
      <c r="B875" s="26"/>
      <c r="C875" s="26"/>
      <c r="D875" s="26"/>
      <c r="E875" s="26"/>
      <c r="F875" s="26"/>
      <c r="G875" s="26"/>
      <c r="H875" s="26"/>
      <c r="I875" s="26"/>
      <c r="J875" s="26"/>
      <c r="K875" s="26"/>
      <c r="L875" s="26"/>
      <c r="M875" s="27"/>
      <c r="N875" s="26"/>
      <c r="O875" s="26"/>
      <c r="P875" s="26"/>
      <c r="Q875" s="26"/>
      <c r="R875" s="26"/>
      <c r="S875" s="26"/>
      <c r="T875" s="26"/>
      <c r="U875" s="26"/>
      <c r="V875" s="26"/>
      <c r="W875" s="26"/>
      <c r="X875" s="26"/>
      <c r="Y875" s="26"/>
    </row>
    <row r="876" spans="1:25" ht="15.75" customHeight="1">
      <c r="A876" s="26"/>
      <c r="B876" s="26"/>
      <c r="C876" s="26"/>
      <c r="D876" s="26"/>
      <c r="E876" s="26"/>
      <c r="F876" s="26"/>
      <c r="G876" s="26"/>
      <c r="H876" s="26"/>
      <c r="I876" s="26"/>
      <c r="J876" s="26"/>
      <c r="K876" s="26"/>
      <c r="L876" s="26"/>
      <c r="M876" s="27"/>
      <c r="N876" s="26"/>
      <c r="O876" s="26"/>
      <c r="P876" s="26"/>
      <c r="Q876" s="26"/>
      <c r="R876" s="26"/>
      <c r="S876" s="26"/>
      <c r="T876" s="26"/>
      <c r="U876" s="26"/>
      <c r="V876" s="26"/>
      <c r="W876" s="26"/>
      <c r="X876" s="26"/>
      <c r="Y876" s="26"/>
    </row>
    <row r="877" spans="1:25" ht="15.75" customHeight="1">
      <c r="A877" s="26"/>
      <c r="B877" s="26"/>
      <c r="C877" s="26"/>
      <c r="D877" s="26"/>
      <c r="E877" s="26"/>
      <c r="F877" s="26"/>
      <c r="G877" s="26"/>
      <c r="H877" s="26"/>
      <c r="I877" s="26"/>
      <c r="J877" s="26"/>
      <c r="K877" s="26"/>
      <c r="L877" s="26"/>
      <c r="M877" s="27"/>
      <c r="N877" s="26"/>
      <c r="O877" s="26"/>
      <c r="P877" s="26"/>
      <c r="Q877" s="26"/>
      <c r="R877" s="26"/>
      <c r="S877" s="26"/>
      <c r="T877" s="26"/>
      <c r="U877" s="26"/>
      <c r="V877" s="26"/>
      <c r="W877" s="26"/>
      <c r="X877" s="26"/>
      <c r="Y877" s="26"/>
    </row>
    <row r="878" spans="1:25" ht="15.75" customHeight="1">
      <c r="A878" s="26"/>
      <c r="B878" s="26"/>
      <c r="C878" s="26"/>
      <c r="D878" s="26"/>
      <c r="E878" s="26"/>
      <c r="F878" s="26"/>
      <c r="G878" s="26"/>
      <c r="H878" s="26"/>
      <c r="I878" s="26"/>
      <c r="J878" s="26"/>
      <c r="K878" s="26"/>
      <c r="L878" s="26"/>
      <c r="M878" s="27"/>
      <c r="N878" s="26"/>
      <c r="O878" s="26"/>
      <c r="P878" s="26"/>
      <c r="Q878" s="26"/>
      <c r="R878" s="26"/>
      <c r="S878" s="26"/>
      <c r="T878" s="26"/>
      <c r="U878" s="26"/>
      <c r="V878" s="26"/>
      <c r="W878" s="26"/>
      <c r="X878" s="26"/>
      <c r="Y878" s="26"/>
    </row>
    <row r="879" spans="1:25" ht="15.75" customHeight="1">
      <c r="A879" s="26"/>
      <c r="B879" s="26"/>
      <c r="C879" s="26"/>
      <c r="D879" s="26"/>
      <c r="E879" s="26"/>
      <c r="F879" s="26"/>
      <c r="G879" s="26"/>
      <c r="H879" s="26"/>
      <c r="I879" s="26"/>
      <c r="J879" s="26"/>
      <c r="K879" s="26"/>
      <c r="L879" s="26"/>
      <c r="M879" s="27"/>
      <c r="N879" s="26"/>
      <c r="O879" s="26"/>
      <c r="P879" s="26"/>
      <c r="Q879" s="26"/>
      <c r="R879" s="26"/>
      <c r="S879" s="26"/>
      <c r="T879" s="26"/>
      <c r="U879" s="26"/>
      <c r="V879" s="26"/>
      <c r="W879" s="26"/>
      <c r="X879" s="26"/>
      <c r="Y879" s="26"/>
    </row>
    <row r="880" spans="1:25" ht="15.75" customHeight="1">
      <c r="A880" s="26"/>
      <c r="B880" s="26"/>
      <c r="C880" s="26"/>
      <c r="D880" s="26"/>
      <c r="E880" s="26"/>
      <c r="F880" s="26"/>
      <c r="G880" s="26"/>
      <c r="H880" s="26"/>
      <c r="I880" s="26"/>
      <c r="J880" s="26"/>
      <c r="K880" s="26"/>
      <c r="L880" s="26"/>
      <c r="M880" s="27"/>
      <c r="N880" s="26"/>
      <c r="O880" s="26"/>
      <c r="P880" s="26"/>
      <c r="Q880" s="26"/>
      <c r="R880" s="26"/>
      <c r="S880" s="26"/>
      <c r="T880" s="26"/>
      <c r="U880" s="26"/>
      <c r="V880" s="26"/>
      <c r="W880" s="26"/>
      <c r="X880" s="26"/>
      <c r="Y880" s="26"/>
    </row>
    <row r="881" spans="1:25" ht="15.75" customHeight="1">
      <c r="A881" s="26"/>
      <c r="B881" s="26"/>
      <c r="C881" s="26"/>
      <c r="D881" s="26"/>
      <c r="E881" s="26"/>
      <c r="F881" s="26"/>
      <c r="G881" s="26"/>
      <c r="H881" s="26"/>
      <c r="I881" s="26"/>
      <c r="J881" s="26"/>
      <c r="K881" s="26"/>
      <c r="L881" s="26"/>
      <c r="M881" s="27"/>
      <c r="N881" s="26"/>
      <c r="O881" s="26"/>
      <c r="P881" s="26"/>
      <c r="Q881" s="26"/>
      <c r="R881" s="26"/>
      <c r="S881" s="26"/>
      <c r="T881" s="26"/>
      <c r="U881" s="26"/>
      <c r="V881" s="26"/>
      <c r="W881" s="26"/>
      <c r="X881" s="26"/>
      <c r="Y881" s="26"/>
    </row>
    <row r="882" spans="1:25" ht="15.75" customHeight="1">
      <c r="A882" s="26"/>
      <c r="B882" s="26"/>
      <c r="C882" s="26"/>
      <c r="D882" s="26"/>
      <c r="E882" s="26"/>
      <c r="F882" s="26"/>
      <c r="G882" s="26"/>
      <c r="H882" s="26"/>
      <c r="I882" s="26"/>
      <c r="J882" s="26"/>
      <c r="K882" s="26"/>
      <c r="L882" s="26"/>
      <c r="M882" s="27"/>
      <c r="N882" s="26"/>
      <c r="O882" s="26"/>
      <c r="P882" s="26"/>
      <c r="Q882" s="26"/>
      <c r="R882" s="26"/>
      <c r="S882" s="26"/>
      <c r="T882" s="26"/>
      <c r="U882" s="26"/>
      <c r="V882" s="26"/>
      <c r="W882" s="26"/>
      <c r="X882" s="26"/>
      <c r="Y882" s="26"/>
    </row>
    <row r="883" spans="1:25" ht="15.75" customHeight="1">
      <c r="A883" s="26"/>
      <c r="B883" s="26"/>
      <c r="C883" s="26"/>
      <c r="D883" s="26"/>
      <c r="E883" s="26"/>
      <c r="F883" s="26"/>
      <c r="G883" s="26"/>
      <c r="H883" s="26"/>
      <c r="I883" s="26"/>
      <c r="J883" s="26"/>
      <c r="K883" s="26"/>
      <c r="L883" s="26"/>
      <c r="M883" s="27"/>
      <c r="N883" s="26"/>
      <c r="O883" s="26"/>
      <c r="P883" s="26"/>
      <c r="Q883" s="26"/>
      <c r="R883" s="26"/>
      <c r="S883" s="26"/>
      <c r="T883" s="26"/>
      <c r="U883" s="26"/>
      <c r="V883" s="26"/>
      <c r="W883" s="26"/>
      <c r="X883" s="26"/>
      <c r="Y883" s="26"/>
    </row>
    <row r="884" spans="1:25" ht="15.75" customHeight="1">
      <c r="A884" s="26"/>
      <c r="B884" s="26"/>
      <c r="C884" s="26"/>
      <c r="D884" s="26"/>
      <c r="E884" s="26"/>
      <c r="F884" s="26"/>
      <c r="G884" s="26"/>
      <c r="H884" s="26"/>
      <c r="I884" s="26"/>
      <c r="J884" s="26"/>
      <c r="K884" s="26"/>
      <c r="L884" s="26"/>
      <c r="M884" s="27"/>
      <c r="N884" s="26"/>
      <c r="O884" s="26"/>
      <c r="P884" s="26"/>
      <c r="Q884" s="26"/>
      <c r="R884" s="26"/>
      <c r="S884" s="26"/>
      <c r="T884" s="26"/>
      <c r="U884" s="26"/>
      <c r="V884" s="26"/>
      <c r="W884" s="26"/>
      <c r="X884" s="26"/>
      <c r="Y884" s="26"/>
    </row>
    <row r="885" spans="1:25" ht="15.75" customHeight="1">
      <c r="A885" s="26"/>
      <c r="B885" s="26"/>
      <c r="C885" s="26"/>
      <c r="D885" s="26"/>
      <c r="E885" s="26"/>
      <c r="F885" s="26"/>
      <c r="G885" s="26"/>
      <c r="H885" s="26"/>
      <c r="I885" s="26"/>
      <c r="J885" s="26"/>
      <c r="K885" s="26"/>
      <c r="L885" s="26"/>
      <c r="M885" s="27"/>
      <c r="N885" s="26"/>
      <c r="O885" s="26"/>
      <c r="P885" s="26"/>
      <c r="Q885" s="26"/>
      <c r="R885" s="26"/>
      <c r="S885" s="26"/>
      <c r="T885" s="26"/>
      <c r="U885" s="26"/>
      <c r="V885" s="26"/>
      <c r="W885" s="26"/>
      <c r="X885" s="26"/>
      <c r="Y885" s="26"/>
    </row>
    <row r="886" spans="1:25" ht="15.75" customHeight="1">
      <c r="A886" s="26"/>
      <c r="B886" s="26"/>
      <c r="C886" s="26"/>
      <c r="D886" s="26"/>
      <c r="E886" s="26"/>
      <c r="F886" s="26"/>
      <c r="G886" s="26"/>
      <c r="H886" s="26"/>
      <c r="I886" s="26"/>
      <c r="J886" s="26"/>
      <c r="K886" s="26"/>
      <c r="L886" s="26"/>
      <c r="M886" s="27"/>
      <c r="N886" s="26"/>
      <c r="O886" s="26"/>
      <c r="P886" s="26"/>
      <c r="Q886" s="26"/>
      <c r="R886" s="26"/>
      <c r="S886" s="26"/>
      <c r="T886" s="26"/>
      <c r="U886" s="26"/>
      <c r="V886" s="26"/>
      <c r="W886" s="26"/>
      <c r="X886" s="26"/>
      <c r="Y886" s="26"/>
    </row>
    <row r="887" spans="1:25" ht="15.75" customHeight="1">
      <c r="A887" s="26"/>
      <c r="B887" s="26"/>
      <c r="C887" s="26"/>
      <c r="D887" s="26"/>
      <c r="E887" s="26"/>
      <c r="F887" s="26"/>
      <c r="G887" s="26"/>
      <c r="H887" s="26"/>
      <c r="I887" s="26"/>
      <c r="J887" s="26"/>
      <c r="K887" s="26"/>
      <c r="L887" s="26"/>
      <c r="M887" s="27"/>
      <c r="N887" s="26"/>
      <c r="O887" s="26"/>
      <c r="P887" s="26"/>
      <c r="Q887" s="26"/>
      <c r="R887" s="26"/>
      <c r="S887" s="26"/>
      <c r="T887" s="26"/>
      <c r="U887" s="26"/>
      <c r="V887" s="26"/>
      <c r="W887" s="26"/>
      <c r="X887" s="26"/>
      <c r="Y887" s="26"/>
    </row>
    <row r="888" spans="1:25" ht="15.75" customHeight="1">
      <c r="A888" s="26"/>
      <c r="B888" s="26"/>
      <c r="C888" s="26"/>
      <c r="D888" s="26"/>
      <c r="E888" s="26"/>
      <c r="F888" s="26"/>
      <c r="G888" s="26"/>
      <c r="H888" s="26"/>
      <c r="I888" s="26"/>
      <c r="J888" s="26"/>
      <c r="K888" s="26"/>
      <c r="L888" s="26"/>
      <c r="M888" s="27"/>
      <c r="N888" s="26"/>
      <c r="O888" s="26"/>
      <c r="P888" s="26"/>
      <c r="Q888" s="26"/>
      <c r="R888" s="26"/>
      <c r="S888" s="26"/>
      <c r="T888" s="26"/>
      <c r="U888" s="26"/>
      <c r="V888" s="26"/>
      <c r="W888" s="26"/>
      <c r="X888" s="26"/>
      <c r="Y888" s="26"/>
    </row>
    <row r="889" spans="1:25" ht="15.75" customHeight="1">
      <c r="A889" s="26"/>
      <c r="B889" s="26"/>
      <c r="C889" s="26"/>
      <c r="D889" s="26"/>
      <c r="E889" s="26"/>
      <c r="F889" s="26"/>
      <c r="G889" s="26"/>
      <c r="H889" s="26"/>
      <c r="I889" s="26"/>
      <c r="J889" s="26"/>
      <c r="K889" s="26"/>
      <c r="L889" s="26"/>
      <c r="M889" s="27"/>
      <c r="N889" s="26"/>
      <c r="O889" s="26"/>
      <c r="P889" s="26"/>
      <c r="Q889" s="26"/>
      <c r="R889" s="26"/>
      <c r="S889" s="26"/>
      <c r="T889" s="26"/>
      <c r="U889" s="26"/>
      <c r="V889" s="26"/>
      <c r="W889" s="26"/>
      <c r="X889" s="26"/>
      <c r="Y889" s="26"/>
    </row>
    <row r="890" spans="1:25" ht="15.75" customHeight="1">
      <c r="A890" s="26"/>
      <c r="B890" s="26"/>
      <c r="C890" s="26"/>
      <c r="D890" s="26"/>
      <c r="E890" s="26"/>
      <c r="F890" s="26"/>
      <c r="G890" s="26"/>
      <c r="H890" s="26"/>
      <c r="I890" s="26"/>
      <c r="J890" s="26"/>
      <c r="K890" s="26"/>
      <c r="L890" s="26"/>
      <c r="M890" s="27"/>
      <c r="N890" s="26"/>
      <c r="O890" s="26"/>
      <c r="P890" s="26"/>
      <c r="Q890" s="26"/>
      <c r="R890" s="26"/>
      <c r="S890" s="26"/>
      <c r="T890" s="26"/>
      <c r="U890" s="26"/>
      <c r="V890" s="26"/>
      <c r="W890" s="26"/>
      <c r="X890" s="26"/>
      <c r="Y890" s="26"/>
    </row>
    <row r="891" spans="1:25" ht="15.75" customHeight="1">
      <c r="A891" s="26"/>
      <c r="B891" s="26"/>
      <c r="C891" s="26"/>
      <c r="D891" s="26"/>
      <c r="E891" s="26"/>
      <c r="F891" s="26"/>
      <c r="G891" s="26"/>
      <c r="H891" s="26"/>
      <c r="I891" s="26"/>
      <c r="J891" s="26"/>
      <c r="K891" s="26"/>
      <c r="L891" s="26"/>
      <c r="M891" s="27"/>
      <c r="N891" s="26"/>
      <c r="O891" s="26"/>
      <c r="P891" s="26"/>
      <c r="Q891" s="26"/>
      <c r="R891" s="26"/>
      <c r="S891" s="26"/>
      <c r="T891" s="26"/>
      <c r="U891" s="26"/>
      <c r="V891" s="26"/>
      <c r="W891" s="26"/>
      <c r="X891" s="26"/>
      <c r="Y891" s="26"/>
    </row>
    <row r="892" spans="1:25" ht="15.75" customHeight="1">
      <c r="A892" s="26"/>
      <c r="B892" s="26"/>
      <c r="C892" s="26"/>
      <c r="D892" s="26"/>
      <c r="E892" s="26"/>
      <c r="F892" s="26"/>
      <c r="G892" s="26"/>
      <c r="H892" s="26"/>
      <c r="I892" s="26"/>
      <c r="J892" s="26"/>
      <c r="K892" s="26"/>
      <c r="L892" s="26"/>
      <c r="M892" s="27"/>
      <c r="N892" s="26"/>
      <c r="O892" s="26"/>
      <c r="P892" s="26"/>
      <c r="Q892" s="26"/>
      <c r="R892" s="26"/>
      <c r="S892" s="26"/>
      <c r="T892" s="26"/>
      <c r="U892" s="26"/>
      <c r="V892" s="26"/>
      <c r="W892" s="26"/>
      <c r="X892" s="26"/>
      <c r="Y892" s="26"/>
    </row>
    <row r="893" spans="1:25" ht="15.75" customHeight="1">
      <c r="A893" s="26"/>
      <c r="B893" s="26"/>
      <c r="C893" s="26"/>
      <c r="D893" s="26"/>
      <c r="E893" s="26"/>
      <c r="F893" s="26"/>
      <c r="G893" s="26"/>
      <c r="H893" s="26"/>
      <c r="I893" s="26"/>
      <c r="J893" s="26"/>
      <c r="K893" s="26"/>
      <c r="L893" s="26"/>
      <c r="M893" s="27"/>
      <c r="N893" s="26"/>
      <c r="O893" s="26"/>
      <c r="P893" s="26"/>
      <c r="Q893" s="26"/>
      <c r="R893" s="26"/>
      <c r="S893" s="26"/>
      <c r="T893" s="26"/>
      <c r="U893" s="26"/>
      <c r="V893" s="26"/>
      <c r="W893" s="26"/>
      <c r="X893" s="26"/>
      <c r="Y893" s="26"/>
    </row>
    <row r="894" spans="1:25" ht="15.75" customHeight="1">
      <c r="A894" s="26"/>
      <c r="B894" s="26"/>
      <c r="C894" s="26"/>
      <c r="D894" s="26"/>
      <c r="E894" s="26"/>
      <c r="F894" s="26"/>
      <c r="G894" s="26"/>
      <c r="H894" s="26"/>
      <c r="I894" s="26"/>
      <c r="J894" s="26"/>
      <c r="K894" s="26"/>
      <c r="L894" s="26"/>
      <c r="M894" s="27"/>
      <c r="N894" s="26"/>
      <c r="O894" s="26"/>
      <c r="P894" s="26"/>
      <c r="Q894" s="26"/>
      <c r="R894" s="26"/>
      <c r="S894" s="26"/>
      <c r="T894" s="26"/>
      <c r="U894" s="26"/>
      <c r="V894" s="26"/>
      <c r="W894" s="26"/>
      <c r="X894" s="26"/>
      <c r="Y894" s="26"/>
    </row>
    <row r="895" spans="1:25" ht="15.75" customHeight="1">
      <c r="A895" s="26"/>
      <c r="B895" s="26"/>
      <c r="C895" s="26"/>
      <c r="D895" s="26"/>
      <c r="E895" s="26"/>
      <c r="F895" s="26"/>
      <c r="G895" s="26"/>
      <c r="H895" s="26"/>
      <c r="I895" s="26"/>
      <c r="J895" s="26"/>
      <c r="K895" s="26"/>
      <c r="L895" s="26"/>
      <c r="M895" s="27"/>
      <c r="N895" s="26"/>
      <c r="O895" s="26"/>
      <c r="P895" s="26"/>
      <c r="Q895" s="26"/>
      <c r="R895" s="26"/>
      <c r="S895" s="26"/>
      <c r="T895" s="26"/>
      <c r="U895" s="26"/>
      <c r="V895" s="26"/>
      <c r="W895" s="26"/>
      <c r="X895" s="26"/>
      <c r="Y895" s="26"/>
    </row>
    <row r="896" spans="1:25" ht="15.75" customHeight="1">
      <c r="A896" s="26"/>
      <c r="B896" s="26"/>
      <c r="C896" s="26"/>
      <c r="D896" s="26"/>
      <c r="E896" s="26"/>
      <c r="F896" s="26"/>
      <c r="G896" s="26"/>
      <c r="H896" s="26"/>
      <c r="I896" s="26"/>
      <c r="J896" s="26"/>
      <c r="K896" s="26"/>
      <c r="L896" s="26"/>
      <c r="M896" s="27"/>
      <c r="N896" s="26"/>
      <c r="O896" s="26"/>
      <c r="P896" s="26"/>
      <c r="Q896" s="26"/>
      <c r="R896" s="26"/>
      <c r="S896" s="26"/>
      <c r="T896" s="26"/>
      <c r="U896" s="26"/>
      <c r="V896" s="26"/>
      <c r="W896" s="26"/>
      <c r="X896" s="26"/>
      <c r="Y896" s="26"/>
    </row>
    <row r="897" spans="1:25" ht="15.75" customHeight="1">
      <c r="A897" s="26"/>
      <c r="B897" s="26"/>
      <c r="C897" s="26"/>
      <c r="D897" s="26"/>
      <c r="E897" s="26"/>
      <c r="F897" s="26"/>
      <c r="G897" s="26"/>
      <c r="H897" s="26"/>
      <c r="I897" s="26"/>
      <c r="J897" s="26"/>
      <c r="K897" s="26"/>
      <c r="L897" s="26"/>
      <c r="M897" s="27"/>
      <c r="N897" s="26"/>
      <c r="O897" s="26"/>
      <c r="P897" s="26"/>
      <c r="Q897" s="26"/>
      <c r="R897" s="26"/>
      <c r="S897" s="26"/>
      <c r="T897" s="26"/>
      <c r="U897" s="26"/>
      <c r="V897" s="26"/>
      <c r="W897" s="26"/>
      <c r="X897" s="26"/>
      <c r="Y897" s="26"/>
    </row>
    <row r="898" spans="1:25" ht="15.75" customHeight="1">
      <c r="A898" s="26"/>
      <c r="B898" s="26"/>
      <c r="C898" s="26"/>
      <c r="D898" s="26"/>
      <c r="E898" s="26"/>
      <c r="F898" s="26"/>
      <c r="G898" s="26"/>
      <c r="H898" s="26"/>
      <c r="I898" s="26"/>
      <c r="J898" s="26"/>
      <c r="K898" s="26"/>
      <c r="L898" s="26"/>
      <c r="M898" s="27"/>
      <c r="N898" s="26"/>
      <c r="O898" s="26"/>
      <c r="P898" s="26"/>
      <c r="Q898" s="26"/>
      <c r="R898" s="26"/>
      <c r="S898" s="26"/>
      <c r="T898" s="26"/>
      <c r="U898" s="26"/>
      <c r="V898" s="26"/>
      <c r="W898" s="26"/>
      <c r="X898" s="26"/>
      <c r="Y898" s="26"/>
    </row>
    <row r="899" spans="1:25" ht="15.75" customHeight="1">
      <c r="A899" s="26"/>
      <c r="B899" s="26"/>
      <c r="C899" s="26"/>
      <c r="D899" s="26"/>
      <c r="E899" s="26"/>
      <c r="F899" s="26"/>
      <c r="G899" s="26"/>
      <c r="H899" s="26"/>
      <c r="I899" s="26"/>
      <c r="J899" s="26"/>
      <c r="K899" s="26"/>
      <c r="L899" s="26"/>
      <c r="M899" s="27"/>
      <c r="N899" s="26"/>
      <c r="O899" s="26"/>
      <c r="P899" s="26"/>
      <c r="Q899" s="26"/>
      <c r="R899" s="26"/>
      <c r="S899" s="26"/>
      <c r="T899" s="26"/>
      <c r="U899" s="26"/>
      <c r="V899" s="26"/>
      <c r="W899" s="26"/>
      <c r="X899" s="26"/>
      <c r="Y899" s="26"/>
    </row>
    <row r="900" spans="1:25" ht="15.75" customHeight="1">
      <c r="A900" s="26"/>
      <c r="B900" s="26"/>
      <c r="C900" s="26"/>
      <c r="D900" s="26"/>
      <c r="E900" s="26"/>
      <c r="F900" s="26"/>
      <c r="G900" s="26"/>
      <c r="H900" s="26"/>
      <c r="I900" s="26"/>
      <c r="J900" s="26"/>
      <c r="K900" s="26"/>
      <c r="L900" s="26"/>
      <c r="M900" s="27"/>
      <c r="N900" s="26"/>
      <c r="O900" s="26"/>
      <c r="P900" s="26"/>
      <c r="Q900" s="26"/>
      <c r="R900" s="26"/>
      <c r="S900" s="26"/>
      <c r="T900" s="26"/>
      <c r="U900" s="26"/>
      <c r="V900" s="26"/>
      <c r="W900" s="26"/>
      <c r="X900" s="26"/>
      <c r="Y900" s="26"/>
    </row>
    <row r="901" spans="1:25" ht="15.75" customHeight="1">
      <c r="A901" s="26"/>
      <c r="B901" s="26"/>
      <c r="C901" s="26"/>
      <c r="D901" s="26"/>
      <c r="E901" s="26"/>
      <c r="F901" s="26"/>
      <c r="G901" s="26"/>
      <c r="H901" s="26"/>
      <c r="I901" s="26"/>
      <c r="J901" s="26"/>
      <c r="K901" s="26"/>
      <c r="L901" s="26"/>
      <c r="M901" s="27"/>
      <c r="N901" s="26"/>
      <c r="O901" s="26"/>
      <c r="P901" s="26"/>
      <c r="Q901" s="26"/>
      <c r="R901" s="26"/>
      <c r="S901" s="26"/>
      <c r="T901" s="26"/>
      <c r="U901" s="26"/>
      <c r="V901" s="26"/>
      <c r="W901" s="26"/>
      <c r="X901" s="26"/>
      <c r="Y901" s="26"/>
    </row>
    <row r="902" spans="1:25" ht="15.75" customHeight="1">
      <c r="A902" s="26"/>
      <c r="B902" s="26"/>
      <c r="C902" s="26"/>
      <c r="D902" s="26"/>
      <c r="E902" s="26"/>
      <c r="F902" s="26"/>
      <c r="G902" s="26"/>
      <c r="H902" s="26"/>
      <c r="I902" s="26"/>
      <c r="J902" s="26"/>
      <c r="K902" s="26"/>
      <c r="L902" s="26"/>
      <c r="M902" s="27"/>
      <c r="N902" s="26"/>
      <c r="O902" s="26"/>
      <c r="P902" s="26"/>
      <c r="Q902" s="26"/>
      <c r="R902" s="26"/>
      <c r="S902" s="26"/>
      <c r="T902" s="26"/>
      <c r="U902" s="26"/>
      <c r="V902" s="26"/>
      <c r="W902" s="26"/>
      <c r="X902" s="26"/>
      <c r="Y902" s="26"/>
    </row>
    <row r="903" spans="1:25" ht="15.75" customHeight="1">
      <c r="A903" s="26"/>
      <c r="B903" s="26"/>
      <c r="C903" s="26"/>
      <c r="D903" s="26"/>
      <c r="E903" s="26"/>
      <c r="F903" s="26"/>
      <c r="G903" s="26"/>
      <c r="H903" s="26"/>
      <c r="I903" s="26"/>
      <c r="J903" s="26"/>
      <c r="K903" s="26"/>
      <c r="L903" s="26"/>
      <c r="M903" s="27"/>
      <c r="N903" s="26"/>
      <c r="O903" s="26"/>
      <c r="P903" s="26"/>
      <c r="Q903" s="26"/>
      <c r="R903" s="26"/>
      <c r="S903" s="26"/>
      <c r="T903" s="26"/>
      <c r="U903" s="26"/>
      <c r="V903" s="26"/>
      <c r="W903" s="26"/>
      <c r="X903" s="26"/>
      <c r="Y903" s="26"/>
    </row>
    <row r="904" spans="1:25" ht="15.75" customHeight="1">
      <c r="A904" s="26"/>
      <c r="B904" s="26"/>
      <c r="C904" s="26"/>
      <c r="D904" s="26"/>
      <c r="E904" s="26"/>
      <c r="F904" s="26"/>
      <c r="G904" s="26"/>
      <c r="H904" s="26"/>
      <c r="I904" s="26"/>
      <c r="J904" s="26"/>
      <c r="K904" s="26"/>
      <c r="L904" s="26"/>
      <c r="M904" s="27"/>
      <c r="N904" s="26"/>
      <c r="O904" s="26"/>
      <c r="P904" s="26"/>
      <c r="Q904" s="26"/>
      <c r="R904" s="26"/>
      <c r="S904" s="26"/>
      <c r="T904" s="26"/>
      <c r="U904" s="26"/>
      <c r="V904" s="26"/>
      <c r="W904" s="26"/>
      <c r="X904" s="26"/>
      <c r="Y904" s="26"/>
    </row>
    <row r="905" spans="1:25" ht="15.75" customHeight="1">
      <c r="A905" s="26"/>
      <c r="B905" s="26"/>
      <c r="C905" s="26"/>
      <c r="D905" s="26"/>
      <c r="E905" s="26"/>
      <c r="F905" s="26"/>
      <c r="G905" s="26"/>
      <c r="H905" s="26"/>
      <c r="I905" s="26"/>
      <c r="J905" s="26"/>
      <c r="K905" s="26"/>
      <c r="L905" s="26"/>
      <c r="M905" s="27"/>
      <c r="N905" s="26"/>
      <c r="O905" s="26"/>
      <c r="P905" s="26"/>
      <c r="Q905" s="26"/>
      <c r="R905" s="26"/>
      <c r="S905" s="26"/>
      <c r="T905" s="26"/>
      <c r="U905" s="26"/>
      <c r="V905" s="26"/>
      <c r="W905" s="26"/>
      <c r="X905" s="26"/>
      <c r="Y905" s="26"/>
    </row>
    <row r="906" spans="1:25" ht="15.75" customHeight="1">
      <c r="A906" s="26"/>
      <c r="B906" s="26"/>
      <c r="C906" s="26"/>
      <c r="D906" s="26"/>
      <c r="E906" s="26"/>
      <c r="F906" s="26"/>
      <c r="G906" s="26"/>
      <c r="H906" s="26"/>
      <c r="I906" s="26"/>
      <c r="J906" s="26"/>
      <c r="K906" s="26"/>
      <c r="L906" s="26"/>
      <c r="M906" s="27"/>
      <c r="N906" s="26"/>
      <c r="O906" s="26"/>
      <c r="P906" s="26"/>
      <c r="Q906" s="26"/>
      <c r="R906" s="26"/>
      <c r="S906" s="26"/>
      <c r="T906" s="26"/>
      <c r="U906" s="26"/>
      <c r="V906" s="26"/>
      <c r="W906" s="26"/>
      <c r="X906" s="26"/>
      <c r="Y906" s="26"/>
    </row>
    <row r="907" spans="1:25" ht="15.75" customHeight="1">
      <c r="A907" s="26"/>
      <c r="B907" s="26"/>
      <c r="C907" s="26"/>
      <c r="D907" s="26"/>
      <c r="E907" s="26"/>
      <c r="F907" s="26"/>
      <c r="G907" s="26"/>
      <c r="H907" s="26"/>
      <c r="I907" s="26"/>
      <c r="J907" s="26"/>
      <c r="K907" s="26"/>
      <c r="L907" s="26"/>
      <c r="M907" s="27"/>
      <c r="N907" s="26"/>
      <c r="O907" s="26"/>
      <c r="P907" s="26"/>
      <c r="Q907" s="26"/>
      <c r="R907" s="26"/>
      <c r="S907" s="26"/>
      <c r="T907" s="26"/>
      <c r="U907" s="26"/>
      <c r="V907" s="26"/>
      <c r="W907" s="26"/>
      <c r="X907" s="26"/>
      <c r="Y907" s="26"/>
    </row>
    <row r="908" spans="1:25" ht="15.75" customHeight="1">
      <c r="A908" s="26"/>
      <c r="B908" s="26"/>
      <c r="C908" s="26"/>
      <c r="D908" s="26"/>
      <c r="E908" s="26"/>
      <c r="F908" s="26"/>
      <c r="G908" s="26"/>
      <c r="H908" s="26"/>
      <c r="I908" s="26"/>
      <c r="J908" s="26"/>
      <c r="K908" s="26"/>
      <c r="L908" s="26"/>
      <c r="M908" s="27"/>
      <c r="N908" s="26"/>
      <c r="O908" s="26"/>
      <c r="P908" s="26"/>
      <c r="Q908" s="26"/>
      <c r="R908" s="26"/>
      <c r="S908" s="26"/>
      <c r="T908" s="26"/>
      <c r="U908" s="26"/>
      <c r="V908" s="26"/>
      <c r="W908" s="26"/>
      <c r="X908" s="26"/>
      <c r="Y908" s="26"/>
    </row>
    <row r="909" spans="1:25" ht="15.75" customHeight="1">
      <c r="A909" s="26"/>
      <c r="B909" s="26"/>
      <c r="C909" s="26"/>
      <c r="D909" s="26"/>
      <c r="E909" s="26"/>
      <c r="F909" s="26"/>
      <c r="G909" s="26"/>
      <c r="H909" s="26"/>
      <c r="I909" s="26"/>
      <c r="J909" s="26"/>
      <c r="K909" s="26"/>
      <c r="L909" s="26"/>
      <c r="M909" s="27"/>
      <c r="N909" s="26"/>
      <c r="O909" s="26"/>
      <c r="P909" s="26"/>
      <c r="Q909" s="26"/>
      <c r="R909" s="26"/>
      <c r="S909" s="26"/>
      <c r="T909" s="26"/>
      <c r="U909" s="26"/>
      <c r="V909" s="26"/>
      <c r="W909" s="26"/>
      <c r="X909" s="26"/>
      <c r="Y909" s="26"/>
    </row>
    <row r="910" spans="1:25" ht="15.75" customHeight="1">
      <c r="A910" s="26"/>
      <c r="B910" s="26"/>
      <c r="C910" s="26"/>
      <c r="D910" s="26"/>
      <c r="E910" s="26"/>
      <c r="F910" s="26"/>
      <c r="G910" s="26"/>
      <c r="H910" s="26"/>
      <c r="I910" s="26"/>
      <c r="J910" s="26"/>
      <c r="K910" s="26"/>
      <c r="L910" s="26"/>
      <c r="M910" s="27"/>
      <c r="N910" s="26"/>
      <c r="O910" s="26"/>
      <c r="P910" s="26"/>
      <c r="Q910" s="26"/>
      <c r="R910" s="26"/>
      <c r="S910" s="26"/>
      <c r="T910" s="26"/>
      <c r="U910" s="26"/>
      <c r="V910" s="26"/>
      <c r="W910" s="26"/>
      <c r="X910" s="26"/>
      <c r="Y910" s="26"/>
    </row>
    <row r="911" spans="1:25" ht="15.75" customHeight="1">
      <c r="A911" s="26"/>
      <c r="B911" s="26"/>
      <c r="C911" s="26"/>
      <c r="D911" s="26"/>
      <c r="E911" s="26"/>
      <c r="F911" s="26"/>
      <c r="G911" s="26"/>
      <c r="H911" s="26"/>
      <c r="I911" s="26"/>
      <c r="J911" s="26"/>
      <c r="K911" s="26"/>
      <c r="L911" s="26"/>
      <c r="M911" s="27"/>
      <c r="N911" s="26"/>
      <c r="O911" s="26"/>
      <c r="P911" s="26"/>
      <c r="Q911" s="26"/>
      <c r="R911" s="26"/>
      <c r="S911" s="26"/>
      <c r="T911" s="26"/>
      <c r="U911" s="26"/>
      <c r="V911" s="26"/>
      <c r="W911" s="26"/>
      <c r="X911" s="26"/>
      <c r="Y911" s="26"/>
    </row>
    <row r="912" spans="1:25" ht="15.75" customHeight="1">
      <c r="A912" s="26"/>
      <c r="B912" s="26"/>
      <c r="C912" s="26"/>
      <c r="D912" s="26"/>
      <c r="E912" s="26"/>
      <c r="F912" s="26"/>
      <c r="G912" s="26"/>
      <c r="H912" s="26"/>
      <c r="I912" s="26"/>
      <c r="J912" s="26"/>
      <c r="K912" s="26"/>
      <c r="L912" s="26"/>
      <c r="M912" s="27"/>
      <c r="N912" s="26"/>
      <c r="O912" s="26"/>
      <c r="P912" s="26"/>
      <c r="Q912" s="26"/>
      <c r="R912" s="26"/>
      <c r="S912" s="26"/>
      <c r="T912" s="26"/>
      <c r="U912" s="26"/>
      <c r="V912" s="26"/>
      <c r="W912" s="26"/>
      <c r="X912" s="26"/>
      <c r="Y912" s="26"/>
    </row>
    <row r="913" spans="1:25" ht="15.75" customHeight="1">
      <c r="A913" s="26"/>
      <c r="B913" s="26"/>
      <c r="C913" s="26"/>
      <c r="D913" s="26"/>
      <c r="E913" s="26"/>
      <c r="F913" s="26"/>
      <c r="G913" s="26"/>
      <c r="H913" s="26"/>
      <c r="I913" s="26"/>
      <c r="J913" s="26"/>
      <c r="K913" s="26"/>
      <c r="L913" s="26"/>
      <c r="M913" s="27"/>
      <c r="N913" s="26"/>
      <c r="O913" s="26"/>
      <c r="P913" s="26"/>
      <c r="Q913" s="26"/>
      <c r="R913" s="26"/>
      <c r="S913" s="26"/>
      <c r="T913" s="26"/>
      <c r="U913" s="26"/>
      <c r="V913" s="26"/>
      <c r="W913" s="26"/>
      <c r="X913" s="26"/>
      <c r="Y913" s="26"/>
    </row>
    <row r="914" spans="1:25" ht="15.75" customHeight="1">
      <c r="A914" s="26"/>
      <c r="B914" s="26"/>
      <c r="C914" s="26"/>
      <c r="D914" s="26"/>
      <c r="E914" s="26"/>
      <c r="F914" s="26"/>
      <c r="G914" s="26"/>
      <c r="H914" s="26"/>
      <c r="I914" s="26"/>
      <c r="J914" s="26"/>
      <c r="K914" s="26"/>
      <c r="L914" s="26"/>
      <c r="M914" s="27"/>
      <c r="N914" s="26"/>
      <c r="O914" s="26"/>
      <c r="P914" s="26"/>
      <c r="Q914" s="26"/>
      <c r="R914" s="26"/>
      <c r="S914" s="26"/>
      <c r="T914" s="26"/>
      <c r="U914" s="26"/>
      <c r="V914" s="26"/>
      <c r="W914" s="26"/>
      <c r="X914" s="26"/>
      <c r="Y914" s="26"/>
    </row>
    <row r="915" spans="1:25" ht="15.75" customHeight="1">
      <c r="A915" s="26"/>
      <c r="B915" s="26"/>
      <c r="C915" s="26"/>
      <c r="D915" s="26"/>
      <c r="E915" s="26"/>
      <c r="F915" s="26"/>
      <c r="G915" s="26"/>
      <c r="H915" s="26"/>
      <c r="I915" s="26"/>
      <c r="J915" s="26"/>
      <c r="K915" s="26"/>
      <c r="L915" s="26"/>
      <c r="M915" s="27"/>
      <c r="N915" s="26"/>
      <c r="O915" s="26"/>
      <c r="P915" s="26"/>
      <c r="Q915" s="26"/>
      <c r="R915" s="26"/>
      <c r="S915" s="26"/>
      <c r="T915" s="26"/>
      <c r="U915" s="26"/>
      <c r="V915" s="26"/>
      <c r="W915" s="26"/>
      <c r="X915" s="26"/>
      <c r="Y915" s="26"/>
    </row>
    <row r="916" spans="1:25" ht="15.75" customHeight="1">
      <c r="A916" s="26"/>
      <c r="B916" s="26"/>
      <c r="C916" s="26"/>
      <c r="D916" s="26"/>
      <c r="E916" s="26"/>
      <c r="F916" s="26"/>
      <c r="G916" s="26"/>
      <c r="H916" s="26"/>
      <c r="I916" s="26"/>
      <c r="J916" s="26"/>
      <c r="K916" s="26"/>
      <c r="L916" s="26"/>
      <c r="M916" s="27"/>
      <c r="N916" s="26"/>
      <c r="O916" s="26"/>
      <c r="P916" s="26"/>
      <c r="Q916" s="26"/>
      <c r="R916" s="26"/>
      <c r="S916" s="26"/>
      <c r="T916" s="26"/>
      <c r="U916" s="26"/>
      <c r="V916" s="26"/>
      <c r="W916" s="26"/>
      <c r="X916" s="26"/>
      <c r="Y916" s="26"/>
    </row>
    <row r="917" spans="1:25" ht="15.75" customHeight="1">
      <c r="A917" s="26"/>
      <c r="B917" s="26"/>
      <c r="C917" s="26"/>
      <c r="D917" s="26"/>
      <c r="E917" s="26"/>
      <c r="F917" s="26"/>
      <c r="G917" s="26"/>
      <c r="H917" s="26"/>
      <c r="I917" s="26"/>
      <c r="J917" s="26"/>
      <c r="K917" s="26"/>
      <c r="L917" s="26"/>
      <c r="M917" s="27"/>
      <c r="N917" s="26"/>
      <c r="O917" s="26"/>
      <c r="P917" s="26"/>
      <c r="Q917" s="26"/>
      <c r="R917" s="26"/>
      <c r="S917" s="26"/>
      <c r="T917" s="26"/>
      <c r="U917" s="26"/>
      <c r="V917" s="26"/>
      <c r="W917" s="26"/>
      <c r="X917" s="26"/>
      <c r="Y917" s="26"/>
    </row>
    <row r="918" spans="1:25" ht="15.75" customHeight="1">
      <c r="A918" s="26"/>
      <c r="B918" s="26"/>
      <c r="C918" s="26"/>
      <c r="D918" s="26"/>
      <c r="E918" s="26"/>
      <c r="F918" s="26"/>
      <c r="G918" s="26"/>
      <c r="H918" s="26"/>
      <c r="I918" s="26"/>
      <c r="J918" s="26"/>
      <c r="K918" s="26"/>
      <c r="L918" s="26"/>
      <c r="M918" s="27"/>
      <c r="N918" s="26"/>
      <c r="O918" s="26"/>
      <c r="P918" s="26"/>
      <c r="Q918" s="26"/>
      <c r="R918" s="26"/>
      <c r="S918" s="26"/>
      <c r="T918" s="26"/>
      <c r="U918" s="26"/>
      <c r="V918" s="26"/>
      <c r="W918" s="26"/>
      <c r="X918" s="26"/>
      <c r="Y918" s="26"/>
    </row>
    <row r="919" spans="1:25" ht="15.75" customHeight="1">
      <c r="A919" s="26"/>
      <c r="B919" s="26"/>
      <c r="C919" s="26"/>
      <c r="D919" s="26"/>
      <c r="E919" s="26"/>
      <c r="F919" s="26"/>
      <c r="G919" s="26"/>
      <c r="H919" s="26"/>
      <c r="I919" s="26"/>
      <c r="J919" s="26"/>
      <c r="K919" s="26"/>
      <c r="L919" s="26"/>
      <c r="M919" s="27"/>
      <c r="N919" s="26"/>
      <c r="O919" s="26"/>
      <c r="P919" s="26"/>
      <c r="Q919" s="26"/>
      <c r="R919" s="26"/>
      <c r="S919" s="26"/>
      <c r="T919" s="26"/>
      <c r="U919" s="26"/>
      <c r="V919" s="26"/>
      <c r="W919" s="26"/>
      <c r="X919" s="26"/>
      <c r="Y919" s="26"/>
    </row>
    <row r="920" spans="1:25" ht="15.75" customHeight="1">
      <c r="A920" s="26"/>
      <c r="B920" s="26"/>
      <c r="C920" s="26"/>
      <c r="D920" s="26"/>
      <c r="E920" s="26"/>
      <c r="F920" s="26"/>
      <c r="G920" s="26"/>
      <c r="H920" s="26"/>
      <c r="I920" s="26"/>
      <c r="J920" s="26"/>
      <c r="K920" s="26"/>
      <c r="L920" s="26"/>
      <c r="M920" s="27"/>
      <c r="N920" s="26"/>
      <c r="O920" s="26"/>
      <c r="P920" s="26"/>
      <c r="Q920" s="26"/>
      <c r="R920" s="26"/>
      <c r="S920" s="26"/>
      <c r="T920" s="26"/>
      <c r="U920" s="26"/>
      <c r="V920" s="26"/>
      <c r="W920" s="26"/>
      <c r="X920" s="26"/>
      <c r="Y920" s="26"/>
    </row>
    <row r="921" spans="1:25" ht="15.75" customHeight="1">
      <c r="A921" s="26"/>
      <c r="B921" s="26"/>
      <c r="C921" s="26"/>
      <c r="D921" s="26"/>
      <c r="E921" s="26"/>
      <c r="F921" s="26"/>
      <c r="G921" s="26"/>
      <c r="H921" s="26"/>
      <c r="I921" s="26"/>
      <c r="J921" s="26"/>
      <c r="K921" s="26"/>
      <c r="L921" s="26"/>
      <c r="M921" s="27"/>
      <c r="N921" s="26"/>
      <c r="O921" s="26"/>
      <c r="P921" s="26"/>
      <c r="Q921" s="26"/>
      <c r="R921" s="26"/>
      <c r="S921" s="26"/>
      <c r="T921" s="26"/>
      <c r="U921" s="26"/>
      <c r="V921" s="26"/>
      <c r="W921" s="26"/>
      <c r="X921" s="26"/>
      <c r="Y921" s="26"/>
    </row>
    <row r="922" spans="1:25" ht="15.75" customHeight="1">
      <c r="A922" s="26"/>
      <c r="B922" s="26"/>
      <c r="C922" s="26"/>
      <c r="D922" s="26"/>
      <c r="E922" s="26"/>
      <c r="F922" s="26"/>
      <c r="G922" s="26"/>
      <c r="H922" s="26"/>
      <c r="I922" s="26"/>
      <c r="J922" s="26"/>
      <c r="K922" s="26"/>
      <c r="L922" s="26"/>
      <c r="M922" s="27"/>
      <c r="N922" s="26"/>
      <c r="O922" s="26"/>
      <c r="P922" s="26"/>
      <c r="Q922" s="26"/>
      <c r="R922" s="26"/>
      <c r="S922" s="26"/>
      <c r="T922" s="26"/>
      <c r="U922" s="26"/>
      <c r="V922" s="26"/>
      <c r="W922" s="26"/>
      <c r="X922" s="26"/>
      <c r="Y922" s="26"/>
    </row>
    <row r="923" spans="1:25" ht="15.75" customHeight="1">
      <c r="A923" s="26"/>
      <c r="B923" s="26"/>
      <c r="C923" s="26"/>
      <c r="D923" s="26"/>
      <c r="E923" s="26"/>
      <c r="F923" s="26"/>
      <c r="G923" s="26"/>
      <c r="H923" s="26"/>
      <c r="I923" s="26"/>
      <c r="J923" s="26"/>
      <c r="K923" s="26"/>
      <c r="L923" s="26"/>
      <c r="M923" s="27"/>
      <c r="N923" s="26"/>
      <c r="O923" s="26"/>
      <c r="P923" s="26"/>
      <c r="Q923" s="26"/>
      <c r="R923" s="26"/>
      <c r="S923" s="26"/>
      <c r="T923" s="26"/>
      <c r="U923" s="26"/>
      <c r="V923" s="26"/>
      <c r="W923" s="26"/>
      <c r="X923" s="26"/>
      <c r="Y923" s="26"/>
    </row>
    <row r="924" spans="1:25" ht="15.75" customHeight="1">
      <c r="A924" s="26"/>
      <c r="B924" s="26"/>
      <c r="C924" s="26"/>
      <c r="D924" s="26"/>
      <c r="E924" s="26"/>
      <c r="F924" s="26"/>
      <c r="G924" s="26"/>
      <c r="H924" s="26"/>
      <c r="I924" s="26"/>
      <c r="J924" s="26"/>
      <c r="K924" s="26"/>
      <c r="L924" s="26"/>
      <c r="M924" s="27"/>
      <c r="N924" s="26"/>
      <c r="O924" s="26"/>
      <c r="P924" s="26"/>
      <c r="Q924" s="26"/>
      <c r="R924" s="26"/>
      <c r="S924" s="26"/>
      <c r="T924" s="26"/>
      <c r="U924" s="26"/>
      <c r="V924" s="26"/>
      <c r="W924" s="26"/>
      <c r="X924" s="26"/>
      <c r="Y924" s="26"/>
    </row>
    <row r="925" spans="1:25" ht="15.75" customHeight="1">
      <c r="A925" s="26"/>
      <c r="B925" s="26"/>
      <c r="C925" s="26"/>
      <c r="D925" s="26"/>
      <c r="E925" s="26"/>
      <c r="F925" s="26"/>
      <c r="G925" s="26"/>
      <c r="H925" s="26"/>
      <c r="I925" s="26"/>
      <c r="J925" s="26"/>
      <c r="K925" s="26"/>
      <c r="L925" s="26"/>
      <c r="M925" s="27"/>
      <c r="N925" s="26"/>
      <c r="O925" s="26"/>
      <c r="P925" s="26"/>
      <c r="Q925" s="26"/>
      <c r="R925" s="26"/>
      <c r="S925" s="26"/>
      <c r="T925" s="26"/>
      <c r="U925" s="26"/>
      <c r="V925" s="26"/>
      <c r="W925" s="26"/>
      <c r="X925" s="26"/>
      <c r="Y925" s="26"/>
    </row>
    <row r="926" spans="1:25" ht="15.75" customHeight="1">
      <c r="A926" s="26"/>
      <c r="B926" s="26"/>
      <c r="C926" s="26"/>
      <c r="D926" s="26"/>
      <c r="E926" s="26"/>
      <c r="F926" s="26"/>
      <c r="G926" s="26"/>
      <c r="H926" s="26"/>
      <c r="I926" s="26"/>
      <c r="J926" s="26"/>
      <c r="K926" s="26"/>
      <c r="L926" s="26"/>
      <c r="M926" s="27"/>
      <c r="N926" s="26"/>
      <c r="O926" s="26"/>
      <c r="P926" s="26"/>
      <c r="Q926" s="26"/>
      <c r="R926" s="26"/>
      <c r="S926" s="26"/>
      <c r="T926" s="26"/>
      <c r="U926" s="26"/>
      <c r="V926" s="26"/>
      <c r="W926" s="26"/>
      <c r="X926" s="26"/>
      <c r="Y926" s="26"/>
    </row>
    <row r="927" spans="1:25" ht="15.75" customHeight="1">
      <c r="A927" s="26"/>
      <c r="B927" s="26"/>
      <c r="C927" s="26"/>
      <c r="D927" s="26"/>
      <c r="E927" s="26"/>
      <c r="F927" s="26"/>
      <c r="G927" s="26"/>
      <c r="H927" s="26"/>
      <c r="I927" s="26"/>
      <c r="J927" s="26"/>
      <c r="K927" s="26"/>
      <c r="L927" s="26"/>
      <c r="M927" s="27"/>
      <c r="N927" s="26"/>
      <c r="O927" s="26"/>
      <c r="P927" s="26"/>
      <c r="Q927" s="26"/>
      <c r="R927" s="26"/>
      <c r="S927" s="26"/>
      <c r="T927" s="26"/>
      <c r="U927" s="26"/>
      <c r="V927" s="26"/>
      <c r="W927" s="26"/>
      <c r="X927" s="26"/>
      <c r="Y927" s="26"/>
    </row>
    <row r="928" spans="1:25" ht="15.75" customHeight="1">
      <c r="A928" s="26"/>
      <c r="B928" s="26"/>
      <c r="C928" s="26"/>
      <c r="D928" s="26"/>
      <c r="E928" s="26"/>
      <c r="F928" s="26"/>
      <c r="G928" s="26"/>
      <c r="H928" s="26"/>
      <c r="I928" s="26"/>
      <c r="J928" s="26"/>
      <c r="K928" s="26"/>
      <c r="L928" s="26"/>
      <c r="M928" s="27"/>
      <c r="N928" s="26"/>
      <c r="O928" s="26"/>
      <c r="P928" s="26"/>
      <c r="Q928" s="26"/>
      <c r="R928" s="26"/>
      <c r="S928" s="26"/>
      <c r="T928" s="26"/>
      <c r="U928" s="26"/>
      <c r="V928" s="26"/>
      <c r="W928" s="26"/>
      <c r="X928" s="26"/>
      <c r="Y928" s="26"/>
    </row>
    <row r="929" spans="1:25" ht="15.75" customHeight="1">
      <c r="A929" s="26"/>
      <c r="B929" s="26"/>
      <c r="C929" s="26"/>
      <c r="D929" s="26"/>
      <c r="E929" s="26"/>
      <c r="F929" s="26"/>
      <c r="G929" s="26"/>
      <c r="H929" s="26"/>
      <c r="I929" s="26"/>
      <c r="J929" s="26"/>
      <c r="K929" s="26"/>
      <c r="L929" s="26"/>
      <c r="M929" s="27"/>
      <c r="N929" s="26"/>
      <c r="O929" s="26"/>
      <c r="P929" s="26"/>
      <c r="Q929" s="26"/>
      <c r="R929" s="26"/>
      <c r="S929" s="26"/>
      <c r="T929" s="26"/>
      <c r="U929" s="26"/>
      <c r="V929" s="26"/>
      <c r="W929" s="26"/>
      <c r="X929" s="26"/>
      <c r="Y929" s="26"/>
    </row>
    <row r="930" spans="1:25" ht="15.75" customHeight="1">
      <c r="A930" s="26"/>
      <c r="B930" s="26"/>
      <c r="C930" s="26"/>
      <c r="D930" s="26"/>
      <c r="E930" s="26"/>
      <c r="F930" s="26"/>
      <c r="G930" s="26"/>
      <c r="H930" s="26"/>
      <c r="I930" s="26"/>
      <c r="J930" s="26"/>
      <c r="K930" s="26"/>
      <c r="L930" s="26"/>
      <c r="M930" s="27"/>
      <c r="N930" s="26"/>
      <c r="O930" s="26"/>
      <c r="P930" s="26"/>
      <c r="Q930" s="26"/>
      <c r="R930" s="26"/>
      <c r="S930" s="26"/>
      <c r="T930" s="26"/>
      <c r="U930" s="26"/>
      <c r="V930" s="26"/>
      <c r="W930" s="26"/>
      <c r="X930" s="26"/>
      <c r="Y930" s="26"/>
    </row>
    <row r="931" spans="1:25" ht="15.75" customHeight="1">
      <c r="A931" s="26"/>
      <c r="B931" s="26"/>
      <c r="C931" s="26"/>
      <c r="D931" s="26"/>
      <c r="E931" s="26"/>
      <c r="F931" s="26"/>
      <c r="G931" s="26"/>
      <c r="H931" s="26"/>
      <c r="I931" s="26"/>
      <c r="J931" s="26"/>
      <c r="K931" s="26"/>
      <c r="L931" s="26"/>
      <c r="M931" s="27"/>
      <c r="N931" s="26"/>
      <c r="O931" s="26"/>
      <c r="P931" s="26"/>
      <c r="Q931" s="26"/>
      <c r="R931" s="26"/>
      <c r="S931" s="26"/>
      <c r="T931" s="26"/>
      <c r="U931" s="26"/>
      <c r="V931" s="26"/>
      <c r="W931" s="26"/>
      <c r="X931" s="26"/>
      <c r="Y931" s="26"/>
    </row>
    <row r="932" spans="1:25" ht="15.75" customHeight="1">
      <c r="A932" s="26"/>
      <c r="B932" s="26"/>
      <c r="C932" s="26"/>
      <c r="D932" s="26"/>
      <c r="E932" s="26"/>
      <c r="F932" s="26"/>
      <c r="G932" s="26"/>
      <c r="H932" s="26"/>
      <c r="I932" s="26"/>
      <c r="J932" s="26"/>
      <c r="K932" s="26"/>
      <c r="L932" s="26"/>
      <c r="M932" s="27"/>
      <c r="N932" s="26"/>
      <c r="O932" s="26"/>
      <c r="P932" s="26"/>
      <c r="Q932" s="26"/>
      <c r="R932" s="26"/>
      <c r="S932" s="26"/>
      <c r="T932" s="26"/>
      <c r="U932" s="26"/>
      <c r="V932" s="26"/>
      <c r="W932" s="26"/>
      <c r="X932" s="26"/>
      <c r="Y932" s="26"/>
    </row>
    <row r="933" spans="1:25" ht="15.75" customHeight="1">
      <c r="A933" s="26"/>
      <c r="B933" s="26"/>
      <c r="C933" s="26"/>
      <c r="D933" s="26"/>
      <c r="E933" s="26"/>
      <c r="F933" s="26"/>
      <c r="G933" s="26"/>
      <c r="H933" s="26"/>
      <c r="I933" s="26"/>
      <c r="J933" s="26"/>
      <c r="K933" s="26"/>
      <c r="L933" s="26"/>
      <c r="M933" s="27"/>
      <c r="N933" s="26"/>
      <c r="O933" s="26"/>
      <c r="P933" s="26"/>
      <c r="Q933" s="26"/>
      <c r="R933" s="26"/>
      <c r="S933" s="26"/>
      <c r="T933" s="26"/>
      <c r="U933" s="26"/>
      <c r="V933" s="26"/>
      <c r="W933" s="26"/>
      <c r="X933" s="26"/>
      <c r="Y933" s="26"/>
    </row>
    <row r="934" spans="1:25" ht="15.75" customHeight="1">
      <c r="A934" s="26"/>
      <c r="B934" s="26"/>
      <c r="C934" s="26"/>
      <c r="D934" s="26"/>
      <c r="E934" s="26"/>
      <c r="F934" s="26"/>
      <c r="G934" s="26"/>
      <c r="H934" s="26"/>
      <c r="I934" s="26"/>
      <c r="J934" s="26"/>
      <c r="K934" s="26"/>
      <c r="L934" s="26"/>
      <c r="M934" s="27"/>
      <c r="N934" s="26"/>
      <c r="O934" s="26"/>
      <c r="P934" s="26"/>
      <c r="Q934" s="26"/>
      <c r="R934" s="26"/>
      <c r="S934" s="26"/>
      <c r="T934" s="26"/>
      <c r="U934" s="26"/>
      <c r="V934" s="26"/>
      <c r="W934" s="26"/>
      <c r="X934" s="26"/>
      <c r="Y934" s="26"/>
    </row>
    <row r="935" spans="1:25" ht="15.75" customHeight="1">
      <c r="A935" s="26"/>
      <c r="B935" s="26"/>
      <c r="C935" s="26"/>
      <c r="D935" s="26"/>
      <c r="E935" s="26"/>
      <c r="F935" s="26"/>
      <c r="G935" s="26"/>
      <c r="H935" s="26"/>
      <c r="I935" s="26"/>
      <c r="J935" s="26"/>
      <c r="K935" s="26"/>
      <c r="L935" s="26"/>
      <c r="M935" s="27"/>
      <c r="N935" s="26"/>
      <c r="O935" s="26"/>
      <c r="P935" s="26"/>
      <c r="Q935" s="26"/>
      <c r="R935" s="26"/>
      <c r="S935" s="26"/>
      <c r="T935" s="26"/>
      <c r="U935" s="26"/>
      <c r="V935" s="26"/>
      <c r="W935" s="26"/>
      <c r="X935" s="26"/>
      <c r="Y935" s="26"/>
    </row>
    <row r="936" spans="1:25" ht="15.75" customHeight="1">
      <c r="A936" s="26"/>
      <c r="B936" s="26"/>
      <c r="C936" s="26"/>
      <c r="D936" s="26"/>
      <c r="E936" s="26"/>
      <c r="F936" s="26"/>
      <c r="G936" s="26"/>
      <c r="H936" s="26"/>
      <c r="I936" s="26"/>
      <c r="J936" s="26"/>
      <c r="K936" s="26"/>
      <c r="L936" s="26"/>
      <c r="M936" s="27"/>
      <c r="N936" s="26"/>
      <c r="O936" s="26"/>
      <c r="P936" s="26"/>
      <c r="Q936" s="26"/>
      <c r="R936" s="26"/>
      <c r="S936" s="26"/>
      <c r="T936" s="26"/>
      <c r="U936" s="26"/>
      <c r="V936" s="26"/>
      <c r="W936" s="26"/>
      <c r="X936" s="26"/>
      <c r="Y936" s="26"/>
    </row>
    <row r="937" spans="1:25" ht="15.75" customHeight="1">
      <c r="A937" s="26"/>
      <c r="B937" s="26"/>
      <c r="C937" s="26"/>
      <c r="D937" s="26"/>
      <c r="E937" s="26"/>
      <c r="F937" s="26"/>
      <c r="G937" s="26"/>
      <c r="H937" s="26"/>
      <c r="I937" s="26"/>
      <c r="J937" s="26"/>
      <c r="K937" s="26"/>
      <c r="L937" s="26"/>
      <c r="M937" s="27"/>
      <c r="N937" s="26"/>
      <c r="O937" s="26"/>
      <c r="P937" s="26"/>
      <c r="Q937" s="26"/>
      <c r="R937" s="26"/>
      <c r="S937" s="26"/>
      <c r="T937" s="26"/>
      <c r="U937" s="26"/>
      <c r="V937" s="26"/>
      <c r="W937" s="26"/>
      <c r="X937" s="26"/>
      <c r="Y937" s="26"/>
    </row>
    <row r="938" spans="1:25" ht="15.75" customHeight="1">
      <c r="A938" s="26"/>
      <c r="B938" s="26"/>
      <c r="C938" s="26"/>
      <c r="D938" s="26"/>
      <c r="E938" s="26"/>
      <c r="F938" s="26"/>
      <c r="G938" s="26"/>
      <c r="H938" s="26"/>
      <c r="I938" s="26"/>
      <c r="J938" s="26"/>
      <c r="K938" s="26"/>
      <c r="L938" s="26"/>
      <c r="M938" s="27"/>
      <c r="N938" s="26"/>
      <c r="O938" s="26"/>
      <c r="P938" s="26"/>
      <c r="Q938" s="26"/>
      <c r="R938" s="26"/>
      <c r="S938" s="26"/>
      <c r="T938" s="26"/>
      <c r="U938" s="26"/>
      <c r="V938" s="26"/>
      <c r="W938" s="26"/>
      <c r="X938" s="26"/>
      <c r="Y938" s="26"/>
    </row>
    <row r="939" spans="1:25" ht="15.75" customHeight="1">
      <c r="A939" s="26"/>
      <c r="B939" s="26"/>
      <c r="C939" s="26"/>
      <c r="D939" s="26"/>
      <c r="E939" s="26"/>
      <c r="F939" s="26"/>
      <c r="G939" s="26"/>
      <c r="H939" s="26"/>
      <c r="I939" s="26"/>
      <c r="J939" s="26"/>
      <c r="K939" s="26"/>
      <c r="L939" s="26"/>
      <c r="M939" s="27"/>
      <c r="N939" s="26"/>
      <c r="O939" s="26"/>
      <c r="P939" s="26"/>
      <c r="Q939" s="26"/>
      <c r="R939" s="26"/>
      <c r="S939" s="26"/>
      <c r="T939" s="26"/>
      <c r="U939" s="26"/>
      <c r="V939" s="26"/>
      <c r="W939" s="26"/>
      <c r="X939" s="26"/>
      <c r="Y939" s="26"/>
    </row>
    <row r="940" spans="1:25" ht="15.75" customHeight="1">
      <c r="A940" s="26"/>
      <c r="B940" s="26"/>
      <c r="C940" s="26"/>
      <c r="D940" s="26"/>
      <c r="E940" s="26"/>
      <c r="F940" s="26"/>
      <c r="G940" s="26"/>
      <c r="H940" s="26"/>
      <c r="I940" s="26"/>
      <c r="J940" s="26"/>
      <c r="K940" s="26"/>
      <c r="L940" s="26"/>
      <c r="M940" s="27"/>
      <c r="N940" s="26"/>
      <c r="O940" s="26"/>
      <c r="P940" s="26"/>
      <c r="Q940" s="26"/>
      <c r="R940" s="26"/>
      <c r="S940" s="26"/>
      <c r="T940" s="26"/>
      <c r="U940" s="26"/>
      <c r="V940" s="26"/>
      <c r="W940" s="26"/>
      <c r="X940" s="26"/>
      <c r="Y940" s="26"/>
    </row>
    <row r="941" spans="1:25" ht="15.75" customHeight="1">
      <c r="A941" s="26"/>
      <c r="B941" s="26"/>
      <c r="C941" s="26"/>
      <c r="D941" s="26"/>
      <c r="E941" s="26"/>
      <c r="F941" s="26"/>
      <c r="G941" s="26"/>
      <c r="H941" s="26"/>
      <c r="I941" s="26"/>
      <c r="J941" s="26"/>
      <c r="K941" s="26"/>
      <c r="L941" s="26"/>
      <c r="M941" s="27"/>
      <c r="N941" s="26"/>
      <c r="O941" s="26"/>
      <c r="P941" s="26"/>
      <c r="Q941" s="26"/>
      <c r="R941" s="26"/>
      <c r="S941" s="26"/>
      <c r="T941" s="26"/>
      <c r="U941" s="26"/>
      <c r="V941" s="26"/>
      <c r="W941" s="26"/>
      <c r="X941" s="26"/>
      <c r="Y941" s="26"/>
    </row>
    <row r="942" spans="1:25" ht="15.75" customHeight="1">
      <c r="A942" s="26"/>
      <c r="B942" s="26"/>
      <c r="C942" s="26"/>
      <c r="D942" s="26"/>
      <c r="E942" s="26"/>
      <c r="F942" s="26"/>
      <c r="G942" s="26"/>
      <c r="H942" s="26"/>
      <c r="I942" s="26"/>
      <c r="J942" s="26"/>
      <c r="K942" s="26"/>
      <c r="L942" s="26"/>
      <c r="M942" s="27"/>
      <c r="N942" s="26"/>
      <c r="O942" s="26"/>
      <c r="P942" s="26"/>
      <c r="Q942" s="26"/>
      <c r="R942" s="26"/>
      <c r="S942" s="26"/>
      <c r="T942" s="26"/>
      <c r="U942" s="26"/>
      <c r="V942" s="26"/>
      <c r="W942" s="26"/>
      <c r="X942" s="26"/>
      <c r="Y942" s="26"/>
    </row>
    <row r="943" spans="1:25" ht="15.75" customHeight="1">
      <c r="A943" s="26"/>
      <c r="B943" s="26"/>
      <c r="C943" s="26"/>
      <c r="D943" s="26"/>
      <c r="E943" s="26"/>
      <c r="F943" s="26"/>
      <c r="G943" s="26"/>
      <c r="H943" s="26"/>
      <c r="I943" s="26"/>
      <c r="J943" s="26"/>
      <c r="K943" s="26"/>
      <c r="L943" s="26"/>
      <c r="M943" s="27"/>
      <c r="N943" s="26"/>
      <c r="O943" s="26"/>
      <c r="P943" s="26"/>
      <c r="Q943" s="26"/>
      <c r="R943" s="26"/>
      <c r="S943" s="26"/>
      <c r="T943" s="26"/>
      <c r="U943" s="26"/>
      <c r="V943" s="26"/>
      <c r="W943" s="26"/>
      <c r="X943" s="26"/>
      <c r="Y943" s="26"/>
    </row>
    <row r="944" spans="1:25" ht="15.75" customHeight="1">
      <c r="A944" s="26"/>
      <c r="B944" s="26"/>
      <c r="C944" s="26"/>
      <c r="D944" s="26"/>
      <c r="E944" s="26"/>
      <c r="F944" s="26"/>
      <c r="G944" s="26"/>
      <c r="H944" s="26"/>
      <c r="I944" s="26"/>
      <c r="J944" s="26"/>
      <c r="K944" s="26"/>
      <c r="L944" s="26"/>
      <c r="M944" s="27"/>
      <c r="N944" s="26"/>
      <c r="O944" s="26"/>
      <c r="P944" s="26"/>
      <c r="Q944" s="26"/>
      <c r="R944" s="26"/>
      <c r="S944" s="26"/>
      <c r="T944" s="26"/>
      <c r="U944" s="26"/>
      <c r="V944" s="26"/>
      <c r="W944" s="26"/>
      <c r="X944" s="26"/>
      <c r="Y944" s="26"/>
    </row>
    <row r="945" spans="1:25" ht="15.75" customHeight="1">
      <c r="A945" s="26"/>
      <c r="B945" s="26"/>
      <c r="C945" s="26"/>
      <c r="D945" s="26"/>
      <c r="E945" s="26"/>
      <c r="F945" s="26"/>
      <c r="G945" s="26"/>
      <c r="H945" s="26"/>
      <c r="I945" s="26"/>
      <c r="J945" s="26"/>
      <c r="K945" s="26"/>
      <c r="L945" s="26"/>
      <c r="M945" s="27"/>
      <c r="N945" s="26"/>
      <c r="O945" s="26"/>
      <c r="P945" s="26"/>
      <c r="Q945" s="26"/>
      <c r="R945" s="26"/>
      <c r="S945" s="26"/>
      <c r="T945" s="26"/>
      <c r="U945" s="26"/>
      <c r="V945" s="26"/>
      <c r="W945" s="26"/>
      <c r="X945" s="26"/>
      <c r="Y945" s="26"/>
    </row>
    <row r="946" spans="1:25" ht="15.75" customHeight="1">
      <c r="A946" s="26"/>
      <c r="B946" s="26"/>
      <c r="C946" s="26"/>
      <c r="D946" s="26"/>
      <c r="E946" s="26"/>
      <c r="F946" s="26"/>
      <c r="G946" s="26"/>
      <c r="H946" s="26"/>
      <c r="I946" s="26"/>
      <c r="J946" s="26"/>
      <c r="K946" s="26"/>
      <c r="L946" s="26"/>
      <c r="M946" s="27"/>
      <c r="N946" s="26"/>
      <c r="O946" s="26"/>
      <c r="P946" s="26"/>
      <c r="Q946" s="26"/>
      <c r="R946" s="26"/>
      <c r="S946" s="26"/>
      <c r="T946" s="26"/>
      <c r="U946" s="26"/>
      <c r="V946" s="26"/>
      <c r="W946" s="26"/>
      <c r="X946" s="26"/>
      <c r="Y946" s="26"/>
    </row>
    <row r="947" spans="1:25" ht="15.75" customHeight="1">
      <c r="A947" s="26"/>
      <c r="B947" s="26"/>
      <c r="C947" s="26"/>
      <c r="D947" s="26"/>
      <c r="E947" s="26"/>
      <c r="F947" s="26"/>
      <c r="G947" s="26"/>
      <c r="H947" s="26"/>
      <c r="I947" s="26"/>
      <c r="J947" s="26"/>
      <c r="K947" s="26"/>
      <c r="L947" s="26"/>
      <c r="M947" s="27"/>
      <c r="N947" s="26"/>
      <c r="O947" s="26"/>
      <c r="P947" s="26"/>
      <c r="Q947" s="26"/>
      <c r="R947" s="26"/>
      <c r="S947" s="26"/>
      <c r="T947" s="26"/>
      <c r="U947" s="26"/>
      <c r="V947" s="26"/>
      <c r="W947" s="26"/>
      <c r="X947" s="26"/>
      <c r="Y947" s="26"/>
    </row>
    <row r="948" spans="1:25" ht="15.75" customHeight="1">
      <c r="A948" s="26"/>
      <c r="B948" s="26"/>
      <c r="C948" s="26"/>
      <c r="D948" s="26"/>
      <c r="E948" s="26"/>
      <c r="F948" s="26"/>
      <c r="G948" s="26"/>
      <c r="H948" s="26"/>
      <c r="I948" s="26"/>
      <c r="J948" s="26"/>
      <c r="K948" s="26"/>
      <c r="L948" s="26"/>
      <c r="M948" s="27"/>
      <c r="N948" s="26"/>
      <c r="O948" s="26"/>
      <c r="P948" s="26"/>
      <c r="Q948" s="26"/>
      <c r="R948" s="26"/>
      <c r="S948" s="26"/>
      <c r="T948" s="26"/>
      <c r="U948" s="26"/>
      <c r="V948" s="26"/>
      <c r="W948" s="26"/>
      <c r="X948" s="26"/>
      <c r="Y948" s="26"/>
    </row>
    <row r="949" spans="1:25" ht="15.75" customHeight="1">
      <c r="A949" s="26"/>
      <c r="B949" s="26"/>
      <c r="C949" s="26"/>
      <c r="D949" s="26"/>
      <c r="E949" s="26"/>
      <c r="F949" s="26"/>
      <c r="G949" s="26"/>
      <c r="H949" s="26"/>
      <c r="I949" s="26"/>
      <c r="J949" s="26"/>
      <c r="K949" s="26"/>
      <c r="L949" s="26"/>
      <c r="M949" s="27"/>
      <c r="N949" s="26"/>
      <c r="O949" s="26"/>
      <c r="P949" s="26"/>
      <c r="Q949" s="26"/>
      <c r="R949" s="26"/>
      <c r="S949" s="26"/>
      <c r="T949" s="26"/>
      <c r="U949" s="26"/>
      <c r="V949" s="26"/>
      <c r="W949" s="26"/>
      <c r="X949" s="26"/>
      <c r="Y949" s="26"/>
    </row>
    <row r="950" spans="1:25" ht="15.75" customHeight="1">
      <c r="A950" s="26"/>
      <c r="B950" s="26"/>
      <c r="C950" s="26"/>
      <c r="D950" s="26"/>
      <c r="E950" s="26"/>
      <c r="F950" s="26"/>
      <c r="G950" s="26"/>
      <c r="H950" s="26"/>
      <c r="I950" s="26"/>
      <c r="J950" s="26"/>
      <c r="K950" s="26"/>
      <c r="L950" s="26"/>
      <c r="M950" s="27"/>
      <c r="N950" s="26"/>
      <c r="O950" s="26"/>
      <c r="P950" s="26"/>
      <c r="Q950" s="26"/>
      <c r="R950" s="26"/>
      <c r="S950" s="26"/>
      <c r="T950" s="26"/>
      <c r="U950" s="26"/>
      <c r="V950" s="26"/>
      <c r="W950" s="26"/>
      <c r="X950" s="26"/>
      <c r="Y950" s="26"/>
    </row>
    <row r="951" spans="1:25" ht="15.75" customHeight="1">
      <c r="A951" s="26"/>
      <c r="B951" s="26"/>
      <c r="C951" s="26"/>
      <c r="D951" s="26"/>
      <c r="E951" s="26"/>
      <c r="F951" s="26"/>
      <c r="G951" s="26"/>
      <c r="H951" s="26"/>
      <c r="I951" s="26"/>
      <c r="J951" s="26"/>
      <c r="K951" s="26"/>
      <c r="L951" s="26"/>
      <c r="M951" s="27"/>
      <c r="N951" s="26"/>
      <c r="O951" s="26"/>
      <c r="P951" s="26"/>
      <c r="Q951" s="26"/>
      <c r="R951" s="26"/>
      <c r="S951" s="26"/>
      <c r="T951" s="26"/>
      <c r="U951" s="26"/>
      <c r="V951" s="26"/>
      <c r="W951" s="26"/>
      <c r="X951" s="26"/>
      <c r="Y951" s="26"/>
    </row>
    <row r="952" spans="1:25" ht="15.75" customHeight="1">
      <c r="A952" s="26"/>
      <c r="B952" s="26"/>
      <c r="C952" s="26"/>
      <c r="D952" s="26"/>
      <c r="E952" s="26"/>
      <c r="F952" s="26"/>
      <c r="G952" s="26"/>
      <c r="H952" s="26"/>
      <c r="I952" s="26"/>
      <c r="J952" s="26"/>
      <c r="K952" s="26"/>
      <c r="L952" s="26"/>
      <c r="M952" s="27"/>
      <c r="N952" s="26"/>
      <c r="O952" s="26"/>
      <c r="P952" s="26"/>
      <c r="Q952" s="26"/>
      <c r="R952" s="26"/>
      <c r="S952" s="26"/>
      <c r="T952" s="26"/>
      <c r="U952" s="26"/>
      <c r="V952" s="26"/>
      <c r="W952" s="26"/>
      <c r="X952" s="26"/>
      <c r="Y952" s="26"/>
    </row>
    <row r="953" spans="1:25" ht="15.75" customHeight="1">
      <c r="A953" s="26"/>
      <c r="B953" s="26"/>
      <c r="C953" s="26"/>
      <c r="D953" s="26"/>
      <c r="E953" s="26"/>
      <c r="F953" s="26"/>
      <c r="G953" s="26"/>
      <c r="H953" s="26"/>
      <c r="I953" s="26"/>
      <c r="J953" s="26"/>
      <c r="K953" s="26"/>
      <c r="L953" s="26"/>
      <c r="M953" s="27"/>
      <c r="N953" s="26"/>
      <c r="O953" s="26"/>
      <c r="P953" s="26"/>
      <c r="Q953" s="26"/>
      <c r="R953" s="26"/>
      <c r="S953" s="26"/>
      <c r="T953" s="26"/>
      <c r="U953" s="26"/>
      <c r="V953" s="26"/>
      <c r="W953" s="26"/>
      <c r="X953" s="26"/>
      <c r="Y953" s="26"/>
    </row>
    <row r="954" spans="1:25" ht="15.75" customHeight="1">
      <c r="A954" s="26"/>
      <c r="B954" s="26"/>
      <c r="C954" s="26"/>
      <c r="D954" s="26"/>
      <c r="E954" s="26"/>
      <c r="F954" s="26"/>
      <c r="G954" s="26"/>
      <c r="H954" s="26"/>
      <c r="I954" s="26"/>
      <c r="J954" s="26"/>
      <c r="K954" s="26"/>
      <c r="L954" s="26"/>
      <c r="M954" s="27"/>
      <c r="N954" s="26"/>
      <c r="O954" s="26"/>
      <c r="P954" s="26"/>
      <c r="Q954" s="26"/>
      <c r="R954" s="26"/>
      <c r="S954" s="26"/>
      <c r="T954" s="26"/>
      <c r="U954" s="26"/>
      <c r="V954" s="26"/>
      <c r="W954" s="26"/>
      <c r="X954" s="26"/>
      <c r="Y954" s="26"/>
    </row>
    <row r="955" spans="1:25" ht="15.75" customHeight="1">
      <c r="A955" s="26"/>
      <c r="B955" s="26"/>
      <c r="C955" s="26"/>
      <c r="D955" s="26"/>
      <c r="E955" s="26"/>
      <c r="F955" s="26"/>
      <c r="G955" s="26"/>
      <c r="H955" s="26"/>
      <c r="I955" s="26"/>
      <c r="J955" s="26"/>
      <c r="K955" s="26"/>
      <c r="L955" s="26"/>
      <c r="M955" s="27"/>
      <c r="N955" s="26"/>
      <c r="O955" s="26"/>
      <c r="P955" s="26"/>
      <c r="Q955" s="26"/>
      <c r="R955" s="26"/>
      <c r="S955" s="26"/>
      <c r="T955" s="26"/>
      <c r="U955" s="26"/>
      <c r="V955" s="26"/>
      <c r="W955" s="26"/>
      <c r="X955" s="26"/>
      <c r="Y955" s="26"/>
    </row>
    <row r="956" spans="1:25" ht="15.75" customHeight="1">
      <c r="A956" s="26"/>
      <c r="B956" s="26"/>
      <c r="C956" s="26"/>
      <c r="D956" s="26"/>
      <c r="E956" s="26"/>
      <c r="F956" s="26"/>
      <c r="G956" s="26"/>
      <c r="H956" s="26"/>
      <c r="I956" s="26"/>
      <c r="J956" s="26"/>
      <c r="K956" s="26"/>
      <c r="L956" s="26"/>
      <c r="M956" s="27"/>
      <c r="N956" s="26"/>
      <c r="O956" s="26"/>
      <c r="P956" s="26"/>
      <c r="Q956" s="26"/>
      <c r="R956" s="26"/>
      <c r="S956" s="26"/>
      <c r="T956" s="26"/>
      <c r="U956" s="26"/>
      <c r="V956" s="26"/>
      <c r="W956" s="26"/>
      <c r="X956" s="26"/>
      <c r="Y956" s="26"/>
    </row>
    <row r="957" spans="1:25" ht="15.75" customHeight="1">
      <c r="A957" s="26"/>
      <c r="B957" s="26"/>
      <c r="C957" s="26"/>
      <c r="D957" s="26"/>
      <c r="E957" s="26"/>
      <c r="F957" s="26"/>
      <c r="G957" s="26"/>
      <c r="H957" s="26"/>
      <c r="I957" s="26"/>
      <c r="J957" s="26"/>
      <c r="K957" s="26"/>
      <c r="L957" s="26"/>
      <c r="M957" s="27"/>
      <c r="N957" s="26"/>
      <c r="O957" s="26"/>
      <c r="P957" s="26"/>
      <c r="Q957" s="26"/>
      <c r="R957" s="26"/>
      <c r="S957" s="26"/>
      <c r="T957" s="26"/>
      <c r="U957" s="26"/>
      <c r="V957" s="26"/>
      <c r="W957" s="26"/>
      <c r="X957" s="26"/>
      <c r="Y957" s="26"/>
    </row>
    <row r="958" spans="1:25" ht="15.75" customHeight="1">
      <c r="A958" s="26"/>
      <c r="B958" s="26"/>
      <c r="C958" s="26"/>
      <c r="D958" s="26"/>
      <c r="E958" s="26"/>
      <c r="F958" s="26"/>
      <c r="G958" s="26"/>
      <c r="H958" s="26"/>
      <c r="I958" s="26"/>
      <c r="J958" s="26"/>
      <c r="K958" s="26"/>
      <c r="L958" s="26"/>
      <c r="M958" s="27"/>
      <c r="N958" s="26"/>
      <c r="O958" s="26"/>
      <c r="P958" s="26"/>
      <c r="Q958" s="26"/>
      <c r="R958" s="26"/>
      <c r="S958" s="26"/>
      <c r="T958" s="26"/>
      <c r="U958" s="26"/>
      <c r="V958" s="26"/>
      <c r="W958" s="26"/>
      <c r="X958" s="26"/>
      <c r="Y958" s="26"/>
    </row>
    <row r="959" spans="1:25" ht="15.75" customHeight="1">
      <c r="A959" s="26"/>
      <c r="B959" s="26"/>
      <c r="C959" s="26"/>
      <c r="D959" s="26"/>
      <c r="E959" s="26"/>
      <c r="F959" s="26"/>
      <c r="G959" s="26"/>
      <c r="H959" s="26"/>
      <c r="I959" s="26"/>
      <c r="J959" s="26"/>
      <c r="K959" s="26"/>
      <c r="L959" s="26"/>
      <c r="M959" s="27"/>
      <c r="N959" s="26"/>
      <c r="O959" s="26"/>
      <c r="P959" s="26"/>
      <c r="Q959" s="26"/>
      <c r="R959" s="26"/>
      <c r="S959" s="26"/>
      <c r="T959" s="26"/>
      <c r="U959" s="26"/>
      <c r="V959" s="26"/>
      <c r="W959" s="26"/>
      <c r="X959" s="26"/>
      <c r="Y959" s="26"/>
    </row>
    <row r="960" spans="1:25" ht="15.75" customHeight="1">
      <c r="A960" s="26"/>
      <c r="B960" s="26"/>
      <c r="C960" s="26"/>
      <c r="D960" s="26"/>
      <c r="E960" s="26"/>
      <c r="F960" s="26"/>
      <c r="G960" s="26"/>
      <c r="H960" s="26"/>
      <c r="I960" s="26"/>
      <c r="J960" s="26"/>
      <c r="K960" s="26"/>
      <c r="L960" s="26"/>
      <c r="M960" s="27"/>
      <c r="N960" s="26"/>
      <c r="O960" s="26"/>
      <c r="P960" s="26"/>
      <c r="Q960" s="26"/>
      <c r="R960" s="26"/>
      <c r="S960" s="26"/>
      <c r="T960" s="26"/>
      <c r="U960" s="26"/>
      <c r="V960" s="26"/>
      <c r="W960" s="26"/>
      <c r="X960" s="26"/>
      <c r="Y960" s="26"/>
    </row>
    <row r="961" spans="1:25" ht="15.75" customHeight="1">
      <c r="A961" s="26"/>
      <c r="B961" s="26"/>
      <c r="C961" s="26"/>
      <c r="D961" s="26"/>
      <c r="E961" s="26"/>
      <c r="F961" s="26"/>
      <c r="G961" s="26"/>
      <c r="H961" s="26"/>
      <c r="I961" s="26"/>
      <c r="J961" s="26"/>
      <c r="K961" s="26"/>
      <c r="L961" s="26"/>
      <c r="M961" s="27"/>
      <c r="N961" s="26"/>
      <c r="O961" s="26"/>
      <c r="P961" s="26"/>
      <c r="Q961" s="26"/>
      <c r="R961" s="26"/>
      <c r="S961" s="26"/>
      <c r="T961" s="26"/>
      <c r="U961" s="26"/>
      <c r="V961" s="26"/>
      <c r="W961" s="26"/>
      <c r="X961" s="26"/>
      <c r="Y961" s="26"/>
    </row>
    <row r="962" spans="1:25" ht="15.75" customHeight="1">
      <c r="A962" s="26"/>
      <c r="B962" s="26"/>
      <c r="C962" s="26"/>
      <c r="D962" s="26"/>
      <c r="E962" s="26"/>
      <c r="F962" s="26"/>
      <c r="G962" s="26"/>
      <c r="H962" s="26"/>
      <c r="I962" s="26"/>
      <c r="J962" s="26"/>
      <c r="K962" s="26"/>
      <c r="L962" s="26"/>
      <c r="M962" s="27"/>
      <c r="N962" s="26"/>
      <c r="O962" s="26"/>
      <c r="P962" s="26"/>
      <c r="Q962" s="26"/>
      <c r="R962" s="26"/>
      <c r="S962" s="26"/>
      <c r="T962" s="26"/>
      <c r="U962" s="26"/>
      <c r="V962" s="26"/>
      <c r="W962" s="26"/>
      <c r="X962" s="26"/>
      <c r="Y962" s="26"/>
    </row>
    <row r="963" spans="1:25" ht="15.75" customHeight="1">
      <c r="A963" s="26"/>
      <c r="B963" s="26"/>
      <c r="C963" s="26"/>
      <c r="D963" s="26"/>
      <c r="E963" s="26"/>
      <c r="F963" s="26"/>
      <c r="G963" s="26"/>
      <c r="H963" s="26"/>
      <c r="I963" s="26"/>
      <c r="J963" s="26"/>
      <c r="K963" s="26"/>
      <c r="L963" s="26"/>
      <c r="M963" s="27"/>
      <c r="N963" s="26"/>
      <c r="O963" s="26"/>
      <c r="P963" s="26"/>
      <c r="Q963" s="26"/>
      <c r="R963" s="26"/>
      <c r="S963" s="26"/>
      <c r="T963" s="26"/>
      <c r="U963" s="26"/>
      <c r="V963" s="26"/>
      <c r="W963" s="26"/>
      <c r="X963" s="26"/>
      <c r="Y963" s="26"/>
    </row>
    <row r="964" spans="1:25" ht="15.75" customHeight="1">
      <c r="A964" s="26"/>
      <c r="B964" s="26"/>
      <c r="C964" s="26"/>
      <c r="D964" s="26"/>
      <c r="E964" s="26"/>
      <c r="F964" s="26"/>
      <c r="G964" s="26"/>
      <c r="H964" s="26"/>
      <c r="I964" s="26"/>
      <c r="J964" s="26"/>
      <c r="K964" s="26"/>
      <c r="L964" s="26"/>
      <c r="M964" s="27"/>
      <c r="N964" s="26"/>
      <c r="O964" s="26"/>
      <c r="P964" s="26"/>
      <c r="Q964" s="26"/>
      <c r="R964" s="26"/>
      <c r="S964" s="26"/>
      <c r="T964" s="26"/>
      <c r="U964" s="26"/>
      <c r="V964" s="26"/>
      <c r="W964" s="26"/>
      <c r="X964" s="26"/>
      <c r="Y964" s="26"/>
    </row>
    <row r="965" spans="1:25" ht="15.75" customHeight="1">
      <c r="A965" s="26"/>
      <c r="B965" s="26"/>
      <c r="C965" s="26"/>
      <c r="D965" s="26"/>
      <c r="E965" s="26"/>
      <c r="F965" s="26"/>
      <c r="G965" s="26"/>
      <c r="H965" s="26"/>
      <c r="I965" s="26"/>
      <c r="J965" s="26"/>
      <c r="K965" s="26"/>
      <c r="L965" s="26"/>
      <c r="M965" s="27"/>
      <c r="N965" s="26"/>
      <c r="O965" s="26"/>
      <c r="P965" s="26"/>
      <c r="Q965" s="26"/>
      <c r="R965" s="26"/>
      <c r="S965" s="26"/>
      <c r="T965" s="26"/>
      <c r="U965" s="26"/>
      <c r="V965" s="26"/>
      <c r="W965" s="26"/>
      <c r="X965" s="26"/>
      <c r="Y965" s="26"/>
    </row>
    <row r="966" spans="1:25" ht="15.75" customHeight="1">
      <c r="A966" s="26"/>
      <c r="B966" s="26"/>
      <c r="C966" s="26"/>
      <c r="D966" s="26"/>
      <c r="E966" s="26"/>
      <c r="F966" s="26"/>
      <c r="G966" s="26"/>
      <c r="H966" s="26"/>
      <c r="I966" s="26"/>
      <c r="J966" s="26"/>
      <c r="K966" s="26"/>
      <c r="L966" s="26"/>
      <c r="M966" s="27"/>
      <c r="N966" s="26"/>
      <c r="O966" s="26"/>
      <c r="P966" s="26"/>
      <c r="Q966" s="26"/>
      <c r="R966" s="26"/>
      <c r="S966" s="26"/>
      <c r="T966" s="26"/>
      <c r="U966" s="26"/>
      <c r="V966" s="26"/>
      <c r="W966" s="26"/>
      <c r="X966" s="26"/>
      <c r="Y966" s="26"/>
    </row>
    <row r="967" spans="1:25" ht="15.75" customHeight="1">
      <c r="A967" s="26"/>
      <c r="B967" s="26"/>
      <c r="C967" s="26"/>
      <c r="D967" s="26"/>
      <c r="E967" s="26"/>
      <c r="F967" s="26"/>
      <c r="G967" s="26"/>
      <c r="H967" s="26"/>
      <c r="I967" s="26"/>
      <c r="J967" s="26"/>
      <c r="K967" s="26"/>
      <c r="L967" s="26"/>
      <c r="M967" s="27"/>
      <c r="N967" s="26"/>
      <c r="O967" s="26"/>
      <c r="P967" s="26"/>
      <c r="Q967" s="26"/>
      <c r="R967" s="26"/>
      <c r="S967" s="26"/>
      <c r="T967" s="26"/>
      <c r="U967" s="26"/>
      <c r="V967" s="26"/>
      <c r="W967" s="26"/>
      <c r="X967" s="26"/>
      <c r="Y967" s="26"/>
    </row>
    <row r="968" spans="1:25" ht="15.75" customHeight="1">
      <c r="A968" s="26"/>
      <c r="B968" s="26"/>
      <c r="C968" s="26"/>
      <c r="D968" s="26"/>
      <c r="E968" s="26"/>
      <c r="F968" s="26"/>
      <c r="G968" s="26"/>
      <c r="H968" s="26"/>
      <c r="I968" s="26"/>
      <c r="J968" s="26"/>
      <c r="K968" s="26"/>
      <c r="L968" s="26"/>
      <c r="M968" s="27"/>
      <c r="N968" s="26"/>
      <c r="O968" s="26"/>
      <c r="P968" s="26"/>
      <c r="Q968" s="26"/>
      <c r="R968" s="26"/>
      <c r="S968" s="26"/>
      <c r="T968" s="26"/>
      <c r="U968" s="26"/>
      <c r="V968" s="26"/>
      <c r="W968" s="26"/>
      <c r="X968" s="26"/>
      <c r="Y968" s="26"/>
    </row>
    <row r="969" spans="1:25" ht="15.75" customHeight="1">
      <c r="A969" s="26"/>
      <c r="B969" s="26"/>
      <c r="C969" s="26"/>
      <c r="D969" s="26"/>
      <c r="E969" s="26"/>
      <c r="F969" s="26"/>
      <c r="G969" s="26"/>
      <c r="H969" s="26"/>
      <c r="I969" s="26"/>
      <c r="J969" s="26"/>
      <c r="K969" s="26"/>
      <c r="L969" s="26"/>
      <c r="M969" s="27"/>
      <c r="N969" s="26"/>
      <c r="O969" s="26"/>
      <c r="P969" s="26"/>
      <c r="Q969" s="26"/>
      <c r="R969" s="26"/>
      <c r="S969" s="26"/>
      <c r="T969" s="26"/>
      <c r="U969" s="26"/>
      <c r="V969" s="26"/>
      <c r="W969" s="26"/>
      <c r="X969" s="26"/>
      <c r="Y969" s="26"/>
    </row>
    <row r="970" spans="1:25" ht="15.75" customHeight="1">
      <c r="A970" s="26"/>
      <c r="B970" s="26"/>
      <c r="C970" s="26"/>
      <c r="D970" s="26"/>
      <c r="E970" s="26"/>
      <c r="F970" s="26"/>
      <c r="G970" s="26"/>
      <c r="H970" s="26"/>
      <c r="I970" s="26"/>
      <c r="J970" s="26"/>
      <c r="K970" s="26"/>
      <c r="L970" s="26"/>
      <c r="M970" s="27"/>
      <c r="N970" s="26"/>
      <c r="O970" s="26"/>
      <c r="P970" s="26"/>
      <c r="Q970" s="26"/>
      <c r="R970" s="26"/>
      <c r="S970" s="26"/>
      <c r="T970" s="26"/>
      <c r="U970" s="26"/>
      <c r="V970" s="26"/>
      <c r="W970" s="26"/>
      <c r="X970" s="26"/>
      <c r="Y970" s="26"/>
    </row>
    <row r="971" spans="1:25" ht="15.75" customHeight="1">
      <c r="A971" s="26"/>
      <c r="B971" s="26"/>
      <c r="C971" s="26"/>
      <c r="D971" s="26"/>
      <c r="E971" s="26"/>
      <c r="F971" s="26"/>
      <c r="G971" s="26"/>
      <c r="H971" s="26"/>
      <c r="I971" s="26"/>
      <c r="J971" s="26"/>
      <c r="K971" s="26"/>
      <c r="L971" s="26"/>
      <c r="M971" s="27"/>
      <c r="N971" s="26"/>
      <c r="O971" s="26"/>
      <c r="P971" s="26"/>
      <c r="Q971" s="26"/>
      <c r="R971" s="26"/>
      <c r="S971" s="26"/>
      <c r="T971" s="26"/>
      <c r="U971" s="26"/>
      <c r="V971" s="26"/>
      <c r="W971" s="26"/>
      <c r="X971" s="26"/>
      <c r="Y971" s="26"/>
    </row>
    <row r="972" spans="1:25" ht="15.75" customHeight="1">
      <c r="A972" s="26"/>
      <c r="B972" s="26"/>
      <c r="C972" s="26"/>
      <c r="D972" s="26"/>
      <c r="E972" s="26"/>
      <c r="F972" s="26"/>
      <c r="G972" s="26"/>
      <c r="H972" s="26"/>
      <c r="I972" s="26"/>
      <c r="J972" s="26"/>
      <c r="K972" s="26"/>
      <c r="L972" s="26"/>
      <c r="M972" s="27"/>
      <c r="N972" s="26"/>
      <c r="O972" s="26"/>
      <c r="P972" s="26"/>
      <c r="Q972" s="26"/>
      <c r="R972" s="26"/>
      <c r="S972" s="26"/>
      <c r="T972" s="26"/>
      <c r="U972" s="26"/>
      <c r="V972" s="26"/>
      <c r="W972" s="26"/>
      <c r="X972" s="26"/>
      <c r="Y972" s="26"/>
    </row>
    <row r="973" spans="1:25" ht="15.75" customHeight="1">
      <c r="A973" s="26"/>
      <c r="B973" s="26"/>
      <c r="C973" s="26"/>
      <c r="D973" s="26"/>
      <c r="E973" s="26"/>
      <c r="F973" s="26"/>
      <c r="G973" s="26"/>
      <c r="H973" s="26"/>
      <c r="I973" s="26"/>
      <c r="J973" s="26"/>
      <c r="K973" s="26"/>
      <c r="L973" s="26"/>
      <c r="M973" s="27"/>
      <c r="N973" s="26"/>
      <c r="O973" s="26"/>
      <c r="P973" s="26"/>
      <c r="Q973" s="26"/>
      <c r="R973" s="26"/>
      <c r="S973" s="26"/>
      <c r="T973" s="26"/>
      <c r="U973" s="26"/>
      <c r="V973" s="26"/>
      <c r="W973" s="26"/>
      <c r="X973" s="26"/>
      <c r="Y973" s="26"/>
    </row>
    <row r="974" spans="1:25" ht="15.75" customHeight="1">
      <c r="A974" s="26"/>
      <c r="B974" s="26"/>
      <c r="C974" s="26"/>
      <c r="D974" s="26"/>
      <c r="E974" s="26"/>
      <c r="F974" s="26"/>
      <c r="G974" s="26"/>
      <c r="H974" s="26"/>
      <c r="I974" s="26"/>
      <c r="J974" s="26"/>
      <c r="K974" s="26"/>
      <c r="L974" s="26"/>
      <c r="M974" s="27"/>
      <c r="N974" s="26"/>
      <c r="O974" s="26"/>
      <c r="P974" s="26"/>
      <c r="Q974" s="26"/>
      <c r="R974" s="26"/>
      <c r="S974" s="26"/>
      <c r="T974" s="26"/>
      <c r="U974" s="26"/>
      <c r="V974" s="26"/>
      <c r="W974" s="26"/>
      <c r="X974" s="26"/>
      <c r="Y974" s="26"/>
    </row>
    <row r="975" spans="1:25" ht="15.75" customHeight="1">
      <c r="A975" s="26"/>
      <c r="B975" s="26"/>
      <c r="C975" s="26"/>
      <c r="D975" s="26"/>
      <c r="E975" s="26"/>
      <c r="F975" s="26"/>
      <c r="G975" s="26"/>
      <c r="H975" s="26"/>
      <c r="I975" s="26"/>
      <c r="J975" s="26"/>
      <c r="K975" s="26"/>
      <c r="L975" s="26"/>
      <c r="M975" s="27"/>
      <c r="N975" s="26"/>
      <c r="O975" s="26"/>
      <c r="P975" s="26"/>
      <c r="Q975" s="26"/>
      <c r="R975" s="26"/>
      <c r="S975" s="26"/>
      <c r="T975" s="26"/>
      <c r="U975" s="26"/>
      <c r="V975" s="26"/>
      <c r="W975" s="26"/>
      <c r="X975" s="26"/>
      <c r="Y975" s="26"/>
    </row>
    <row r="976" spans="1:25" ht="15.75" customHeight="1">
      <c r="A976" s="26"/>
      <c r="B976" s="26"/>
      <c r="C976" s="26"/>
      <c r="D976" s="26"/>
      <c r="E976" s="26"/>
      <c r="F976" s="26"/>
      <c r="G976" s="26"/>
      <c r="H976" s="26"/>
      <c r="I976" s="26"/>
      <c r="J976" s="26"/>
      <c r="K976" s="26"/>
      <c r="L976" s="26"/>
      <c r="M976" s="27"/>
      <c r="N976" s="26"/>
      <c r="O976" s="26"/>
      <c r="P976" s="26"/>
      <c r="Q976" s="26"/>
      <c r="R976" s="26"/>
      <c r="S976" s="26"/>
      <c r="T976" s="26"/>
      <c r="U976" s="26"/>
      <c r="V976" s="26"/>
      <c r="W976" s="26"/>
      <c r="X976" s="26"/>
      <c r="Y976" s="26"/>
    </row>
    <row r="977" spans="1:25" ht="15.75" customHeight="1">
      <c r="A977" s="26"/>
      <c r="B977" s="26"/>
      <c r="C977" s="26"/>
      <c r="D977" s="26"/>
      <c r="E977" s="26"/>
      <c r="F977" s="26"/>
      <c r="G977" s="26"/>
      <c r="H977" s="26"/>
      <c r="I977" s="26"/>
      <c r="J977" s="26"/>
      <c r="K977" s="26"/>
      <c r="L977" s="26"/>
      <c r="M977" s="27"/>
      <c r="N977" s="26"/>
      <c r="O977" s="26"/>
      <c r="P977" s="26"/>
      <c r="Q977" s="26"/>
      <c r="R977" s="26"/>
      <c r="S977" s="26"/>
      <c r="T977" s="26"/>
      <c r="U977" s="26"/>
      <c r="V977" s="26"/>
      <c r="W977" s="26"/>
      <c r="X977" s="26"/>
      <c r="Y977" s="26"/>
    </row>
    <row r="978" spans="1:25" ht="15.75" customHeight="1">
      <c r="A978" s="26"/>
      <c r="B978" s="26"/>
      <c r="C978" s="26"/>
      <c r="D978" s="26"/>
      <c r="E978" s="26"/>
      <c r="F978" s="26"/>
      <c r="G978" s="26"/>
      <c r="H978" s="26"/>
      <c r="I978" s="26"/>
      <c r="J978" s="26"/>
      <c r="K978" s="26"/>
      <c r="L978" s="26"/>
      <c r="M978" s="27"/>
      <c r="N978" s="26"/>
      <c r="O978" s="26"/>
      <c r="P978" s="26"/>
      <c r="Q978" s="26"/>
      <c r="R978" s="26"/>
      <c r="S978" s="26"/>
      <c r="T978" s="26"/>
      <c r="U978" s="26"/>
      <c r="V978" s="26"/>
      <c r="W978" s="26"/>
      <c r="X978" s="26"/>
      <c r="Y978" s="26"/>
    </row>
    <row r="979" spans="1:25" ht="15.75" customHeight="1">
      <c r="A979" s="26"/>
      <c r="B979" s="26"/>
      <c r="C979" s="26"/>
      <c r="D979" s="26"/>
      <c r="E979" s="26"/>
      <c r="F979" s="26"/>
      <c r="G979" s="26"/>
      <c r="H979" s="26"/>
      <c r="I979" s="26"/>
      <c r="J979" s="26"/>
      <c r="K979" s="26"/>
      <c r="L979" s="26"/>
      <c r="M979" s="27"/>
      <c r="N979" s="26"/>
      <c r="O979" s="26"/>
      <c r="P979" s="26"/>
      <c r="Q979" s="26"/>
      <c r="R979" s="26"/>
      <c r="S979" s="26"/>
      <c r="T979" s="26"/>
      <c r="U979" s="26"/>
      <c r="V979" s="26"/>
      <c r="W979" s="26"/>
      <c r="X979" s="26"/>
      <c r="Y979" s="26"/>
    </row>
    <row r="980" spans="1:25" ht="15.75" customHeight="1">
      <c r="A980" s="26"/>
      <c r="B980" s="26"/>
      <c r="C980" s="26"/>
      <c r="D980" s="26"/>
      <c r="E980" s="26"/>
      <c r="F980" s="26"/>
      <c r="G980" s="26"/>
      <c r="H980" s="26"/>
      <c r="I980" s="26"/>
      <c r="J980" s="26"/>
      <c r="K980" s="26"/>
      <c r="L980" s="26"/>
      <c r="M980" s="27"/>
      <c r="N980" s="26"/>
      <c r="O980" s="26"/>
      <c r="P980" s="26"/>
      <c r="Q980" s="26"/>
      <c r="R980" s="26"/>
      <c r="S980" s="26"/>
      <c r="T980" s="26"/>
      <c r="U980" s="26"/>
      <c r="V980" s="26"/>
      <c r="W980" s="26"/>
      <c r="X980" s="26"/>
      <c r="Y980" s="26"/>
    </row>
    <row r="981" spans="1:25" ht="15.75" customHeight="1">
      <c r="A981" s="26"/>
      <c r="B981" s="26"/>
      <c r="C981" s="26"/>
      <c r="D981" s="26"/>
      <c r="E981" s="26"/>
      <c r="F981" s="26"/>
      <c r="G981" s="26"/>
      <c r="H981" s="26"/>
      <c r="I981" s="26"/>
      <c r="J981" s="26"/>
      <c r="K981" s="26"/>
      <c r="L981" s="26"/>
      <c r="M981" s="27"/>
      <c r="N981" s="26"/>
      <c r="O981" s="26"/>
      <c r="P981" s="26"/>
      <c r="Q981" s="26"/>
      <c r="R981" s="26"/>
      <c r="S981" s="26"/>
      <c r="T981" s="26"/>
      <c r="U981" s="26"/>
      <c r="V981" s="26"/>
      <c r="W981" s="26"/>
      <c r="X981" s="26"/>
      <c r="Y981" s="26"/>
    </row>
    <row r="982" spans="1:25" ht="15.75" customHeight="1">
      <c r="A982" s="26"/>
      <c r="B982" s="26"/>
      <c r="C982" s="26"/>
      <c r="D982" s="26"/>
      <c r="E982" s="26"/>
      <c r="F982" s="26"/>
      <c r="G982" s="26"/>
      <c r="H982" s="26"/>
      <c r="I982" s="26"/>
      <c r="J982" s="26"/>
      <c r="K982" s="26"/>
      <c r="L982" s="26"/>
      <c r="M982" s="27"/>
      <c r="N982" s="26"/>
      <c r="O982" s="26"/>
      <c r="P982" s="26"/>
      <c r="Q982" s="26"/>
      <c r="R982" s="26"/>
      <c r="S982" s="26"/>
      <c r="T982" s="26"/>
      <c r="U982" s="26"/>
      <c r="V982" s="26"/>
      <c r="W982" s="26"/>
      <c r="X982" s="26"/>
      <c r="Y982" s="26"/>
    </row>
    <row r="983" spans="1:25" ht="15.75" customHeight="1">
      <c r="A983" s="26"/>
      <c r="B983" s="26"/>
      <c r="C983" s="26"/>
      <c r="D983" s="26"/>
      <c r="E983" s="26"/>
      <c r="F983" s="26"/>
      <c r="G983" s="26"/>
      <c r="H983" s="26"/>
      <c r="I983" s="26"/>
      <c r="J983" s="26"/>
      <c r="K983" s="26"/>
      <c r="L983" s="26"/>
      <c r="M983" s="27"/>
      <c r="N983" s="26"/>
      <c r="O983" s="26"/>
      <c r="P983" s="26"/>
      <c r="Q983" s="26"/>
      <c r="R983" s="26"/>
      <c r="S983" s="26"/>
      <c r="T983" s="26"/>
      <c r="U983" s="26"/>
      <c r="V983" s="26"/>
      <c r="W983" s="26"/>
      <c r="X983" s="26"/>
      <c r="Y983" s="26"/>
    </row>
    <row r="984" spans="1:25" ht="15.75" customHeight="1">
      <c r="A984" s="26"/>
      <c r="B984" s="26"/>
      <c r="C984" s="26"/>
      <c r="D984" s="26"/>
      <c r="E984" s="26"/>
      <c r="F984" s="26"/>
      <c r="G984" s="26"/>
      <c r="H984" s="26"/>
      <c r="I984" s="26"/>
      <c r="J984" s="26"/>
      <c r="K984" s="26"/>
      <c r="L984" s="26"/>
      <c r="M984" s="27"/>
      <c r="N984" s="26"/>
      <c r="O984" s="26"/>
      <c r="P984" s="26"/>
      <c r="Q984" s="26"/>
      <c r="R984" s="26"/>
      <c r="S984" s="26"/>
      <c r="T984" s="26"/>
      <c r="U984" s="26"/>
      <c r="V984" s="26"/>
      <c r="W984" s="26"/>
      <c r="X984" s="26"/>
      <c r="Y984" s="26"/>
    </row>
    <row r="985" spans="1:25" ht="15.75" customHeight="1">
      <c r="A985" s="26"/>
      <c r="B985" s="26"/>
      <c r="C985" s="26"/>
      <c r="D985" s="26"/>
      <c r="E985" s="26"/>
      <c r="F985" s="26"/>
      <c r="G985" s="26"/>
      <c r="H985" s="26"/>
      <c r="I985" s="26"/>
      <c r="J985" s="26"/>
      <c r="K985" s="26"/>
      <c r="L985" s="26"/>
      <c r="M985" s="27"/>
      <c r="N985" s="26"/>
      <c r="O985" s="26"/>
      <c r="P985" s="26"/>
      <c r="Q985" s="26"/>
      <c r="R985" s="26"/>
      <c r="S985" s="26"/>
      <c r="T985" s="26"/>
      <c r="U985" s="26"/>
      <c r="V985" s="26"/>
      <c r="W985" s="26"/>
      <c r="X985" s="26"/>
      <c r="Y985" s="26"/>
    </row>
    <row r="986" spans="1:25" ht="15.75" customHeight="1">
      <c r="A986" s="26"/>
      <c r="B986" s="26"/>
      <c r="C986" s="26"/>
      <c r="D986" s="26"/>
      <c r="E986" s="26"/>
      <c r="F986" s="26"/>
      <c r="G986" s="26"/>
      <c r="H986" s="26"/>
      <c r="I986" s="26"/>
      <c r="J986" s="26"/>
      <c r="K986" s="26"/>
      <c r="L986" s="26"/>
      <c r="M986" s="27"/>
      <c r="N986" s="26"/>
      <c r="O986" s="26"/>
      <c r="P986" s="26"/>
      <c r="Q986" s="26"/>
      <c r="R986" s="26"/>
      <c r="S986" s="26"/>
      <c r="T986" s="26"/>
      <c r="U986" s="26"/>
      <c r="V986" s="26"/>
      <c r="W986" s="26"/>
      <c r="X986" s="26"/>
      <c r="Y986" s="26"/>
    </row>
    <row r="987" spans="1:25" ht="15.75" customHeight="1">
      <c r="A987" s="26"/>
      <c r="B987" s="26"/>
      <c r="C987" s="26"/>
      <c r="D987" s="26"/>
      <c r="E987" s="26"/>
      <c r="F987" s="26"/>
      <c r="G987" s="26"/>
      <c r="H987" s="26"/>
      <c r="I987" s="26"/>
      <c r="J987" s="26"/>
      <c r="K987" s="26"/>
      <c r="L987" s="26"/>
      <c r="M987" s="27"/>
      <c r="N987" s="26"/>
      <c r="O987" s="26"/>
      <c r="P987" s="26"/>
      <c r="Q987" s="26"/>
      <c r="R987" s="26"/>
      <c r="S987" s="26"/>
      <c r="T987" s="26"/>
      <c r="U987" s="26"/>
      <c r="V987" s="26"/>
      <c r="W987" s="26"/>
      <c r="X987" s="26"/>
      <c r="Y987" s="26"/>
    </row>
    <row r="988" spans="1:25" ht="15.75" customHeight="1">
      <c r="A988" s="26"/>
      <c r="B988" s="26"/>
      <c r="C988" s="26"/>
      <c r="D988" s="26"/>
      <c r="E988" s="26"/>
      <c r="F988" s="26"/>
      <c r="G988" s="26"/>
      <c r="H988" s="26"/>
      <c r="I988" s="26"/>
      <c r="J988" s="26"/>
      <c r="K988" s="26"/>
      <c r="L988" s="26"/>
      <c r="M988" s="27"/>
      <c r="N988" s="26"/>
      <c r="O988" s="26"/>
      <c r="P988" s="26"/>
      <c r="Q988" s="26"/>
      <c r="R988" s="26"/>
      <c r="S988" s="26"/>
      <c r="T988" s="26"/>
      <c r="U988" s="26"/>
      <c r="V988" s="26"/>
      <c r="W988" s="26"/>
      <c r="X988" s="26"/>
      <c r="Y988" s="26"/>
    </row>
    <row r="989" spans="1:25" ht="15.75" customHeight="1">
      <c r="A989" s="26"/>
      <c r="B989" s="26"/>
      <c r="C989" s="26"/>
      <c r="D989" s="26"/>
      <c r="E989" s="26"/>
      <c r="F989" s="26"/>
      <c r="G989" s="26"/>
      <c r="H989" s="26"/>
      <c r="I989" s="26"/>
      <c r="J989" s="26"/>
      <c r="K989" s="26"/>
      <c r="L989" s="26"/>
      <c r="M989" s="27"/>
      <c r="N989" s="26"/>
      <c r="O989" s="26"/>
      <c r="P989" s="26"/>
      <c r="Q989" s="26"/>
      <c r="R989" s="26"/>
      <c r="S989" s="26"/>
      <c r="T989" s="26"/>
      <c r="U989" s="26"/>
      <c r="V989" s="26"/>
      <c r="W989" s="26"/>
      <c r="X989" s="26"/>
      <c r="Y989" s="26"/>
    </row>
    <row r="990" spans="1:25" ht="15.75" customHeight="1">
      <c r="A990" s="26"/>
      <c r="B990" s="26"/>
      <c r="C990" s="26"/>
      <c r="D990" s="26"/>
      <c r="E990" s="26"/>
      <c r="F990" s="26"/>
      <c r="G990" s="26"/>
      <c r="H990" s="26"/>
      <c r="I990" s="26"/>
      <c r="J990" s="26"/>
      <c r="K990" s="26"/>
      <c r="L990" s="26"/>
      <c r="M990" s="27"/>
      <c r="N990" s="26"/>
      <c r="O990" s="26"/>
      <c r="P990" s="26"/>
      <c r="Q990" s="26"/>
      <c r="R990" s="26"/>
      <c r="S990" s="26"/>
      <c r="T990" s="26"/>
      <c r="U990" s="26"/>
      <c r="V990" s="26"/>
      <c r="W990" s="26"/>
      <c r="X990" s="26"/>
      <c r="Y990" s="26"/>
    </row>
    <row r="991" spans="1:25" ht="15.75" customHeight="1">
      <c r="A991" s="26"/>
      <c r="B991" s="26"/>
      <c r="C991" s="26"/>
      <c r="D991" s="26"/>
      <c r="E991" s="26"/>
      <c r="F991" s="26"/>
      <c r="G991" s="26"/>
      <c r="H991" s="26"/>
      <c r="I991" s="26"/>
      <c r="J991" s="26"/>
      <c r="K991" s="26"/>
      <c r="L991" s="26"/>
      <c r="M991" s="27"/>
      <c r="N991" s="26"/>
      <c r="O991" s="26"/>
      <c r="P991" s="26"/>
      <c r="Q991" s="26"/>
      <c r="R991" s="26"/>
      <c r="S991" s="26"/>
      <c r="T991" s="26"/>
      <c r="U991" s="26"/>
      <c r="V991" s="26"/>
      <c r="W991" s="26"/>
      <c r="X991" s="26"/>
      <c r="Y991" s="26"/>
    </row>
    <row r="992" spans="1:25" ht="15.75" customHeight="1">
      <c r="A992" s="26"/>
      <c r="B992" s="26"/>
      <c r="C992" s="26"/>
      <c r="D992" s="26"/>
      <c r="E992" s="26"/>
      <c r="F992" s="26"/>
      <c r="G992" s="26"/>
      <c r="H992" s="26"/>
      <c r="I992" s="26"/>
      <c r="J992" s="26"/>
      <c r="K992" s="26"/>
      <c r="L992" s="26"/>
      <c r="M992" s="27"/>
      <c r="N992" s="26"/>
      <c r="O992" s="26"/>
      <c r="P992" s="26"/>
      <c r="Q992" s="26"/>
      <c r="R992" s="26"/>
      <c r="S992" s="26"/>
      <c r="T992" s="26"/>
      <c r="U992" s="26"/>
      <c r="V992" s="26"/>
      <c r="W992" s="26"/>
      <c r="X992" s="26"/>
      <c r="Y992" s="26"/>
    </row>
    <row r="993" spans="1:25" ht="15.75" customHeight="1">
      <c r="A993" s="26"/>
      <c r="B993" s="26"/>
      <c r="C993" s="26"/>
      <c r="D993" s="26"/>
      <c r="E993" s="26"/>
      <c r="F993" s="26"/>
      <c r="G993" s="26"/>
      <c r="H993" s="26"/>
      <c r="I993" s="26"/>
      <c r="J993" s="26"/>
      <c r="K993" s="26"/>
      <c r="L993" s="26"/>
      <c r="M993" s="27"/>
      <c r="N993" s="26"/>
      <c r="O993" s="26"/>
      <c r="P993" s="26"/>
      <c r="Q993" s="26"/>
      <c r="R993" s="26"/>
      <c r="S993" s="26"/>
      <c r="T993" s="26"/>
      <c r="U993" s="26"/>
      <c r="V993" s="26"/>
      <c r="W993" s="26"/>
      <c r="X993" s="26"/>
      <c r="Y993" s="26"/>
    </row>
    <row r="994" spans="1:25" ht="15.75" customHeight="1">
      <c r="A994" s="26"/>
      <c r="B994" s="26"/>
      <c r="C994" s="26"/>
      <c r="D994" s="26"/>
      <c r="E994" s="26"/>
      <c r="F994" s="26"/>
      <c r="G994" s="26"/>
      <c r="H994" s="26"/>
      <c r="I994" s="26"/>
      <c r="J994" s="26"/>
      <c r="K994" s="26"/>
      <c r="L994" s="26"/>
      <c r="M994" s="27"/>
      <c r="N994" s="26"/>
      <c r="O994" s="26"/>
      <c r="P994" s="26"/>
      <c r="Q994" s="26"/>
      <c r="R994" s="26"/>
      <c r="S994" s="26"/>
      <c r="T994" s="26"/>
      <c r="U994" s="26"/>
      <c r="V994" s="26"/>
      <c r="W994" s="26"/>
      <c r="X994" s="26"/>
      <c r="Y994" s="26"/>
    </row>
    <row r="995" spans="1:25" ht="15.75" customHeight="1">
      <c r="A995" s="26"/>
      <c r="B995" s="26"/>
      <c r="C995" s="26"/>
      <c r="D995" s="26"/>
      <c r="E995" s="26"/>
      <c r="F995" s="26"/>
      <c r="G995" s="26"/>
      <c r="H995" s="26"/>
      <c r="I995" s="26"/>
      <c r="J995" s="26"/>
      <c r="K995" s="26"/>
      <c r="L995" s="26"/>
      <c r="M995" s="27"/>
      <c r="N995" s="26"/>
      <c r="O995" s="26"/>
      <c r="P995" s="26"/>
      <c r="Q995" s="26"/>
      <c r="R995" s="26"/>
      <c r="S995" s="26"/>
      <c r="T995" s="26"/>
      <c r="U995" s="26"/>
      <c r="V995" s="26"/>
      <c r="W995" s="26"/>
      <c r="X995" s="26"/>
      <c r="Y995" s="26"/>
    </row>
    <row r="996" spans="1:25" ht="15.75" customHeight="1">
      <c r="A996" s="26"/>
      <c r="B996" s="26"/>
      <c r="C996" s="26"/>
      <c r="D996" s="26"/>
      <c r="E996" s="26"/>
      <c r="F996" s="26"/>
      <c r="G996" s="26"/>
      <c r="H996" s="26"/>
      <c r="I996" s="26"/>
      <c r="J996" s="26"/>
      <c r="K996" s="26"/>
      <c r="L996" s="26"/>
      <c r="M996" s="27"/>
      <c r="N996" s="26"/>
      <c r="O996" s="26"/>
      <c r="P996" s="26"/>
      <c r="Q996" s="26"/>
      <c r="R996" s="26"/>
      <c r="S996" s="26"/>
      <c r="T996" s="26"/>
      <c r="U996" s="26"/>
      <c r="V996" s="26"/>
      <c r="W996" s="26"/>
      <c r="X996" s="26"/>
      <c r="Y996" s="26"/>
    </row>
    <row r="997" spans="1:25" ht="15.75" customHeight="1">
      <c r="A997" s="26"/>
      <c r="B997" s="26"/>
      <c r="C997" s="26"/>
      <c r="D997" s="26"/>
      <c r="E997" s="26"/>
      <c r="F997" s="26"/>
      <c r="G997" s="26"/>
      <c r="H997" s="26"/>
      <c r="I997" s="26"/>
      <c r="J997" s="26"/>
      <c r="K997" s="26"/>
      <c r="L997" s="26"/>
      <c r="M997" s="27"/>
      <c r="N997" s="26"/>
      <c r="O997" s="26"/>
      <c r="P997" s="26"/>
      <c r="Q997" s="26"/>
      <c r="R997" s="26"/>
      <c r="S997" s="26"/>
      <c r="T997" s="26"/>
      <c r="U997" s="26"/>
      <c r="V997" s="26"/>
      <c r="W997" s="26"/>
      <c r="X997" s="26"/>
      <c r="Y997" s="26"/>
    </row>
    <row r="998" spans="1:25" ht="15.75" customHeight="1">
      <c r="A998" s="26"/>
      <c r="B998" s="26"/>
      <c r="C998" s="26"/>
      <c r="D998" s="26"/>
      <c r="E998" s="26"/>
      <c r="F998" s="26"/>
      <c r="G998" s="26"/>
      <c r="H998" s="26"/>
      <c r="I998" s="26"/>
      <c r="J998" s="26"/>
      <c r="K998" s="26"/>
      <c r="L998" s="26"/>
      <c r="M998" s="27"/>
      <c r="N998" s="26"/>
      <c r="O998" s="26"/>
      <c r="P998" s="26"/>
      <c r="Q998" s="26"/>
      <c r="R998" s="26"/>
      <c r="S998" s="26"/>
      <c r="T998" s="26"/>
      <c r="U998" s="26"/>
      <c r="V998" s="26"/>
      <c r="W998" s="26"/>
      <c r="X998" s="26"/>
      <c r="Y998" s="26"/>
    </row>
    <row r="999" spans="1:25" ht="15.75" customHeight="1">
      <c r="A999" s="26"/>
      <c r="B999" s="26"/>
      <c r="C999" s="26"/>
      <c r="D999" s="26"/>
      <c r="E999" s="26"/>
      <c r="F999" s="26"/>
      <c r="G999" s="26"/>
      <c r="H999" s="26"/>
      <c r="I999" s="26"/>
      <c r="J999" s="26"/>
      <c r="K999" s="26"/>
      <c r="L999" s="26"/>
      <c r="M999" s="27"/>
      <c r="N999" s="26"/>
      <c r="O999" s="26"/>
      <c r="P999" s="26"/>
      <c r="Q999" s="26"/>
      <c r="R999" s="26"/>
      <c r="S999" s="26"/>
      <c r="T999" s="26"/>
      <c r="U999" s="26"/>
      <c r="V999" s="26"/>
      <c r="W999" s="26"/>
      <c r="X999" s="26"/>
      <c r="Y999" s="26"/>
    </row>
    <row r="1000" spans="1:25" ht="15.75" customHeight="1">
      <c r="A1000" s="26"/>
      <c r="B1000" s="26"/>
      <c r="C1000" s="26"/>
      <c r="D1000" s="26"/>
      <c r="E1000" s="26"/>
      <c r="F1000" s="26"/>
      <c r="G1000" s="26"/>
      <c r="H1000" s="26"/>
      <c r="I1000" s="26"/>
      <c r="J1000" s="26"/>
      <c r="K1000" s="26"/>
      <c r="L1000" s="26"/>
      <c r="M1000" s="27"/>
      <c r="N1000" s="26"/>
      <c r="O1000" s="26"/>
      <c r="P1000" s="26"/>
      <c r="Q1000" s="26"/>
      <c r="R1000" s="26"/>
      <c r="S1000" s="26"/>
      <c r="T1000" s="26"/>
      <c r="U1000" s="26"/>
      <c r="V1000" s="26"/>
      <c r="W1000" s="26"/>
      <c r="X1000" s="26"/>
      <c r="Y1000" s="26"/>
    </row>
    <row r="1001" spans="1:25" ht="15.75" customHeight="1">
      <c r="A1001" s="26"/>
      <c r="B1001" s="26"/>
      <c r="C1001" s="26"/>
      <c r="D1001" s="26"/>
      <c r="E1001" s="26"/>
      <c r="F1001" s="26"/>
      <c r="G1001" s="26"/>
      <c r="H1001" s="26"/>
      <c r="I1001" s="26"/>
      <c r="J1001" s="26"/>
      <c r="K1001" s="26"/>
      <c r="L1001" s="26"/>
      <c r="M1001" s="27"/>
      <c r="N1001" s="26"/>
      <c r="O1001" s="26"/>
      <c r="P1001" s="26"/>
      <c r="Q1001" s="26"/>
      <c r="R1001" s="26"/>
      <c r="S1001" s="26"/>
      <c r="T1001" s="26"/>
      <c r="U1001" s="26"/>
      <c r="V1001" s="26"/>
      <c r="W1001" s="26"/>
      <c r="X1001" s="26"/>
      <c r="Y1001" s="26"/>
    </row>
    <row r="1002" spans="1:25" ht="15.75" customHeight="1">
      <c r="A1002" s="26"/>
      <c r="B1002" s="26"/>
      <c r="C1002" s="26"/>
      <c r="D1002" s="26"/>
      <c r="E1002" s="26"/>
      <c r="F1002" s="26"/>
      <c r="G1002" s="26"/>
      <c r="H1002" s="26"/>
      <c r="I1002" s="26"/>
      <c r="J1002" s="26"/>
      <c r="K1002" s="26"/>
      <c r="L1002" s="26"/>
      <c r="M1002" s="27"/>
      <c r="N1002" s="26"/>
      <c r="O1002" s="26"/>
      <c r="P1002" s="26"/>
      <c r="Q1002" s="26"/>
      <c r="R1002" s="26"/>
      <c r="S1002" s="26"/>
      <c r="T1002" s="26"/>
      <c r="U1002" s="26"/>
      <c r="V1002" s="26"/>
      <c r="W1002" s="26"/>
      <c r="X1002" s="26"/>
      <c r="Y1002" s="26"/>
    </row>
    <row r="1003" spans="1:25" ht="15.75" customHeight="1">
      <c r="A1003" s="26"/>
      <c r="B1003" s="26"/>
      <c r="C1003" s="26"/>
      <c r="D1003" s="26"/>
      <c r="E1003" s="26"/>
      <c r="F1003" s="26"/>
      <c r="G1003" s="26"/>
      <c r="H1003" s="26"/>
      <c r="I1003" s="26"/>
      <c r="J1003" s="26"/>
      <c r="K1003" s="26"/>
      <c r="L1003" s="26"/>
      <c r="M1003" s="27"/>
      <c r="N1003" s="26"/>
      <c r="O1003" s="26"/>
      <c r="P1003" s="26"/>
      <c r="Q1003" s="26"/>
      <c r="R1003" s="26"/>
      <c r="S1003" s="26"/>
      <c r="T1003" s="26"/>
      <c r="U1003" s="26"/>
      <c r="V1003" s="26"/>
      <c r="W1003" s="26"/>
      <c r="X1003" s="26"/>
      <c r="Y1003" s="26"/>
    </row>
    <row r="1004" spans="1:25" ht="15.75" customHeight="1">
      <c r="A1004" s="26"/>
      <c r="B1004" s="26"/>
      <c r="C1004" s="26"/>
      <c r="D1004" s="26"/>
      <c r="E1004" s="26"/>
      <c r="F1004" s="26"/>
      <c r="G1004" s="26"/>
      <c r="H1004" s="26"/>
      <c r="I1004" s="26"/>
      <c r="J1004" s="26"/>
      <c r="K1004" s="26"/>
      <c r="L1004" s="26"/>
      <c r="M1004" s="27"/>
      <c r="N1004" s="26"/>
      <c r="O1004" s="26"/>
      <c r="P1004" s="26"/>
      <c r="Q1004" s="26"/>
      <c r="R1004" s="26"/>
      <c r="S1004" s="26"/>
      <c r="T1004" s="26"/>
      <c r="U1004" s="26"/>
      <c r="V1004" s="26"/>
      <c r="W1004" s="26"/>
      <c r="X1004" s="26"/>
      <c r="Y1004" s="26"/>
    </row>
    <row r="1005" spans="1:25" ht="15.75" customHeight="1">
      <c r="A1005" s="26"/>
      <c r="B1005" s="26"/>
      <c r="C1005" s="26"/>
      <c r="D1005" s="26"/>
      <c r="E1005" s="26"/>
      <c r="F1005" s="26"/>
      <c r="G1005" s="26"/>
      <c r="H1005" s="26"/>
      <c r="I1005" s="26"/>
      <c r="J1005" s="26"/>
      <c r="K1005" s="26"/>
      <c r="L1005" s="26"/>
      <c r="M1005" s="27"/>
      <c r="N1005" s="26"/>
      <c r="O1005" s="26"/>
      <c r="P1005" s="26"/>
      <c r="Q1005" s="26"/>
      <c r="R1005" s="26"/>
      <c r="S1005" s="26"/>
      <c r="T1005" s="26"/>
      <c r="U1005" s="26"/>
      <c r="V1005" s="26"/>
      <c r="W1005" s="26"/>
      <c r="X1005" s="26"/>
      <c r="Y1005" s="26"/>
    </row>
    <row r="1006" spans="1:25" ht="15.75" customHeight="1">
      <c r="A1006" s="26"/>
      <c r="B1006" s="26"/>
      <c r="C1006" s="26"/>
      <c r="D1006" s="26"/>
      <c r="E1006" s="26"/>
      <c r="F1006" s="26"/>
      <c r="G1006" s="26"/>
      <c r="H1006" s="26"/>
      <c r="I1006" s="26"/>
      <c r="J1006" s="26"/>
      <c r="K1006" s="26"/>
      <c r="L1006" s="26"/>
      <c r="M1006" s="27"/>
      <c r="N1006" s="26"/>
      <c r="O1006" s="26"/>
      <c r="P1006" s="26"/>
      <c r="Q1006" s="26"/>
      <c r="R1006" s="26"/>
      <c r="S1006" s="26"/>
      <c r="T1006" s="26"/>
      <c r="U1006" s="26"/>
      <c r="V1006" s="26"/>
      <c r="W1006" s="26"/>
      <c r="X1006" s="26"/>
      <c r="Y1006" s="26"/>
    </row>
    <row r="1007" spans="1:25" ht="15.75" customHeight="1">
      <c r="A1007" s="26"/>
      <c r="B1007" s="26"/>
      <c r="C1007" s="26"/>
      <c r="D1007" s="26"/>
      <c r="E1007" s="26"/>
      <c r="F1007" s="26"/>
      <c r="G1007" s="26"/>
      <c r="H1007" s="26"/>
      <c r="I1007" s="26"/>
      <c r="J1007" s="26"/>
      <c r="K1007" s="26"/>
      <c r="L1007" s="26"/>
      <c r="M1007" s="27"/>
      <c r="N1007" s="26"/>
      <c r="O1007" s="26"/>
      <c r="P1007" s="26"/>
      <c r="Q1007" s="26"/>
      <c r="R1007" s="26"/>
      <c r="S1007" s="26"/>
      <c r="T1007" s="26"/>
      <c r="U1007" s="26"/>
      <c r="V1007" s="26"/>
      <c r="W1007" s="26"/>
      <c r="X1007" s="26"/>
      <c r="Y1007" s="26"/>
    </row>
    <row r="1008" spans="1:25" ht="15.75" customHeight="1">
      <c r="A1008" s="26"/>
      <c r="B1008" s="26"/>
      <c r="C1008" s="26"/>
      <c r="D1008" s="26"/>
      <c r="E1008" s="26"/>
      <c r="F1008" s="26"/>
      <c r="G1008" s="26"/>
      <c r="H1008" s="26"/>
      <c r="I1008" s="26"/>
      <c r="J1008" s="26"/>
      <c r="K1008" s="26"/>
      <c r="L1008" s="26"/>
      <c r="M1008" s="27"/>
      <c r="N1008" s="26"/>
      <c r="O1008" s="26"/>
      <c r="P1008" s="26"/>
      <c r="Q1008" s="26"/>
      <c r="R1008" s="26"/>
      <c r="S1008" s="26"/>
      <c r="T1008" s="26"/>
      <c r="U1008" s="26"/>
      <c r="V1008" s="26"/>
      <c r="W1008" s="26"/>
      <c r="X1008" s="26"/>
      <c r="Y1008" s="26"/>
    </row>
    <row r="1009" spans="1:25" ht="15.75" customHeight="1">
      <c r="A1009" s="26"/>
      <c r="B1009" s="26"/>
      <c r="C1009" s="26"/>
      <c r="D1009" s="26"/>
      <c r="E1009" s="26"/>
      <c r="F1009" s="26"/>
      <c r="G1009" s="26"/>
      <c r="H1009" s="26"/>
      <c r="I1009" s="26"/>
      <c r="J1009" s="26"/>
      <c r="K1009" s="26"/>
      <c r="L1009" s="26"/>
      <c r="M1009" s="27"/>
      <c r="N1009" s="26"/>
      <c r="O1009" s="26"/>
      <c r="P1009" s="26"/>
      <c r="Q1009" s="26"/>
      <c r="R1009" s="26"/>
      <c r="S1009" s="26"/>
      <c r="T1009" s="26"/>
      <c r="U1009" s="26"/>
      <c r="V1009" s="26"/>
      <c r="W1009" s="26"/>
      <c r="X1009" s="26"/>
      <c r="Y1009" s="26"/>
    </row>
    <row r="1010" spans="1:25" ht="15.75" customHeight="1">
      <c r="A1010" s="26"/>
      <c r="B1010" s="26"/>
      <c r="C1010" s="26"/>
      <c r="D1010" s="26"/>
      <c r="E1010" s="26"/>
      <c r="F1010" s="26"/>
      <c r="G1010" s="26"/>
      <c r="H1010" s="26"/>
      <c r="I1010" s="26"/>
      <c r="J1010" s="26"/>
      <c r="K1010" s="26"/>
      <c r="L1010" s="26"/>
      <c r="M1010" s="27"/>
      <c r="N1010" s="26"/>
      <c r="O1010" s="26"/>
      <c r="P1010" s="26"/>
      <c r="Q1010" s="26"/>
      <c r="R1010" s="26"/>
      <c r="S1010" s="26"/>
      <c r="T1010" s="26"/>
      <c r="U1010" s="26"/>
      <c r="V1010" s="26"/>
      <c r="W1010" s="26"/>
      <c r="X1010" s="26"/>
      <c r="Y1010" s="26"/>
    </row>
    <row r="1011" spans="1:25" ht="15.75" customHeight="1">
      <c r="A1011" s="26"/>
      <c r="B1011" s="26"/>
      <c r="C1011" s="26"/>
      <c r="D1011" s="26"/>
      <c r="E1011" s="26"/>
      <c r="F1011" s="26"/>
      <c r="G1011" s="26"/>
      <c r="H1011" s="26"/>
      <c r="I1011" s="26"/>
      <c r="J1011" s="26"/>
      <c r="K1011" s="26"/>
      <c r="L1011" s="26"/>
      <c r="M1011" s="27"/>
      <c r="N1011" s="26"/>
      <c r="O1011" s="26"/>
      <c r="P1011" s="26"/>
      <c r="Q1011" s="26"/>
      <c r="R1011" s="26"/>
      <c r="S1011" s="26"/>
      <c r="T1011" s="26"/>
      <c r="U1011" s="26"/>
      <c r="V1011" s="26"/>
      <c r="W1011" s="26"/>
      <c r="X1011" s="26"/>
      <c r="Y1011" s="26"/>
    </row>
    <row r="1012" spans="1:25" ht="15.75" customHeight="1">
      <c r="A1012" s="26"/>
      <c r="B1012" s="26"/>
      <c r="C1012" s="26"/>
      <c r="D1012" s="26"/>
      <c r="E1012" s="26"/>
      <c r="F1012" s="26"/>
      <c r="G1012" s="26"/>
      <c r="H1012" s="26"/>
      <c r="I1012" s="26"/>
      <c r="J1012" s="26"/>
      <c r="K1012" s="26"/>
      <c r="L1012" s="26"/>
      <c r="M1012" s="27"/>
      <c r="N1012" s="26"/>
      <c r="O1012" s="26"/>
      <c r="P1012" s="26"/>
      <c r="Q1012" s="26"/>
      <c r="R1012" s="26"/>
      <c r="S1012" s="26"/>
      <c r="T1012" s="26"/>
      <c r="U1012" s="26"/>
      <c r="V1012" s="26"/>
      <c r="W1012" s="26"/>
      <c r="X1012" s="26"/>
      <c r="Y1012" s="26"/>
    </row>
    <row r="1013" spans="1:25" ht="15.75" customHeight="1">
      <c r="A1013" s="26"/>
      <c r="B1013" s="26"/>
      <c r="C1013" s="26"/>
      <c r="D1013" s="26"/>
      <c r="E1013" s="26"/>
      <c r="F1013" s="26"/>
      <c r="G1013" s="26"/>
      <c r="H1013" s="26"/>
      <c r="I1013" s="26"/>
      <c r="J1013" s="26"/>
      <c r="K1013" s="26"/>
      <c r="L1013" s="26"/>
      <c r="M1013" s="27"/>
      <c r="N1013" s="26"/>
      <c r="O1013" s="26"/>
      <c r="P1013" s="26"/>
      <c r="Q1013" s="26"/>
      <c r="R1013" s="26"/>
      <c r="S1013" s="26"/>
      <c r="T1013" s="26"/>
      <c r="U1013" s="26"/>
      <c r="V1013" s="26"/>
      <c r="W1013" s="26"/>
      <c r="X1013" s="26"/>
      <c r="Y1013" s="26"/>
    </row>
    <row r="1014" spans="1:25" ht="15.75" customHeight="1">
      <c r="A1014" s="26"/>
      <c r="B1014" s="26"/>
      <c r="C1014" s="26"/>
      <c r="D1014" s="26"/>
      <c r="E1014" s="26"/>
      <c r="F1014" s="26"/>
      <c r="G1014" s="26"/>
      <c r="H1014" s="26"/>
      <c r="I1014" s="26"/>
      <c r="J1014" s="26"/>
      <c r="K1014" s="26"/>
      <c r="L1014" s="26"/>
      <c r="M1014" s="27"/>
      <c r="N1014" s="26"/>
      <c r="O1014" s="26"/>
      <c r="P1014" s="26"/>
      <c r="Q1014" s="26"/>
      <c r="R1014" s="26"/>
      <c r="S1014" s="26"/>
      <c r="T1014" s="26"/>
      <c r="U1014" s="26"/>
      <c r="V1014" s="26"/>
      <c r="W1014" s="26"/>
      <c r="X1014" s="26"/>
      <c r="Y1014" s="26"/>
    </row>
    <row r="1015" spans="1:25" ht="15.75" customHeight="1">
      <c r="A1015" s="26"/>
      <c r="B1015" s="26"/>
      <c r="C1015" s="26"/>
      <c r="D1015" s="26"/>
      <c r="E1015" s="26"/>
      <c r="F1015" s="26"/>
      <c r="G1015" s="26"/>
      <c r="H1015" s="26"/>
      <c r="I1015" s="26"/>
      <c r="J1015" s="26"/>
      <c r="K1015" s="26"/>
      <c r="L1015" s="26"/>
      <c r="M1015" s="27"/>
      <c r="N1015" s="26"/>
      <c r="O1015" s="26"/>
      <c r="P1015" s="26"/>
      <c r="Q1015" s="26"/>
      <c r="R1015" s="26"/>
      <c r="S1015" s="26"/>
      <c r="T1015" s="26"/>
      <c r="U1015" s="26"/>
      <c r="V1015" s="26"/>
      <c r="W1015" s="26"/>
      <c r="X1015" s="26"/>
      <c r="Y1015" s="26"/>
    </row>
    <row r="1016" spans="1:25" ht="15.75" customHeight="1">
      <c r="A1016" s="26"/>
      <c r="B1016" s="26"/>
      <c r="C1016" s="26"/>
      <c r="D1016" s="26"/>
      <c r="E1016" s="26"/>
      <c r="F1016" s="26"/>
      <c r="G1016" s="26"/>
      <c r="H1016" s="26"/>
      <c r="I1016" s="26"/>
      <c r="J1016" s="26"/>
      <c r="K1016" s="26"/>
      <c r="L1016" s="26"/>
      <c r="M1016" s="27"/>
      <c r="N1016" s="26"/>
      <c r="O1016" s="26"/>
      <c r="P1016" s="26"/>
      <c r="Q1016" s="26"/>
      <c r="R1016" s="26"/>
      <c r="S1016" s="26"/>
      <c r="T1016" s="26"/>
      <c r="U1016" s="26"/>
      <c r="V1016" s="26"/>
      <c r="W1016" s="26"/>
      <c r="X1016" s="26"/>
      <c r="Y1016" s="26"/>
    </row>
    <row r="1017" spans="1:25" ht="15.75" customHeight="1">
      <c r="A1017" s="26"/>
      <c r="B1017" s="26"/>
      <c r="C1017" s="26"/>
      <c r="D1017" s="26"/>
      <c r="E1017" s="26"/>
      <c r="F1017" s="26"/>
      <c r="G1017" s="26"/>
      <c r="H1017" s="26"/>
      <c r="I1017" s="26"/>
      <c r="J1017" s="26"/>
      <c r="K1017" s="26"/>
      <c r="L1017" s="26"/>
      <c r="M1017" s="27"/>
      <c r="N1017" s="26"/>
      <c r="O1017" s="26"/>
      <c r="P1017" s="26"/>
      <c r="Q1017" s="26"/>
      <c r="R1017" s="26"/>
      <c r="S1017" s="26"/>
      <c r="T1017" s="26"/>
      <c r="U1017" s="26"/>
      <c r="V1017" s="26"/>
      <c r="W1017" s="26"/>
      <c r="X1017" s="26"/>
      <c r="Y1017" s="26"/>
    </row>
    <row r="1018" spans="1:25" ht="15.75" customHeight="1">
      <c r="A1018" s="26"/>
      <c r="B1018" s="26"/>
      <c r="C1018" s="26"/>
      <c r="D1018" s="26"/>
      <c r="E1018" s="26"/>
      <c r="F1018" s="26"/>
      <c r="G1018" s="26"/>
      <c r="H1018" s="26"/>
      <c r="I1018" s="26"/>
      <c r="J1018" s="26"/>
      <c r="K1018" s="26"/>
      <c r="L1018" s="26"/>
      <c r="M1018" s="27"/>
      <c r="N1018" s="26"/>
      <c r="O1018" s="26"/>
      <c r="P1018" s="26"/>
      <c r="Q1018" s="26"/>
      <c r="R1018" s="26"/>
      <c r="S1018" s="26"/>
      <c r="T1018" s="26"/>
      <c r="U1018" s="26"/>
      <c r="V1018" s="26"/>
      <c r="W1018" s="26"/>
      <c r="X1018" s="26"/>
      <c r="Y1018" s="26"/>
    </row>
    <row r="1019" spans="1:25" ht="15.75" customHeight="1">
      <c r="A1019" s="26"/>
      <c r="B1019" s="26"/>
      <c r="C1019" s="26"/>
      <c r="D1019" s="26"/>
      <c r="E1019" s="26"/>
      <c r="F1019" s="26"/>
      <c r="G1019" s="26"/>
      <c r="H1019" s="26"/>
      <c r="I1019" s="26"/>
      <c r="J1019" s="26"/>
      <c r="K1019" s="26"/>
      <c r="L1019" s="26"/>
      <c r="M1019" s="27"/>
      <c r="N1019" s="26"/>
      <c r="O1019" s="26"/>
      <c r="P1019" s="26"/>
      <c r="Q1019" s="26"/>
      <c r="R1019" s="26"/>
      <c r="S1019" s="26"/>
      <c r="T1019" s="26"/>
      <c r="U1019" s="26"/>
      <c r="V1019" s="26"/>
      <c r="W1019" s="26"/>
      <c r="X1019" s="26"/>
      <c r="Y1019" s="26"/>
    </row>
    <row r="1020" spans="1:25" ht="15.75" customHeight="1">
      <c r="A1020" s="26"/>
      <c r="B1020" s="26"/>
      <c r="C1020" s="26"/>
      <c r="D1020" s="26"/>
      <c r="E1020" s="26"/>
      <c r="F1020" s="26"/>
      <c r="G1020" s="26"/>
      <c r="H1020" s="26"/>
      <c r="I1020" s="26"/>
      <c r="J1020" s="26"/>
      <c r="K1020" s="26"/>
      <c r="L1020" s="26"/>
      <c r="M1020" s="27"/>
      <c r="N1020" s="26"/>
      <c r="O1020" s="26"/>
      <c r="P1020" s="26"/>
      <c r="Q1020" s="26"/>
      <c r="R1020" s="26"/>
      <c r="S1020" s="26"/>
      <c r="T1020" s="26"/>
      <c r="U1020" s="26"/>
      <c r="V1020" s="26"/>
      <c r="W1020" s="26"/>
      <c r="X1020" s="26"/>
      <c r="Y1020" s="26"/>
    </row>
    <row r="1021" spans="1:25" ht="15.75" customHeight="1">
      <c r="A1021" s="26"/>
      <c r="B1021" s="26"/>
      <c r="C1021" s="26"/>
      <c r="D1021" s="26"/>
      <c r="E1021" s="26"/>
      <c r="F1021" s="26"/>
      <c r="G1021" s="26"/>
      <c r="H1021" s="26"/>
      <c r="I1021" s="26"/>
      <c r="J1021" s="26"/>
      <c r="K1021" s="26"/>
      <c r="L1021" s="26"/>
      <c r="M1021" s="27"/>
      <c r="N1021" s="26"/>
      <c r="O1021" s="26"/>
      <c r="P1021" s="26"/>
      <c r="Q1021" s="26"/>
      <c r="R1021" s="26"/>
      <c r="S1021" s="26"/>
      <c r="T1021" s="26"/>
      <c r="U1021" s="26"/>
      <c r="V1021" s="26"/>
      <c r="W1021" s="26"/>
      <c r="X1021" s="26"/>
      <c r="Y1021" s="26"/>
    </row>
    <row r="1022" spans="1:25" ht="15.75" customHeight="1">
      <c r="A1022" s="26"/>
      <c r="B1022" s="26"/>
      <c r="C1022" s="26"/>
      <c r="D1022" s="26"/>
      <c r="E1022" s="26"/>
      <c r="F1022" s="26"/>
      <c r="G1022" s="26"/>
      <c r="H1022" s="26"/>
      <c r="I1022" s="26"/>
      <c r="J1022" s="26"/>
      <c r="K1022" s="26"/>
      <c r="L1022" s="26"/>
      <c r="M1022" s="27"/>
      <c r="N1022" s="26"/>
      <c r="O1022" s="26"/>
      <c r="P1022" s="26"/>
      <c r="Q1022" s="26"/>
      <c r="R1022" s="26"/>
      <c r="S1022" s="26"/>
      <c r="T1022" s="26"/>
      <c r="U1022" s="26"/>
      <c r="V1022" s="26"/>
      <c r="W1022" s="26"/>
      <c r="X1022" s="26"/>
      <c r="Y1022" s="26"/>
    </row>
  </sheetData>
  <mergeCells count="3">
    <mergeCell ref="B2:L2"/>
    <mergeCell ref="M2:M3"/>
    <mergeCell ref="N2:R2"/>
  </mergeCells>
  <pageMargins left="0.7" right="0.7" top="0.75" bottom="0.75" header="0" footer="0"/>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2060"/>
  </sheetPr>
  <dimension ref="A1:Y1000"/>
  <sheetViews>
    <sheetView showGridLines="0" tabSelected="1" workbookViewId="0">
      <selection activeCell="O43" sqref="B2:O43"/>
    </sheetView>
  </sheetViews>
  <sheetFormatPr defaultColWidth="14.42578125" defaultRowHeight="15" customHeight="1"/>
  <cols>
    <col min="1" max="1" width="2" customWidth="1"/>
    <col min="2" max="2" width="34.42578125" customWidth="1"/>
    <col min="3" max="3" width="9.28515625" customWidth="1"/>
    <col min="4" max="4" width="10.140625" bestFit="1" customWidth="1"/>
    <col min="5" max="12" width="9.28515625" customWidth="1"/>
    <col min="13" max="13" width="18.85546875" customWidth="1"/>
    <col min="14" max="14" width="9.28515625" customWidth="1"/>
    <col min="15" max="15" width="11" customWidth="1"/>
    <col min="16" max="25" width="2" customWidth="1"/>
  </cols>
  <sheetData>
    <row r="1" spans="1:25">
      <c r="A1" s="26"/>
      <c r="B1" s="26"/>
      <c r="C1" s="26"/>
      <c r="D1" s="26"/>
      <c r="E1" s="26"/>
      <c r="F1" s="26"/>
      <c r="G1" s="26"/>
      <c r="H1" s="26"/>
      <c r="I1" s="26"/>
      <c r="J1" s="26"/>
      <c r="K1" s="26"/>
      <c r="L1" s="26"/>
      <c r="M1" s="26"/>
      <c r="N1" s="26"/>
      <c r="O1" s="26"/>
      <c r="P1" s="26"/>
      <c r="Q1" s="26"/>
      <c r="R1" s="26"/>
      <c r="S1" s="26"/>
      <c r="T1" s="26"/>
      <c r="U1" s="26"/>
      <c r="V1" s="26"/>
      <c r="W1" s="26"/>
      <c r="X1" s="26"/>
      <c r="Y1" s="26"/>
    </row>
    <row r="2" spans="1:25">
      <c r="A2" s="26"/>
      <c r="B2" s="419" t="str">
        <f>"Historical Financial Statement - "&amp;'Data Sheet'!B1</f>
        <v>Historical Financial Statement - TATA POWER COMPANY LTD</v>
      </c>
      <c r="C2" s="419"/>
      <c r="D2" s="419"/>
      <c r="E2" s="419"/>
      <c r="F2" s="419"/>
      <c r="G2" s="419"/>
      <c r="H2" s="419"/>
      <c r="I2" s="419"/>
      <c r="J2" s="419"/>
      <c r="K2" s="419"/>
      <c r="L2" s="419"/>
      <c r="M2" s="419"/>
      <c r="N2" s="419"/>
      <c r="O2" s="419"/>
      <c r="P2" s="26"/>
      <c r="Q2" s="26"/>
      <c r="R2" s="26"/>
      <c r="S2" s="26"/>
      <c r="T2" s="26"/>
      <c r="U2" s="26"/>
      <c r="V2" s="26"/>
      <c r="W2" s="26"/>
      <c r="X2" s="26"/>
      <c r="Y2" s="26"/>
    </row>
    <row r="3" spans="1:25">
      <c r="A3" s="26"/>
      <c r="B3" s="28" t="s">
        <v>95</v>
      </c>
      <c r="C3" s="58">
        <f>'Historical Financial Statements'!C3</f>
        <v>42825</v>
      </c>
      <c r="D3" s="58">
        <f>'Historical Financial Statements'!D3</f>
        <v>43190</v>
      </c>
      <c r="E3" s="58">
        <f>'Historical Financial Statements'!E3</f>
        <v>43555</v>
      </c>
      <c r="F3" s="58">
        <f>'Historical Financial Statements'!F3</f>
        <v>43921</v>
      </c>
      <c r="G3" s="58">
        <f>'Historical Financial Statements'!G3</f>
        <v>44286</v>
      </c>
      <c r="H3" s="58">
        <f>'Historical Financial Statements'!H3</f>
        <v>44651</v>
      </c>
      <c r="I3" s="58">
        <f>'Historical Financial Statements'!I3</f>
        <v>45016</v>
      </c>
      <c r="J3" s="58">
        <f>'Historical Financial Statements'!J3</f>
        <v>45382</v>
      </c>
      <c r="K3" s="58">
        <f>'Historical Financial Statements'!K3</f>
        <v>45747</v>
      </c>
      <c r="L3" s="58">
        <f>'Historical Financial Statements'!L3</f>
        <v>46112</v>
      </c>
      <c r="M3" s="57"/>
      <c r="N3" s="30" t="s">
        <v>153</v>
      </c>
      <c r="O3" s="30" t="s">
        <v>154</v>
      </c>
      <c r="P3" s="26"/>
      <c r="Q3" s="26"/>
      <c r="R3" s="26"/>
      <c r="S3" s="26"/>
      <c r="T3" s="26"/>
      <c r="U3" s="26"/>
      <c r="V3" s="26"/>
      <c r="W3" s="26"/>
      <c r="X3" s="26"/>
      <c r="Y3" s="26"/>
    </row>
    <row r="4" spans="1:25">
      <c r="A4" s="26"/>
      <c r="B4" s="26"/>
      <c r="C4" s="26"/>
      <c r="D4" s="26"/>
      <c r="E4" s="26"/>
      <c r="F4" s="26"/>
      <c r="G4" s="26"/>
      <c r="H4" s="26"/>
      <c r="I4" s="26"/>
      <c r="J4" s="26"/>
      <c r="K4" s="26"/>
      <c r="L4" s="26"/>
      <c r="M4" s="26"/>
      <c r="N4" s="26"/>
      <c r="O4" s="26"/>
      <c r="P4" s="26"/>
      <c r="Q4" s="26"/>
      <c r="R4" s="26"/>
      <c r="S4" s="26"/>
      <c r="T4" s="26"/>
      <c r="U4" s="26"/>
      <c r="V4" s="26"/>
      <c r="W4" s="26"/>
      <c r="X4" s="26"/>
      <c r="Y4" s="26"/>
    </row>
    <row r="5" spans="1:25">
      <c r="A5" s="26"/>
      <c r="B5" s="59" t="s">
        <v>98</v>
      </c>
      <c r="C5" s="60"/>
      <c r="D5" s="60">
        <f>IFERROR('Historical Financial Statements'!D7,0)</f>
        <v>-2.7088991825672371E-2</v>
      </c>
      <c r="E5" s="60">
        <f>IFERROR('Historical Financial Statements'!E7,0)</f>
        <v>0.1132920794015857</v>
      </c>
      <c r="F5" s="60">
        <f>IFERROR('Historical Financial Statements'!F7,0)</f>
        <v>-2.4921806656122758E-2</v>
      </c>
      <c r="G5" s="60">
        <f>IFERROR('Historical Financial Statements'!G7,0)</f>
        <v>0.12242225095301862</v>
      </c>
      <c r="H5" s="60">
        <f>IFERROR('Historical Financial Statements'!H7,0)</f>
        <v>0.30921518341721366</v>
      </c>
      <c r="I5" s="60">
        <f>IFERROR('Historical Financial Statements'!I7,0)</f>
        <v>0.28712408330875139</v>
      </c>
      <c r="J5" s="60">
        <f>IFERROR('Historical Financial Statements'!J7,0)</f>
        <v>0.11504129628003223</v>
      </c>
      <c r="K5" s="60">
        <f>IFERROR('Historical Financial Statements'!K7,0)</f>
        <v>6.5572207150982331E-2</v>
      </c>
      <c r="L5" s="60">
        <f>IFERROR('Historical Financial Statements'!L7,0)</f>
        <v>-4.6575014844626228E-2</v>
      </c>
      <c r="M5" s="59"/>
      <c r="N5" s="60">
        <f>IFERROR(AVERAGE(D5:L5),0)</f>
        <v>0.10156458746501806</v>
      </c>
      <c r="O5" s="60">
        <f>IFERROR(MEDIAN(D5:L5),0)</f>
        <v>0.1132920794015857</v>
      </c>
      <c r="P5" s="26"/>
      <c r="Q5" s="26"/>
      <c r="R5" s="26"/>
      <c r="S5" s="26"/>
      <c r="T5" s="26"/>
      <c r="U5" s="26"/>
      <c r="V5" s="26"/>
      <c r="W5" s="26"/>
      <c r="X5" s="26"/>
      <c r="Y5" s="26"/>
    </row>
    <row r="6" spans="1:25">
      <c r="A6" s="26"/>
      <c r="B6" s="26" t="s">
        <v>155</v>
      </c>
      <c r="C6" s="61"/>
      <c r="D6" s="61">
        <f>IFERROR('Historical Financial Statements'!D18/'Historical Financial Statements'!C18-1,0)</f>
        <v>6.0980133406865145E-2</v>
      </c>
      <c r="E6" s="61">
        <f>IFERROR('Historical Financial Statements'!E18/'Historical Financial Statements'!D18-1,0)</f>
        <v>7.0160592929951138E-2</v>
      </c>
      <c r="F6" s="61">
        <f>IFERROR('Historical Financial Statements'!F18/'Historical Financial Statements'!E18-1,0)</f>
        <v>0.17029359469187666</v>
      </c>
      <c r="G6" s="61">
        <f>IFERROR('Historical Financial Statements'!G18/'Historical Financial Statements'!F18-1,0)</f>
        <v>-0.11141785679876104</v>
      </c>
      <c r="H6" s="61">
        <f>IFERROR('Historical Financial Statements'!H18/'Historical Financial Statements'!G18-1,0)</f>
        <v>9.0633092985141994E-2</v>
      </c>
      <c r="I6" s="61">
        <f>IFERROR('Historical Financial Statements'!I18/'Historical Financial Statements'!H18-1,0)</f>
        <v>8.7468071763968425E-2</v>
      </c>
      <c r="J6" s="61">
        <f>IFERROR('Historical Financial Statements'!J18/'Historical Financial Statements'!I18-1,0)</f>
        <v>0.33148030290776909</v>
      </c>
      <c r="K6" s="61">
        <f>IFERROR('Historical Financial Statements'!K18/'Historical Financial Statements'!J18-1,0)</f>
        <v>0.28033872792172554</v>
      </c>
      <c r="L6" s="61">
        <f>IFERROR('Historical Financial Statements'!L18/'Historical Financial Statements'!K18-1,0)</f>
        <v>-5.8613913937863527E-2</v>
      </c>
      <c r="M6" s="26"/>
      <c r="N6" s="61">
        <f>IFERROR(AVERAGE(D6:L6),0)</f>
        <v>0.10236919398563038</v>
      </c>
      <c r="O6" s="61">
        <f>IFERROR(MEDIAN(D6:L6),0)</f>
        <v>8.7468071763968425E-2</v>
      </c>
      <c r="P6" s="26"/>
      <c r="Q6" s="26"/>
      <c r="R6" s="26"/>
      <c r="S6" s="26"/>
      <c r="T6" s="26"/>
      <c r="U6" s="26"/>
      <c r="V6" s="26"/>
      <c r="W6" s="26"/>
      <c r="X6" s="26"/>
      <c r="Y6" s="26"/>
    </row>
    <row r="7" spans="1:25">
      <c r="A7" s="26"/>
      <c r="B7" s="26" t="s">
        <v>156</v>
      </c>
      <c r="C7" s="61"/>
      <c r="D7" s="61">
        <f>IFERROR('Historical Financial Statements'!D24/'Historical Financial Statements'!C24-1,0)</f>
        <v>-4.6047304238521214E-3</v>
      </c>
      <c r="E7" s="61">
        <f>IFERROR('Historical Financial Statements'!E24/'Historical Financial Statements'!D24-1,0)</f>
        <v>9.8729966002914615E-2</v>
      </c>
      <c r="F7" s="61">
        <f>IFERROR('Historical Financial Statements'!F24/'Historical Financial Statements'!E24-1,0)</f>
        <v>0.20722632205933289</v>
      </c>
      <c r="G7" s="61">
        <f>IFERROR('Historical Financial Statements'!G24/'Historical Financial Statements'!F24-1,0)</f>
        <v>-0.18552848862542115</v>
      </c>
      <c r="H7" s="61">
        <f>IFERROR('Historical Financial Statements'!H24/'Historical Financial Statements'!G24-1,0)</f>
        <v>6.175387015345879E-2</v>
      </c>
      <c r="I7" s="61">
        <f>IFERROR('Historical Financial Statements'!I24/'Historical Financial Statements'!H24-1,0)</f>
        <v>7.8172633967888761E-2</v>
      </c>
      <c r="J7" s="61">
        <f>IFERROR('Historical Financial Statements'!J24/'Historical Financial Statements'!I24-1,0)</f>
        <v>0.48716317446104918</v>
      </c>
      <c r="K7" s="61">
        <f>IFERROR('Historical Financial Statements'!K24/'Historical Financial Statements'!J24-1,0)</f>
        <v>0.3768527736480316</v>
      </c>
      <c r="L7" s="61">
        <f>IFERROR('Historical Financial Statements'!L24/'Historical Financial Statements'!K24-1,0)</f>
        <v>-0.14832786407338672</v>
      </c>
      <c r="M7" s="26"/>
      <c r="N7" s="61">
        <f>IFERROR(AVERAGE(D7:L7),0)</f>
        <v>0.10793751746333509</v>
      </c>
      <c r="O7" s="61">
        <f>IFERROR(MEDIAN(D7:L7),0)</f>
        <v>7.8172633967888761E-2</v>
      </c>
      <c r="P7" s="26"/>
      <c r="Q7" s="26"/>
      <c r="R7" s="26"/>
      <c r="S7" s="26"/>
      <c r="T7" s="26"/>
      <c r="U7" s="26"/>
      <c r="V7" s="26"/>
      <c r="W7" s="26"/>
      <c r="X7" s="26"/>
      <c r="Y7" s="26"/>
    </row>
    <row r="8" spans="1:25">
      <c r="A8" s="26"/>
      <c r="B8" s="26" t="s">
        <v>157</v>
      </c>
      <c r="C8" s="61"/>
      <c r="D8" s="61">
        <f>IFERROR('Historical Financial Statements'!D39/'Historical Financial Statements'!C39-1,0)</f>
        <v>1.374298627720238</v>
      </c>
      <c r="E8" s="61">
        <f>IFERROR('Historical Financial Statements'!E39/'Historical Financial Statements'!D39-1,0)</f>
        <v>-1.9878583603032407E-3</v>
      </c>
      <c r="F8" s="61">
        <f>IFERROR('Historical Financial Statements'!F39/'Historical Financial Statements'!E39-1,0)</f>
        <v>-0.49477675521748865</v>
      </c>
      <c r="G8" s="61">
        <f>IFERROR('Historical Financial Statements'!G39/'Historical Financial Statements'!F39-1,0)</f>
        <v>9.2833703017226155E-2</v>
      </c>
      <c r="H8" s="61">
        <f>IFERROR('Historical Financial Statements'!H39/'Historical Financial Statements'!G39-1,0)</f>
        <v>0.49835609773051637</v>
      </c>
      <c r="I8" s="61">
        <f>IFERROR('Historical Financial Statements'!I39/'Historical Financial Statements'!H39-1,0)</f>
        <v>0.76732804171441016</v>
      </c>
      <c r="J8" s="61">
        <f>IFERROR('Historical Financial Statements'!J39/'Historical Financial Statements'!I39-1,0)</f>
        <v>0.12348313633464292</v>
      </c>
      <c r="K8" s="61">
        <f>IFERROR('Historical Financial Statements'!K39/'Historical Financial Statements'!J39-1,0)</f>
        <v>0.11571458610779906</v>
      </c>
      <c r="L8" s="61">
        <f>IFERROR('Historical Financial Statements'!L39/'Historical Financial Statements'!K39-1,0)</f>
        <v>7.1657274724263198E-2</v>
      </c>
      <c r="M8" s="26"/>
      <c r="N8" s="61">
        <f>IFERROR(AVERAGE(D8:L8),0)</f>
        <v>0.28298965041903368</v>
      </c>
      <c r="O8" s="61">
        <f>IFERROR(MEDIAN(D8:L8),0)</f>
        <v>0.11571458610779906</v>
      </c>
      <c r="P8" s="26"/>
      <c r="Q8" s="26"/>
      <c r="R8" s="26"/>
      <c r="S8" s="26"/>
      <c r="T8" s="26"/>
      <c r="U8" s="26"/>
      <c r="V8" s="26"/>
      <c r="W8" s="26"/>
      <c r="X8" s="26"/>
      <c r="Y8" s="26"/>
    </row>
    <row r="9" spans="1:25">
      <c r="A9" s="26"/>
      <c r="B9" s="62" t="s">
        <v>158</v>
      </c>
      <c r="C9" s="63"/>
      <c r="D9" s="63">
        <f>'Historical Financial Statements'!D50/'Historical Financial Statements'!C50-1</f>
        <v>0</v>
      </c>
      <c r="E9" s="63">
        <f>'Historical Financial Statements'!E50/'Historical Financial Statements'!D50-1</f>
        <v>0</v>
      </c>
      <c r="F9" s="63">
        <f>'Historical Financial Statements'!F50/'Historical Financial Statements'!E50-1</f>
        <v>0.19232191099104212</v>
      </c>
      <c r="G9" s="63">
        <f>'Historical Financial Statements'!G50/'Historical Financial Statements'!F50-1</f>
        <v>0.18135851936653324</v>
      </c>
      <c r="H9" s="63">
        <f>'Historical Financial Statements'!H50/'Historical Financial Statements'!G50-1</f>
        <v>0.12902769926512159</v>
      </c>
      <c r="I9" s="63">
        <f>'Historical Financial Statements'!I50/'Historical Financial Statements'!H50-1</f>
        <v>0.14285714285714279</v>
      </c>
      <c r="J9" s="63">
        <f>'Historical Financial Statements'!J50/'Historical Financial Statements'!I50-1</f>
        <v>0</v>
      </c>
      <c r="K9" s="63">
        <f>'Historical Financial Statements'!K50/'Historical Financial Statements'!J50-1</f>
        <v>0.125</v>
      </c>
      <c r="L9" s="63">
        <f>'Historical Financial Statements'!L50/'Historical Financial Statements'!K50-1</f>
        <v>0.11111111111111116</v>
      </c>
      <c r="M9" s="62"/>
      <c r="N9" s="63">
        <f>IFERROR(AVERAGE(D9:L9),0)</f>
        <v>9.7964042621216774E-2</v>
      </c>
      <c r="O9" s="63">
        <f>IFERROR(MEDIAN(D9:L9),0)</f>
        <v>0.125</v>
      </c>
      <c r="P9" s="26"/>
      <c r="Q9" s="26"/>
      <c r="R9" s="26"/>
      <c r="S9" s="26"/>
      <c r="T9" s="26"/>
      <c r="U9" s="26"/>
      <c r="V9" s="26"/>
      <c r="W9" s="26"/>
      <c r="X9" s="26"/>
      <c r="Y9" s="26"/>
    </row>
    <row r="10" spans="1:25">
      <c r="A10" s="26"/>
      <c r="B10" s="26"/>
      <c r="C10" s="26"/>
      <c r="D10" s="26"/>
      <c r="E10" s="26"/>
      <c r="F10" s="26"/>
      <c r="G10" s="26"/>
      <c r="H10" s="26"/>
      <c r="I10" s="26"/>
      <c r="J10" s="26"/>
      <c r="K10" s="26"/>
      <c r="L10" s="26"/>
      <c r="M10" s="26"/>
      <c r="N10" s="61"/>
      <c r="O10" s="61"/>
      <c r="P10" s="26"/>
      <c r="Q10" s="26"/>
      <c r="R10" s="26"/>
      <c r="S10" s="26"/>
      <c r="T10" s="26"/>
      <c r="U10" s="26"/>
      <c r="V10" s="26"/>
      <c r="W10" s="26"/>
      <c r="X10" s="26"/>
      <c r="Y10" s="26"/>
    </row>
    <row r="11" spans="1:25">
      <c r="A11" s="26"/>
      <c r="B11" s="59" t="s">
        <v>159</v>
      </c>
      <c r="C11" s="60">
        <f>IFERROR('Historical Financial Statements'!C13,0)</f>
        <v>0.23831476399352022</v>
      </c>
      <c r="D11" s="60">
        <f>IFERROR('Historical Financial Statements'!D13,0)</f>
        <v>0.25990610377615431</v>
      </c>
      <c r="E11" s="60">
        <f>IFERROR('Historical Financial Statements'!E13,0)</f>
        <v>0.24711606616365026</v>
      </c>
      <c r="F11" s="60">
        <f>IFERROR('Historical Financial Statements'!F13,0)</f>
        <v>0.2916372217953026</v>
      </c>
      <c r="G11" s="60">
        <f>IFERROR('Historical Financial Statements'!G13,0)</f>
        <v>0.23599048536677167</v>
      </c>
      <c r="H11" s="60">
        <f>IFERROR('Historical Financial Statements'!H13,0)</f>
        <v>0.20030750423851837</v>
      </c>
      <c r="I11" s="60">
        <f>IFERROR('Historical Financial Statements'!I13,0)</f>
        <v>0.17326328075155681</v>
      </c>
      <c r="J11" s="60">
        <f>IFERROR('Historical Financial Statements'!J13,0)</f>
        <v>0.20143778000908077</v>
      </c>
      <c r="K11" s="60">
        <f>IFERROR('Historical Financial Statements'!K13,0)</f>
        <v>0.23824739333250247</v>
      </c>
      <c r="L11" s="60">
        <f>IFERROR('Historical Financial Statements'!L13,0)</f>
        <v>0.23876368183231433</v>
      </c>
      <c r="M11" s="59"/>
      <c r="N11" s="60">
        <f>IFERROR(AVERAGE(C11:L11),0)</f>
        <v>0.23249842812593716</v>
      </c>
      <c r="O11" s="60">
        <f>IFERROR(MEDIAN(C11:L11),0)</f>
        <v>0.23828107866301135</v>
      </c>
      <c r="P11" s="26"/>
      <c r="Q11" s="26"/>
      <c r="R11" s="26"/>
      <c r="S11" s="26"/>
      <c r="T11" s="26"/>
      <c r="U11" s="26"/>
      <c r="V11" s="26"/>
      <c r="W11" s="26"/>
      <c r="X11" s="26"/>
      <c r="Y11" s="26"/>
    </row>
    <row r="12" spans="1:25">
      <c r="A12" s="26"/>
      <c r="B12" s="26" t="s">
        <v>160</v>
      </c>
      <c r="C12" s="61">
        <f>IFERROR('Historical Financial Statements'!C19,0)</f>
        <v>0.22084712727715608</v>
      </c>
      <c r="D12" s="61">
        <f>IFERROR('Historical Financial Statements'!D19,0)</f>
        <v>0.24083848634905689</v>
      </c>
      <c r="E12" s="61">
        <f>IFERROR('Historical Financial Statements'!E19,0)</f>
        <v>0.23150785146176217</v>
      </c>
      <c r="F12" s="61">
        <f>IFERROR('Historical Financial Statements'!F19,0)</f>
        <v>0.27785685039007946</v>
      </c>
      <c r="G12" s="61">
        <f>IFERROR('Historical Financial Statements'!G19,0)</f>
        <v>0.21996947709574344</v>
      </c>
      <c r="H12" s="61">
        <f>IFERROR('Historical Financial Statements'!H19,0)</f>
        <v>0.18324412534009168</v>
      </c>
      <c r="I12" s="61">
        <f>IFERROR('Historical Financial Statements'!I19,0)</f>
        <v>0.1548196776284417</v>
      </c>
      <c r="J12" s="61">
        <f>IFERROR('Historical Financial Statements'!J19,0)</f>
        <v>0.18487149485182006</v>
      </c>
      <c r="K12" s="61">
        <f>IFERROR('Historical Financial Statements'!K19,0)</f>
        <v>0.22213242139678765</v>
      </c>
      <c r="L12" s="61">
        <f>IFERROR('Historical Financial Statements'!L19,0)</f>
        <v>0.21932755489111644</v>
      </c>
      <c r="M12" s="26"/>
      <c r="N12" s="61">
        <f>IFERROR(AVERAGE(C12:L12),0)</f>
        <v>0.21554150666820551</v>
      </c>
      <c r="O12" s="61">
        <f>IFERROR(MEDIAN(C12:L12),0)</f>
        <v>0.22040830218644974</v>
      </c>
      <c r="P12" s="26"/>
      <c r="Q12" s="26"/>
      <c r="R12" s="26"/>
      <c r="S12" s="26"/>
      <c r="T12" s="26"/>
      <c r="U12" s="26"/>
      <c r="V12" s="26"/>
      <c r="W12" s="26"/>
      <c r="X12" s="26"/>
      <c r="Y12" s="26"/>
    </row>
    <row r="13" spans="1:25">
      <c r="A13" s="26"/>
      <c r="B13" s="26" t="s">
        <v>161</v>
      </c>
      <c r="C13" s="61">
        <f>IFERROR('Historical Financial Statements'!C25,0)</f>
        <v>0.14996054385323249</v>
      </c>
      <c r="D13" s="61">
        <f>IFERROR('Historical Financial Statements'!D25,0)</f>
        <v>0.15342617641327755</v>
      </c>
      <c r="E13" s="61">
        <f>IFERROR('Historical Financial Statements'!E25,0)</f>
        <v>0.1514193271590768</v>
      </c>
      <c r="F13" s="61">
        <f>IFERROR('Historical Financial Statements'!F25,0)</f>
        <v>0.18746947543568401</v>
      </c>
      <c r="G13" s="61">
        <f>IFERROR('Historical Financial Statements'!G25,0)</f>
        <v>0.13603485396432341</v>
      </c>
      <c r="H13" s="61">
        <f>IFERROR('Historical Financial Statements'!H25,0)</f>
        <v>0.11032222548426787</v>
      </c>
      <c r="I13" s="61">
        <f>IFERROR('Historical Financial Statements'!I25,0)</f>
        <v>9.2412538913732634E-2</v>
      </c>
      <c r="J13" s="61">
        <f>IFERROR('Historical Financial Statements'!J25,0)</f>
        <v>0.12325330477844201</v>
      </c>
      <c r="K13" s="61">
        <f>IFERROR('Historical Financial Statements'!K25,0)</f>
        <v>0.15925870945828716</v>
      </c>
      <c r="L13" s="61">
        <f>IFERROR('Historical Financial Statements'!L25,0)</f>
        <v>0.14226206294263577</v>
      </c>
      <c r="M13" s="26"/>
      <c r="N13" s="61">
        <f>IFERROR(AVERAGE(C13:L13),0)</f>
        <v>0.140581921840296</v>
      </c>
      <c r="O13" s="61">
        <f>IFERROR(MEDIAN(C13:L13),0)</f>
        <v>0.14611130339793413</v>
      </c>
      <c r="P13" s="26"/>
      <c r="Q13" s="26"/>
      <c r="R13" s="26"/>
      <c r="S13" s="26"/>
      <c r="T13" s="26"/>
      <c r="U13" s="26"/>
      <c r="V13" s="26"/>
      <c r="W13" s="26"/>
      <c r="X13" s="26"/>
      <c r="Y13" s="26"/>
    </row>
    <row r="14" spans="1:25">
      <c r="A14" s="26"/>
      <c r="B14" s="26" t="s">
        <v>162</v>
      </c>
      <c r="C14" s="61">
        <f>IFERROR('Historical Financial Statements'!C34,0)</f>
        <v>5.2563127116214151E-2</v>
      </c>
      <c r="D14" s="61">
        <f>IFERROR('Historical Financial Statements'!D34,0)</f>
        <v>0.10330820069991849</v>
      </c>
      <c r="E14" s="61">
        <f>IFERROR('Historical Financial Statements'!E34,0)</f>
        <v>0.12359835962981244</v>
      </c>
      <c r="F14" s="61">
        <f>IFERROR('Historical Financial Statements'!F34,0)</f>
        <v>6.7198830877010424E-2</v>
      </c>
      <c r="G14" s="61">
        <f>IFERROR('Historical Financial Statements'!G34,0)</f>
        <v>5.9337418750578991E-2</v>
      </c>
      <c r="H14" s="61">
        <f>IFERROR('Historical Financial Statements'!H34,0)</f>
        <v>5.9211265408202263E-2</v>
      </c>
      <c r="I14" s="61">
        <f>IFERROR('Historical Financial Statements'!I34,0)</f>
        <v>9.9021794593558907E-2</v>
      </c>
      <c r="J14" s="61">
        <f>IFERROR('Historical Financial Statements'!J34,0)</f>
        <v>9.328108395756482E-2</v>
      </c>
      <c r="K14" s="61">
        <f>IFERROR('Historical Financial Statements'!K34,0)</f>
        <v>9.6514811638186926E-2</v>
      </c>
      <c r="L14" s="61">
        <f>IFERROR('Historical Financial Statements'!L34,0)</f>
        <v>0.10629729103284249</v>
      </c>
      <c r="M14" s="26"/>
      <c r="N14" s="61">
        <f>IFERROR(AVERAGE(C14:L14),0)</f>
        <v>8.6033218370388992E-2</v>
      </c>
      <c r="O14" s="61">
        <f>IFERROR(MEDIAN(C14:L14),0)</f>
        <v>9.4897947797875873E-2</v>
      </c>
      <c r="P14" s="26"/>
      <c r="Q14" s="26"/>
      <c r="R14" s="26"/>
      <c r="S14" s="26"/>
      <c r="T14" s="26"/>
      <c r="U14" s="26"/>
      <c r="V14" s="26"/>
      <c r="W14" s="26"/>
      <c r="X14" s="26"/>
      <c r="Y14" s="26"/>
    </row>
    <row r="15" spans="1:25">
      <c r="A15" s="26"/>
      <c r="B15" s="62" t="s">
        <v>163</v>
      </c>
      <c r="C15" s="63">
        <f>IFERROR('Historical Financial Statements'!C40,0)</f>
        <v>3.9859589039854454E-2</v>
      </c>
      <c r="D15" s="63">
        <f>IFERROR('Historical Financial Statements'!D40,0)</f>
        <v>9.727361162909319E-2</v>
      </c>
      <c r="E15" s="63">
        <f>IFERROR('Historical Financial Statements'!E40,0)</f>
        <v>8.720105645515934E-2</v>
      </c>
      <c r="F15" s="63">
        <f>IFERROR('Historical Financial Statements'!F40,0)</f>
        <v>4.5182018212975752E-2</v>
      </c>
      <c r="G15" s="63">
        <f>IFERROR('Historical Financial Statements'!G40,0)</f>
        <v>4.3990959936471181E-2</v>
      </c>
      <c r="H15" s="63">
        <f>IFERROR('Historical Financial Statements'!H40,0)</f>
        <v>5.0346286768372502E-2</v>
      </c>
      <c r="I15" s="63">
        <f>IFERROR('Historical Financial Statements'!I40,0)</f>
        <v>6.9129624374059687E-2</v>
      </c>
      <c r="J15" s="63">
        <f>IFERROR('Historical Financial Statements'!J40,0)</f>
        <v>6.9652996229387421E-2</v>
      </c>
      <c r="K15" s="63">
        <f>IFERROR('Historical Financial Statements'!K40,0)</f>
        <v>7.2930640774706165E-2</v>
      </c>
      <c r="L15" s="63">
        <f>IFERROR('Historical Financial Statements'!L40,0)</f>
        <v>8.1974620922881658E-2</v>
      </c>
      <c r="M15" s="62"/>
      <c r="N15" s="63">
        <f>IFERROR(AVERAGE(C15:L15),0)</f>
        <v>6.5754140434296129E-2</v>
      </c>
      <c r="O15" s="63">
        <f>IFERROR(MEDIAN(C15:L15),0)</f>
        <v>6.9391310301723547E-2</v>
      </c>
      <c r="P15" s="26"/>
      <c r="Q15" s="26"/>
      <c r="R15" s="26"/>
      <c r="S15" s="26"/>
      <c r="T15" s="26"/>
      <c r="U15" s="26"/>
      <c r="V15" s="26"/>
      <c r="W15" s="26"/>
      <c r="X15" s="26"/>
      <c r="Y15" s="26"/>
    </row>
    <row r="16" spans="1:25">
      <c r="A16" s="26"/>
      <c r="B16" s="26"/>
      <c r="C16" s="26"/>
      <c r="D16" s="26"/>
      <c r="E16" s="26"/>
      <c r="F16" s="26"/>
      <c r="G16" s="26"/>
      <c r="H16" s="26"/>
      <c r="I16" s="26"/>
      <c r="J16" s="26"/>
      <c r="K16" s="26"/>
      <c r="L16" s="26"/>
      <c r="M16" s="26"/>
      <c r="N16" s="61"/>
      <c r="O16" s="61"/>
      <c r="P16" s="26"/>
      <c r="Q16" s="26"/>
      <c r="R16" s="26"/>
      <c r="S16" s="26"/>
      <c r="T16" s="26"/>
      <c r="U16" s="26"/>
      <c r="V16" s="26"/>
      <c r="W16" s="26"/>
      <c r="X16" s="26"/>
      <c r="Y16" s="26"/>
    </row>
    <row r="17" spans="1:25">
      <c r="A17" s="26"/>
      <c r="B17" s="59" t="s">
        <v>164</v>
      </c>
      <c r="C17" s="60">
        <f>IFERROR('Historical Financial Statements'!C16,0)</f>
        <v>1.7467636716364133E-2</v>
      </c>
      <c r="D17" s="60">
        <f>IFERROR('Historical Financial Statements'!D16,0)</f>
        <v>1.9067617427097415E-2</v>
      </c>
      <c r="E17" s="60">
        <f>IFERROR('Historical Financial Statements'!E16,0)</f>
        <v>1.5608214701888085E-2</v>
      </c>
      <c r="F17" s="60">
        <f>IFERROR('Historical Financial Statements'!F16,0)</f>
        <v>1.3780371405223094E-2</v>
      </c>
      <c r="G17" s="60">
        <f>IFERROR('Historical Financial Statements'!G16,0)</f>
        <v>1.6021008271028224E-2</v>
      </c>
      <c r="H17" s="60">
        <f>IFERROR('Historical Financial Statements'!H16,0)</f>
        <v>1.7063378898426677E-2</v>
      </c>
      <c r="I17" s="60">
        <f>IFERROR('Historical Financial Statements'!I16,0)</f>
        <v>1.8443603123115101E-2</v>
      </c>
      <c r="J17" s="60">
        <f>IFERROR('Historical Financial Statements'!J16,0)</f>
        <v>1.656628515726075E-2</v>
      </c>
      <c r="K17" s="60">
        <f>IFERROR('Historical Financial Statements'!K16,0)</f>
        <v>1.6114971935714827E-2</v>
      </c>
      <c r="L17" s="60">
        <f>IFERROR('Historical Financial Statements'!L16,0)</f>
        <v>1.9436126941197934E-2</v>
      </c>
      <c r="M17" s="59"/>
      <c r="N17" s="60">
        <f>IFERROR(AVERAGE(C17:L17),0)</f>
        <v>1.6956921457731623E-2</v>
      </c>
      <c r="O17" s="60">
        <f>IFERROR(MEDIAN(C17:L17),0)</f>
        <v>1.6814832027843715E-2</v>
      </c>
      <c r="P17" s="26"/>
      <c r="Q17" s="26"/>
      <c r="R17" s="26"/>
      <c r="S17" s="26"/>
      <c r="T17" s="26"/>
      <c r="U17" s="26"/>
      <c r="V17" s="26"/>
      <c r="W17" s="26"/>
      <c r="X17" s="26"/>
      <c r="Y17" s="26"/>
    </row>
    <row r="18" spans="1:25">
      <c r="A18" s="26"/>
      <c r="B18" s="26" t="s">
        <v>165</v>
      </c>
      <c r="C18" s="61">
        <f>IFERROR('Historical Financial Statements'!C22,0)</f>
        <v>7.088658342392358E-2</v>
      </c>
      <c r="D18" s="61">
        <f>IFERROR('Historical Financial Statements'!D22,0)</f>
        <v>8.7412309935779337E-2</v>
      </c>
      <c r="E18" s="61">
        <f>IFERROR('Historical Financial Statements'!E22,0)</f>
        <v>8.0088524302685385E-2</v>
      </c>
      <c r="F18" s="61">
        <f>IFERROR('Historical Financial Statements'!F22,0)</f>
        <v>9.0387374954395486E-2</v>
      </c>
      <c r="G18" s="61">
        <f>IFERROR('Historical Financial Statements'!G22,0)</f>
        <v>8.3934623131420028E-2</v>
      </c>
      <c r="H18" s="61">
        <f>IFERROR('Historical Financial Statements'!H22,0)</f>
        <v>7.2921899855823813E-2</v>
      </c>
      <c r="I18" s="61">
        <f>IFERROR('Historical Financial Statements'!I22,0)</f>
        <v>6.2407138714709078E-2</v>
      </c>
      <c r="J18" s="61">
        <f>IFERROR('Historical Financial Statements'!J22,0)</f>
        <v>6.1618190073378036E-2</v>
      </c>
      <c r="K18" s="61">
        <f>IFERROR('Historical Financial Statements'!K22,0)</f>
        <v>6.2873711938500484E-2</v>
      </c>
      <c r="L18" s="61">
        <f>IFERROR('Historical Financial Statements'!L22,0)</f>
        <v>7.7065491948480669E-2</v>
      </c>
      <c r="M18" s="26"/>
      <c r="N18" s="61">
        <f>IFERROR(AVERAGE(C18:L18),0)</f>
        <v>7.495958482790957E-2</v>
      </c>
      <c r="O18" s="61">
        <f>IFERROR(MEDIAN(C18:L18),0)</f>
        <v>7.4993695902152241E-2</v>
      </c>
      <c r="P18" s="26"/>
      <c r="Q18" s="26"/>
      <c r="R18" s="26"/>
      <c r="S18" s="26"/>
      <c r="T18" s="26"/>
      <c r="U18" s="26"/>
      <c r="V18" s="26"/>
      <c r="W18" s="26"/>
      <c r="X18" s="26"/>
      <c r="Y18" s="26"/>
    </row>
    <row r="19" spans="1:25">
      <c r="A19" s="26"/>
      <c r="B19" s="62" t="s">
        <v>166</v>
      </c>
      <c r="C19" s="63">
        <f>IFERROR('Historical Financial Statements'!C25,0)</f>
        <v>0.14996054385323249</v>
      </c>
      <c r="D19" s="63">
        <f>IFERROR('Historical Financial Statements'!D25,0)</f>
        <v>0.15342617641327755</v>
      </c>
      <c r="E19" s="63">
        <f>IFERROR('Historical Financial Statements'!E25,0)</f>
        <v>0.1514193271590768</v>
      </c>
      <c r="F19" s="63">
        <f>IFERROR('Historical Financial Statements'!F25,0)</f>
        <v>0.18746947543568401</v>
      </c>
      <c r="G19" s="63">
        <f>IFERROR('Historical Financial Statements'!G25,0)</f>
        <v>0.13603485396432341</v>
      </c>
      <c r="H19" s="63">
        <f>IFERROR('Historical Financial Statements'!H25,0)</f>
        <v>0.11032222548426787</v>
      </c>
      <c r="I19" s="63">
        <f>IFERROR('Historical Financial Statements'!I25,0)</f>
        <v>9.2412538913732634E-2</v>
      </c>
      <c r="J19" s="63">
        <f>IFERROR('Historical Financial Statements'!J25,0)</f>
        <v>0.12325330477844201</v>
      </c>
      <c r="K19" s="63">
        <f>IFERROR('Historical Financial Statements'!K25,0)</f>
        <v>0.15925870945828716</v>
      </c>
      <c r="L19" s="63">
        <f>IFERROR('Historical Financial Statements'!L25,0)</f>
        <v>0.14226206294263577</v>
      </c>
      <c r="M19" s="62"/>
      <c r="N19" s="63">
        <f>IFERROR(AVERAGE(C19:L19),0)</f>
        <v>0.140581921840296</v>
      </c>
      <c r="O19" s="63">
        <f>IFERROR(MEDIAN(C19:L19),0)</f>
        <v>0.14611130339793413</v>
      </c>
      <c r="P19" s="26"/>
      <c r="Q19" s="26"/>
      <c r="R19" s="26"/>
      <c r="S19" s="26"/>
      <c r="T19" s="26"/>
      <c r="U19" s="26"/>
      <c r="V19" s="26"/>
      <c r="W19" s="26"/>
      <c r="X19" s="26"/>
      <c r="Y19" s="26"/>
    </row>
    <row r="20" spans="1:25">
      <c r="A20" s="26"/>
      <c r="B20" s="26"/>
      <c r="C20" s="26"/>
      <c r="D20" s="26"/>
      <c r="E20" s="26"/>
      <c r="F20" s="26"/>
      <c r="G20" s="26"/>
      <c r="H20" s="26"/>
      <c r="I20" s="26"/>
      <c r="J20" s="26"/>
      <c r="K20" s="26"/>
      <c r="L20" s="26"/>
      <c r="M20" s="26"/>
      <c r="N20" s="61"/>
      <c r="O20" s="61"/>
      <c r="P20" s="26"/>
      <c r="Q20" s="26"/>
      <c r="R20" s="26"/>
      <c r="S20" s="26"/>
      <c r="T20" s="26"/>
      <c r="U20" s="26"/>
      <c r="V20" s="26"/>
      <c r="W20" s="26"/>
      <c r="X20" s="26"/>
      <c r="Y20" s="26"/>
    </row>
    <row r="21" spans="1:25" ht="15.75" customHeight="1">
      <c r="A21" s="26"/>
      <c r="B21" s="59" t="s">
        <v>167</v>
      </c>
      <c r="C21" s="60">
        <f>IFERROR('Historical Financial Statements'!C24/SUM('Historical Financial Statements'!C58:C59,'Historical Financial Statements'!C61),0)</f>
        <v>6.6695416659949353E-2</v>
      </c>
      <c r="D21" s="60">
        <f>IFERROR('Historical Financial Statements'!D24/SUM('Historical Financial Statements'!D58:D59,'Historical Financial Statements'!D61),0)</f>
        <v>6.336456938866579E-2</v>
      </c>
      <c r="E21" s="60">
        <f>IFERROR('Historical Financial Statements'!E24/SUM('Historical Financial Statements'!E58:E59,'Historical Financial Statements'!E61),0)</f>
        <v>6.7721932017182851E-2</v>
      </c>
      <c r="F21" s="60">
        <f>IFERROR('Historical Financial Statements'!F24/SUM('Historical Financial Statements'!F58:F59,'Historical Financial Statements'!F61),0)</f>
        <v>7.6390920660671588E-2</v>
      </c>
      <c r="G21" s="60">
        <f>IFERROR('Historical Financial Statements'!G24/SUM('Historical Financial Statements'!G58:G59,'Historical Financial Statements'!G61),0)</f>
        <v>6.444626327302222E-2</v>
      </c>
      <c r="H21" s="60">
        <f>IFERROR('Historical Financial Statements'!H24/SUM('Historical Financial Statements'!H58:H59,'Historical Financial Statements'!H61),0)</f>
        <v>6.4146013552969339E-2</v>
      </c>
      <c r="I21" s="60">
        <f>IFERROR('Historical Financial Statements'!I24/SUM('Historical Financial Statements'!I58:I59,'Historical Financial Statements'!I61),0)</f>
        <v>6.232661453170326E-2</v>
      </c>
      <c r="J21" s="60">
        <f>IFERROR('Historical Financial Statements'!J24/SUM('Historical Financial Statements'!J58:J59,'Historical Financial Statements'!J61),0)</f>
        <v>8.8020128768333275E-2</v>
      </c>
      <c r="K21" s="60">
        <f>IFERROR('Historical Financial Statements'!K24/SUM('Historical Financial Statements'!K58:K59,'Historical Financial Statements'!K61),0)</f>
        <v>0.10564580019654124</v>
      </c>
      <c r="L21" s="60">
        <f>IFERROR('Historical Financial Statements'!L24/SUM('Historical Financial Statements'!L58:L59,'Historical Financial Statements'!L61),0)</f>
        <v>7.6821181741905914E-2</v>
      </c>
      <c r="M21" s="59"/>
      <c r="N21" s="60">
        <f>IFERROR(AVERAGE(C21:L21),0)</f>
        <v>7.3557884079094485E-2</v>
      </c>
      <c r="O21" s="60">
        <f>IFERROR(MEDIAN(C21:L21),0)</f>
        <v>6.7208674338566102E-2</v>
      </c>
      <c r="P21" s="26"/>
      <c r="Q21" s="26"/>
      <c r="R21" s="26"/>
      <c r="S21" s="26"/>
      <c r="T21" s="26"/>
      <c r="U21" s="26"/>
      <c r="V21" s="26"/>
      <c r="W21" s="26"/>
      <c r="X21" s="26"/>
      <c r="Y21" s="26"/>
    </row>
    <row r="22" spans="1:25" ht="15.75" customHeight="1">
      <c r="A22" s="26"/>
      <c r="B22" s="26" t="s">
        <v>168</v>
      </c>
      <c r="C22" s="61">
        <f>IFERROR('Historical Financial Statements'!C54,0)</f>
        <v>0.68021061629820889</v>
      </c>
      <c r="D22" s="61">
        <f>IFERROR('Historical Financial Statements'!D54,0)</f>
        <v>0.86531206312120579</v>
      </c>
      <c r="E22" s="61">
        <f>IFERROR('Historical Financial Statements'!E54,0)</f>
        <v>0.86504378928947001</v>
      </c>
      <c r="F22" s="61">
        <f>IFERROR('Historical Financial Statements'!F54,0)</f>
        <v>0.68150466409407195</v>
      </c>
      <c r="G22" s="61">
        <f>IFERROR('Historical Financial Statements'!G54,0)</f>
        <v>0.65570500121641762</v>
      </c>
      <c r="H22" s="61">
        <f>IFERROR('Historical Financial Statements'!H54,0)</f>
        <v>0.74056995467640285</v>
      </c>
      <c r="I22" s="61">
        <f>IFERROR('Historical Financial Statements'!I54,0)</f>
        <v>0.83223743788832127</v>
      </c>
      <c r="J22" s="61">
        <f>IFERROR('Historical Financial Statements'!J54,0)</f>
        <v>0.85067638606574625</v>
      </c>
      <c r="K22" s="61">
        <f>IFERROR('Historical Financial Statements'!K54,0)</f>
        <v>0.84943365644965718</v>
      </c>
      <c r="L22" s="61">
        <f>IFERROR('Historical Financial Statements'!L54,0)</f>
        <v>0.84389044779152567</v>
      </c>
      <c r="M22" s="26"/>
      <c r="N22" s="61">
        <f>IFERROR(AVERAGE(C22:L22),0)</f>
        <v>0.78645840168910275</v>
      </c>
      <c r="O22" s="61">
        <f>IFERROR(MEDIAN(C22:L22),0)</f>
        <v>0.83806394283992347</v>
      </c>
      <c r="P22" s="26"/>
      <c r="Q22" s="26"/>
      <c r="R22" s="26"/>
      <c r="S22" s="26"/>
      <c r="T22" s="26"/>
      <c r="U22" s="26"/>
      <c r="V22" s="26"/>
      <c r="W22" s="26"/>
      <c r="X22" s="26"/>
      <c r="Y22" s="26"/>
    </row>
    <row r="23" spans="1:25" ht="15.75" customHeight="1">
      <c r="A23" s="26"/>
      <c r="B23" s="26" t="s">
        <v>169</v>
      </c>
      <c r="C23" s="61">
        <f>IFERROR('Historical Financial Statements'!C39/SUM('Historical Financial Statements'!C58:C59),0)</f>
        <v>8.3217042530649182E-2</v>
      </c>
      <c r="D23" s="61">
        <f>IFERROR('Historical Financial Statements'!D39/SUM('Historical Financial Statements'!D58:D59),0)</f>
        <v>0.15919817073170739</v>
      </c>
      <c r="E23" s="61">
        <f>IFERROR('Historical Financial Statements'!E39/SUM('Historical Financial Statements'!E58:E59),0)</f>
        <v>0.14234689975416573</v>
      </c>
      <c r="F23" s="61">
        <f>IFERROR('Historical Financial Statements'!F39/SUM('Historical Financial Statements'!F58:F59),0)</f>
        <v>6.7278581284816286E-2</v>
      </c>
      <c r="G23" s="61">
        <f>IFERROR('Historical Financial Statements'!G39/SUM('Historical Financial Statements'!G58:G59),0)</f>
        <v>6.4446982932401448E-2</v>
      </c>
      <c r="H23" s="61">
        <f>IFERROR('Historical Financial Statements'!H39/SUM('Historical Financial Statements'!H58:H59),0)</f>
        <v>9.6052490865341913E-2</v>
      </c>
      <c r="I23" s="61">
        <f>IFERROR('Historical Financial Statements'!I39/SUM('Historical Financial Statements'!I58:I59),0)</f>
        <v>0.13233534806169256</v>
      </c>
      <c r="J23" s="61">
        <f>IFERROR('Historical Financial Statements'!J39/SUM('Historical Financial Statements'!J58:J59),0)</f>
        <v>0.13227740519825709</v>
      </c>
      <c r="K23" s="61">
        <f>IFERROR('Historical Financial Statements'!K39/SUM('Historical Financial Statements'!K58:K59),0)</f>
        <v>0.13323763287854681</v>
      </c>
      <c r="L23" s="61">
        <f>IFERROR('Historical Financial Statements'!L39/SUM('Historical Financial Statements'!L58:L59),0)</f>
        <v>0.1296635248809162</v>
      </c>
      <c r="M23" s="26"/>
      <c r="N23" s="61">
        <f>IFERROR(AVERAGE(C23:L23),0)</f>
        <v>0.11400540791184946</v>
      </c>
      <c r="O23" s="61">
        <f>IFERROR(MEDIAN(C23:L23),0)</f>
        <v>0.13097046503958665</v>
      </c>
      <c r="P23" s="26"/>
      <c r="Q23" s="26"/>
      <c r="R23" s="26"/>
      <c r="S23" s="26"/>
      <c r="T23" s="26"/>
      <c r="U23" s="26"/>
      <c r="V23" s="26"/>
      <c r="W23" s="26"/>
      <c r="X23" s="26"/>
      <c r="Y23" s="26"/>
    </row>
    <row r="24" spans="1:25" ht="15.75" customHeight="1">
      <c r="A24" s="26"/>
      <c r="B24" s="26" t="s">
        <v>170</v>
      </c>
      <c r="C24" s="61">
        <f t="shared" ref="C24" si="0">IFERROR(C22*C23,0)</f>
        <v>5.6605115786287144E-2</v>
      </c>
      <c r="D24" s="61">
        <f t="shared" ref="D24:L24" si="1">IFERROR(D22*D23,0)</f>
        <v>0.13775609756097568</v>
      </c>
      <c r="E24" s="61">
        <f t="shared" si="1"/>
        <v>0.12313630155695185</v>
      </c>
      <c r="F24" s="61">
        <f t="shared" si="1"/>
        <v>4.5850666939234438E-2</v>
      </c>
      <c r="G24" s="61">
        <f t="shared" si="1"/>
        <v>4.2258209022084735E-2</v>
      </c>
      <c r="H24" s="61">
        <f t="shared" si="1"/>
        <v>7.1133588806701856E-2</v>
      </c>
      <c r="I24" s="61">
        <f t="shared" si="1"/>
        <v>0.11013443101292224</v>
      </c>
      <c r="J24" s="61">
        <f t="shared" si="1"/>
        <v>0.11252526501220771</v>
      </c>
      <c r="K24" s="61">
        <f t="shared" si="1"/>
        <v>0.11317652967272109</v>
      </c>
      <c r="L24" s="61">
        <f t="shared" si="1"/>
        <v>0.10942181007398401</v>
      </c>
      <c r="M24" s="26"/>
      <c r="N24" s="61">
        <f>IFERROR(AVERAGE(C24:L24),0)</f>
        <v>9.2199801544407073E-2</v>
      </c>
      <c r="O24" s="61">
        <f>IFERROR(MEDIAN(C24:L24),0)</f>
        <v>0.10977812054345312</v>
      </c>
      <c r="P24" s="26"/>
      <c r="Q24" s="26"/>
      <c r="R24" s="26"/>
      <c r="S24" s="26"/>
      <c r="T24" s="26"/>
      <c r="U24" s="26"/>
      <c r="V24" s="26"/>
      <c r="W24" s="26"/>
      <c r="X24" s="26"/>
      <c r="Y24" s="26"/>
    </row>
    <row r="25" spans="1:25" ht="15.75" customHeight="1">
      <c r="A25" s="26"/>
      <c r="B25" s="62" t="s">
        <v>171</v>
      </c>
      <c r="C25" s="64">
        <f>IFERROR('Historical Financial Statements'!C24/'Historical Financial Statements'!C30-1,0)</f>
        <v>0.22944997860301419</v>
      </c>
      <c r="D25" s="64">
        <f>IFERROR('Historical Financial Statements'!D24/'Historical Financial Statements'!D30-1,0)</f>
        <v>9.4781841190169969E-2</v>
      </c>
      <c r="E25" s="64">
        <f>IFERROR('Historical Financial Statements'!E24/'Historical Financial Statements'!E30-1,0)</f>
        <v>8.5028776978418152E-2</v>
      </c>
      <c r="F25" s="64">
        <f>IFERROR('Historical Financial Statements'!F24/'Historical Financial Statements'!F30-1,0)</f>
        <v>0.21551139031495015</v>
      </c>
      <c r="G25" s="64">
        <f>IFERROR('Historical Financial Statements'!G24/'Historical Financial Statements'!G30-1,0)</f>
        <v>0.10931605155608248</v>
      </c>
      <c r="H25" s="64">
        <f>IFERROR('Historical Financial Statements'!H24/'Historical Financial Statements'!H30-1,0)</f>
        <v>0.22402060626791331</v>
      </c>
      <c r="I25" s="64">
        <f>IFERROR('Historical Financial Statements'!I24/'Historical Financial Statements'!I30-1,0)</f>
        <v>0.16495373600356977</v>
      </c>
      <c r="J25" s="64">
        <f>IFERROR('Historical Financial Statements'!J24/'Historical Financial Statements'!J30-1,0)</f>
        <v>0.63466876168194153</v>
      </c>
      <c r="K25" s="64">
        <f>IFERROR('Historical Financial Statements'!K24/'Historical Financial Statements'!K30-1,0)</f>
        <v>1.2175679009195219</v>
      </c>
      <c r="L25" s="64">
        <f>IFERROR('Historical Financial Statements'!L24/'Historical Financial Statements'!L30-1,0)</f>
        <v>0.68947589688764466</v>
      </c>
      <c r="M25" s="62"/>
      <c r="N25" s="64">
        <f>IFERROR(AVERAGE(C25:L25),0)</f>
        <v>0.36647749404032259</v>
      </c>
      <c r="O25" s="64">
        <f>IFERROR(MEDIAN(C25:L25),0)</f>
        <v>0.21976599829143173</v>
      </c>
      <c r="P25" s="26"/>
      <c r="Q25" s="26"/>
      <c r="R25" s="26"/>
      <c r="S25" s="26"/>
      <c r="T25" s="26"/>
      <c r="U25" s="26"/>
      <c r="V25" s="26"/>
      <c r="W25" s="26"/>
      <c r="X25" s="26"/>
      <c r="Y25" s="26"/>
    </row>
    <row r="26" spans="1:25" ht="15.75" customHeight="1">
      <c r="A26" s="26"/>
      <c r="B26" s="26"/>
      <c r="C26" s="26"/>
      <c r="D26" s="26"/>
      <c r="E26" s="26"/>
      <c r="F26" s="26"/>
      <c r="G26" s="26"/>
      <c r="H26" s="26"/>
      <c r="I26" s="26"/>
      <c r="J26" s="26"/>
      <c r="K26" s="26"/>
      <c r="L26" s="26"/>
      <c r="M26" s="26"/>
      <c r="N26" s="61"/>
      <c r="O26" s="61"/>
      <c r="P26" s="26"/>
      <c r="Q26" s="26"/>
      <c r="R26" s="26"/>
      <c r="S26" s="26"/>
      <c r="T26" s="26"/>
      <c r="U26" s="26"/>
      <c r="V26" s="26"/>
      <c r="W26" s="26"/>
      <c r="X26" s="26"/>
      <c r="Y26" s="26"/>
    </row>
    <row r="27" spans="1:25" ht="15.75" customHeight="1">
      <c r="A27" s="26"/>
      <c r="B27" s="59" t="s">
        <v>172</v>
      </c>
      <c r="C27" s="65">
        <f>IFERROR('Historical Financial Statements'!C6/'Historical Financial Statements'!C75,0)</f>
        <v>7.1992667014613776</v>
      </c>
      <c r="D27" s="65">
        <f>IFERROR('Historical Financial Statements'!D6/'Historical Financial Statements'!D75,0)</f>
        <v>9.6236177841520263</v>
      </c>
      <c r="E27" s="65">
        <f>IFERROR('Historical Financial Statements'!E6/'Historical Financial Statements'!E75,0)</f>
        <v>6.7223982002249718</v>
      </c>
      <c r="F27" s="65">
        <f>IFERROR('Historical Financial Statements'!F6/'Historical Financial Statements'!F75,0)</f>
        <v>6.5830027112516944</v>
      </c>
      <c r="G27" s="65">
        <f>IFERROR('Historical Financial Statements'!G6/'Historical Financial Statements'!G75,0)</f>
        <v>6.2890980769230769</v>
      </c>
      <c r="H27" s="65">
        <f>IFERROR('Historical Financial Statements'!H6/'Historical Financial Statements'!H75,0)</f>
        <v>7.1598110367892973</v>
      </c>
      <c r="I27" s="65">
        <f>IFERROR('Historical Financial Statements'!I6/'Historical Financial Statements'!I75,0)</f>
        <v>7.9270828538550058</v>
      </c>
      <c r="J27" s="65">
        <f>IFERROR('Historical Financial Statements'!J6/'Historical Financial Statements'!J75,0)</f>
        <v>8.3016617130505264</v>
      </c>
      <c r="K27" s="65">
        <f>IFERROR('Historical Financial Statements'!K6/'Historical Financial Statements'!K75,0)</f>
        <v>11.467292469352014</v>
      </c>
      <c r="L27" s="65">
        <f>IFERROR('Historical Financial Statements'!L6/'Historical Financial Statements'!L75,0)</f>
        <v>14.111344936708861</v>
      </c>
      <c r="M27" s="59"/>
      <c r="N27" s="65">
        <f>IFERROR(AVERAGE(C27:L27),0)</f>
        <v>8.5384576483768857</v>
      </c>
      <c r="O27" s="65">
        <f>IFERROR(MEDIAN(C27:L27),0)</f>
        <v>7.5631747776581921</v>
      </c>
      <c r="P27" s="26"/>
      <c r="Q27" s="26"/>
      <c r="R27" s="26"/>
      <c r="S27" s="26"/>
      <c r="T27" s="26"/>
      <c r="U27" s="26"/>
      <c r="V27" s="26"/>
      <c r="W27" s="26"/>
      <c r="X27" s="26"/>
      <c r="Y27" s="26"/>
    </row>
    <row r="28" spans="1:25" ht="15.75" customHeight="1">
      <c r="A28" s="26"/>
      <c r="B28" s="26" t="s">
        <v>173</v>
      </c>
      <c r="C28" s="66">
        <f>IFERROR('Historical Financial Statements'!C9/'Historical Financial Statements'!C66,0)</f>
        <v>3.8005172725628507</v>
      </c>
      <c r="D28" s="66">
        <f>IFERROR('Historical Financial Statements'!D9/'Historical Financial Statements'!D66,0)</f>
        <v>3.5408770053475935</v>
      </c>
      <c r="E28" s="66">
        <f>IFERROR('Historical Financial Statements'!E9/'Historical Financial Statements'!E66,0)</f>
        <v>4.1045374931581824</v>
      </c>
      <c r="F28" s="66">
        <f>IFERROR('Historical Financial Statements'!F9/'Historical Financial Statements'!F66,0)</f>
        <v>4.0508577036310109</v>
      </c>
      <c r="G28" s="66">
        <f>IFERROR('Historical Financial Statements'!G9/'Historical Financial Statements'!G66,0)</f>
        <v>3.4964511614889453</v>
      </c>
      <c r="H28" s="66">
        <f>IFERROR('Historical Financial Statements'!H9/'Historical Financial Statements'!H66,0)</f>
        <v>3.2733623326959842</v>
      </c>
      <c r="I28" s="66">
        <f>IFERROR('Historical Financial Statements'!I9/'Historical Financial Statements'!I66,0)</f>
        <v>6.1510328068043743</v>
      </c>
      <c r="J28" s="66">
        <f>IFERROR('Historical Financial Statements'!J9/'Historical Financial Statements'!J66,0)</f>
        <v>3.4819250691832822</v>
      </c>
      <c r="K28" s="66">
        <f>IFERROR('Historical Financial Statements'!K9/'Historical Financial Statements'!K66,0)</f>
        <v>3.5668063501144167</v>
      </c>
      <c r="L28" s="66">
        <f>IFERROR('Historical Financial Statements'!L9/'Historical Financial Statements'!L66,0)</f>
        <v>4.4059809011681805</v>
      </c>
      <c r="M28" s="26"/>
      <c r="N28" s="66">
        <f>IFERROR(AVERAGE(C28:L28),0)</f>
        <v>3.9872348096154817</v>
      </c>
      <c r="O28" s="66">
        <f>IFERROR(MEDIAN(C28:L28),0)</f>
        <v>3.6836618113386335</v>
      </c>
      <c r="P28" s="26"/>
      <c r="Q28" s="26"/>
      <c r="R28" s="26"/>
      <c r="S28" s="26"/>
      <c r="T28" s="26"/>
      <c r="U28" s="26"/>
      <c r="V28" s="26"/>
      <c r="W28" s="26"/>
      <c r="X28" s="26"/>
      <c r="Y28" s="26"/>
    </row>
    <row r="29" spans="1:25" ht="15.75" customHeight="1">
      <c r="A29" s="26"/>
      <c r="B29" s="26" t="s">
        <v>174</v>
      </c>
      <c r="C29" s="66">
        <f>IFERROR('Historical Financial Statements'!C9/'Historical Financial Statements'!C74,0)</f>
        <v>13.133162500000001</v>
      </c>
      <c r="D29" s="66">
        <f>IFERROR('Historical Financial Statements'!D9/'Historical Financial Statements'!D74,0)</f>
        <v>12.239260628465804</v>
      </c>
      <c r="E29" s="66">
        <f>IFERROR('Historical Financial Statements'!E9/'Historical Financial Statements'!E74,0)</f>
        <v>13.186969519343492</v>
      </c>
      <c r="F29" s="66">
        <f>IFERROR('Historical Financial Statements'!F9/'Historical Financial Statements'!F74,0)</f>
        <v>11.780319634703195</v>
      </c>
      <c r="G29" s="66">
        <f>IFERROR('Historical Financial Statements'!G9/'Historical Financial Statements'!G74,0)</f>
        <v>13.247953340402971</v>
      </c>
      <c r="H29" s="66">
        <f>IFERROR('Historical Financial Statements'!H9/'Historical Financial Statements'!H74,0)</f>
        <v>8.090588374291114</v>
      </c>
      <c r="I29" s="66">
        <f>IFERROR('Historical Financial Statements'!I9/'Historical Financial Statements'!I74,0)</f>
        <v>11.554831346690337</v>
      </c>
      <c r="J29" s="66">
        <f>IFERROR('Historical Financial Statements'!J9/'Historical Financial Statements'!J74,0)</f>
        <v>11.101984162895928</v>
      </c>
      <c r="K29" s="66">
        <f>IFERROR('Historical Financial Statements'!K9/'Historical Financial Statements'!K74,0)</f>
        <v>10.909496937882764</v>
      </c>
      <c r="L29" s="66">
        <f>IFERROR('Historical Financial Statements'!L9/'Historical Financial Statements'!L74,0)</f>
        <v>9.3036237274862952</v>
      </c>
      <c r="M29" s="26"/>
      <c r="N29" s="66">
        <f>IFERROR(AVERAGE(C29:L29),0)</f>
        <v>11.454819017216192</v>
      </c>
      <c r="O29" s="66">
        <f>IFERROR(MEDIAN(C29:L29),0)</f>
        <v>11.667575490696766</v>
      </c>
      <c r="P29" s="26"/>
      <c r="Q29" s="26"/>
      <c r="R29" s="26"/>
      <c r="S29" s="26"/>
      <c r="T29" s="26"/>
      <c r="U29" s="26"/>
      <c r="V29" s="26"/>
      <c r="W29" s="26"/>
      <c r="X29" s="26"/>
      <c r="Y29" s="26"/>
    </row>
    <row r="30" spans="1:25" ht="15.75" customHeight="1">
      <c r="A30" s="26"/>
      <c r="B30" s="26" t="s">
        <v>175</v>
      </c>
      <c r="C30" s="66">
        <f>IFERROR('Historical Financial Statements'!C6/'Historical Financial Statements'!C93,0)</f>
        <v>0.59208460316778988</v>
      </c>
      <c r="D30" s="66">
        <f>IFERROR('Historical Financial Statements'!D6/'Historical Financial Statements'!D93,0)</f>
        <v>0.60104510032246505</v>
      </c>
      <c r="E30" s="66">
        <f>IFERROR('Historical Financial Statements'!E6/'Historical Financial Statements'!E93,0)</f>
        <v>0.67443990520257313</v>
      </c>
      <c r="F30" s="66">
        <f>IFERROR('Historical Financial Statements'!F6/'Historical Financial Statements'!F93,0)</f>
        <v>0.6112482430192796</v>
      </c>
      <c r="G30" s="66">
        <f>IFERROR('Historical Financial Statements'!G6/'Historical Financial Statements'!G93,0)</f>
        <v>0.62675233331416857</v>
      </c>
      <c r="H30" s="66">
        <f>IFERROR('Historical Financial Statements'!H6/'Historical Financial Statements'!H93,0)</f>
        <v>0.74606056909860774</v>
      </c>
      <c r="I30" s="66">
        <f>IFERROR('Historical Financial Statements'!I6/'Historical Financial Statements'!I93,0)</f>
        <v>0.89251255142033492</v>
      </c>
      <c r="J30" s="66">
        <f>IFERROR('Historical Financial Statements'!J6/'Historical Financial Statements'!J93,0)</f>
        <v>0.91429570444434527</v>
      </c>
      <c r="K30" s="66">
        <f>IFERROR('Historical Financial Statements'!K6/'Historical Financial Statements'!K93,0)</f>
        <v>0.83545869803761452</v>
      </c>
      <c r="L30" s="66">
        <f>IFERROR('Historical Financial Statements'!L6/'Historical Financial Statements'!L93,0)</f>
        <v>0.71516966044998387</v>
      </c>
      <c r="M30" s="26"/>
      <c r="N30" s="66">
        <f>IFERROR(AVERAGE(C30:L30),0)</f>
        <v>0.72090673684771622</v>
      </c>
      <c r="O30" s="66">
        <f>IFERROR(MEDIAN(C30:L30),0)</f>
        <v>0.69480478282627844</v>
      </c>
      <c r="P30" s="26"/>
      <c r="Q30" s="26"/>
      <c r="R30" s="26"/>
      <c r="S30" s="26"/>
      <c r="T30" s="26"/>
      <c r="U30" s="26"/>
      <c r="V30" s="26"/>
      <c r="W30" s="26"/>
      <c r="X30" s="26"/>
      <c r="Y30" s="26"/>
    </row>
    <row r="31" spans="1:25" ht="15.75" customHeight="1">
      <c r="A31" s="26"/>
      <c r="B31" s="62" t="s">
        <v>176</v>
      </c>
      <c r="C31" s="64">
        <f>IFERROR('Historical Financial Statements'!C6/SUM('Historical Financial Statements'!C58:C59),0)</f>
        <v>2.0877546541546845</v>
      </c>
      <c r="D31" s="64">
        <f>IFERROR('Historical Financial Statements'!D6/SUM('Historical Financial Statements'!D58:D59),0)</f>
        <v>1.6366018292682927</v>
      </c>
      <c r="E31" s="64">
        <f>IFERROR('Historical Financial Statements'!E6/SUM('Historical Financial Statements'!E58:E59),0)</f>
        <v>1.632398798142584</v>
      </c>
      <c r="F31" s="64">
        <f>IFERROR('Historical Financial Statements'!F6/SUM('Historical Financial Statements'!F58:F59),0)</f>
        <v>1.489056574845403</v>
      </c>
      <c r="G31" s="64">
        <f>IFERROR('Historical Financial Statements'!G6/SUM('Historical Financial Statements'!G58:G59),0)</f>
        <v>1.4650051516373248</v>
      </c>
      <c r="H31" s="64">
        <f>IFERROR('Historical Financial Statements'!H6/SUM('Historical Financial Statements'!H58:H59),0)</f>
        <v>1.9078366455752607</v>
      </c>
      <c r="I31" s="64">
        <f>IFERROR('Historical Financial Statements'!I6/SUM('Historical Financial Statements'!I58:I59),0)</f>
        <v>1.9143073502848409</v>
      </c>
      <c r="J31" s="64">
        <f>IFERROR('Historical Financial Statements'!J6/SUM('Historical Financial Statements'!J58:J59),0)</f>
        <v>1.8990913867169392</v>
      </c>
      <c r="K31" s="64">
        <f>IFERROR('Historical Financial Statements'!K6/SUM('Historical Financial Statements'!K58:K59),0)</f>
        <v>1.8269088474093915</v>
      </c>
      <c r="L31" s="64">
        <f>IFERROR('Historical Financial Statements'!L6/SUM('Historical Financial Statements'!L58:L59),0)</f>
        <v>1.5817520522955304</v>
      </c>
      <c r="M31" s="62"/>
      <c r="N31" s="64">
        <f>IFERROR(AVERAGE(C31:L31),0)</f>
        <v>1.7440713290330252</v>
      </c>
      <c r="O31" s="64">
        <f>IFERROR(MEDIAN(C31:L31),0)</f>
        <v>1.731755338338842</v>
      </c>
      <c r="P31" s="26"/>
      <c r="Q31" s="26"/>
      <c r="R31" s="26"/>
      <c r="S31" s="26"/>
      <c r="T31" s="26"/>
      <c r="U31" s="26"/>
      <c r="V31" s="26"/>
      <c r="W31" s="26"/>
      <c r="X31" s="26"/>
      <c r="Y31" s="26"/>
    </row>
    <row r="32" spans="1:25" ht="15.75" customHeight="1">
      <c r="A32" s="26"/>
      <c r="B32" s="26"/>
      <c r="C32" s="66"/>
      <c r="D32" s="66"/>
      <c r="E32" s="66"/>
      <c r="F32" s="66"/>
      <c r="G32" s="66"/>
      <c r="H32" s="66"/>
      <c r="I32" s="66"/>
      <c r="J32" s="66"/>
      <c r="K32" s="66"/>
      <c r="L32" s="66"/>
      <c r="M32" s="26"/>
      <c r="N32" s="61"/>
      <c r="O32" s="61"/>
      <c r="P32" s="26"/>
      <c r="Q32" s="26"/>
      <c r="R32" s="26"/>
      <c r="S32" s="26"/>
      <c r="T32" s="26"/>
      <c r="U32" s="26"/>
      <c r="V32" s="26"/>
      <c r="W32" s="26"/>
      <c r="X32" s="26"/>
      <c r="Y32" s="26"/>
    </row>
    <row r="33" spans="1:25" ht="15.75" customHeight="1">
      <c r="A33" s="26"/>
      <c r="B33" s="59" t="s">
        <v>177</v>
      </c>
      <c r="C33" s="67">
        <f>IFERROR('Historical Financial Statements'!C75/'Historical Financial Statements'!C6*360,0)</f>
        <v>50.005092869656252</v>
      </c>
      <c r="D33" s="67">
        <f>IFERROR('Historical Financial Statements'!D75/'Historical Financial Statements'!D6*360,0)</f>
        <v>37.407969442930344</v>
      </c>
      <c r="E33" s="67">
        <f>IFERROR('Historical Financial Statements'!E75/'Historical Financial Statements'!E6*360,0)</f>
        <v>53.552317086475504</v>
      </c>
      <c r="F33" s="67">
        <f>IFERROR('Historical Financial Statements'!F75/'Historical Financial Statements'!F6*360,0)</f>
        <v>54.686290708142437</v>
      </c>
      <c r="G33" s="67">
        <f>IFERROR('Historical Financial Statements'!G75/'Historical Financial Statements'!G6*360,0)</f>
        <v>57.241912210109618</v>
      </c>
      <c r="H33" s="67">
        <f>IFERROR('Historical Financial Statements'!H75/'Historical Financial Statements'!H6*360,0)</f>
        <v>50.280656591383483</v>
      </c>
      <c r="I33" s="67">
        <f>IFERROR('Historical Financial Statements'!I75/'Historical Financial Statements'!I6*360,0)</f>
        <v>45.413931787647336</v>
      </c>
      <c r="J33" s="67">
        <f>IFERROR('Historical Financial Statements'!J75/'Historical Financial Statements'!J6*360,0)</f>
        <v>43.364812063356709</v>
      </c>
      <c r="K33" s="67">
        <f>IFERROR('Historical Financial Statements'!K75/'Historical Financial Statements'!K6*360,0)</f>
        <v>31.393635503947571</v>
      </c>
      <c r="L33" s="67">
        <f>IFERROR('Historical Financial Statements'!L75/'Historical Financial Statements'!L6*360,0)</f>
        <v>25.511388291806689</v>
      </c>
      <c r="M33" s="59"/>
      <c r="N33" s="67">
        <f>IFERROR(AVERAGE(C33:L33),0)</f>
        <v>44.885800655545594</v>
      </c>
      <c r="O33" s="67">
        <f>IFERROR(MEDIAN(C33:L33),0)</f>
        <v>47.709512328651797</v>
      </c>
      <c r="P33" s="26"/>
      <c r="Q33" s="26"/>
      <c r="R33" s="26"/>
      <c r="S33" s="26"/>
      <c r="T33" s="26"/>
      <c r="U33" s="26"/>
      <c r="V33" s="26"/>
      <c r="W33" s="26"/>
      <c r="X33" s="26"/>
      <c r="Y33" s="26"/>
    </row>
    <row r="34" spans="1:25" ht="15.75" customHeight="1">
      <c r="A34" s="26"/>
      <c r="B34" s="68" t="s">
        <v>178</v>
      </c>
      <c r="C34" s="69">
        <f>IFERROR('Historical Financial Statements'!C66/'Historical Financial Statements'!C9*360,0)</f>
        <v>94.723947868611234</v>
      </c>
      <c r="D34" s="69">
        <f>IFERROR('Historical Financial Statements'!D66/'Historical Financial Statements'!D9*360,0)</f>
        <v>101.66972743089117</v>
      </c>
      <c r="E34" s="69">
        <f>IFERROR('Historical Financial Statements'!E66/'Historical Financial Statements'!E9*360,0)</f>
        <v>87.707811318590913</v>
      </c>
      <c r="F34" s="69">
        <f>IFERROR('Historical Financial Statements'!F66/'Historical Financial Statements'!F9*360,0)</f>
        <v>88.870068103678847</v>
      </c>
      <c r="G34" s="69">
        <f>IFERROR('Historical Financial Statements'!G66/'Historical Financial Statements'!G9*360,0)</f>
        <v>102.96154110921312</v>
      </c>
      <c r="H34" s="69">
        <f>IFERROR('Historical Financial Statements'!H66/'Historical Financial Statements'!H9*360,0)</f>
        <v>109.97865906995369</v>
      </c>
      <c r="I34" s="69">
        <f>IFERROR('Historical Financial Statements'!I66/'Historical Financial Statements'!I9*360,0)</f>
        <v>58.526756612606917</v>
      </c>
      <c r="J34" s="69">
        <f>IFERROR('Historical Financial Statements'!J66/'Historical Financial Statements'!J9*360,0)</f>
        <v>103.3910819006916</v>
      </c>
      <c r="K34" s="69">
        <f>IFERROR('Historical Financial Statements'!K66/'Historical Financial Statements'!K9*360,0)</f>
        <v>100.93062663423032</v>
      </c>
      <c r="L34" s="69">
        <f>IFERROR('Historical Financial Statements'!L66/'Historical Financial Statements'!L9*360,0)</f>
        <v>81.707117682818662</v>
      </c>
      <c r="M34" s="68"/>
      <c r="N34" s="69">
        <f>IFERROR(AVERAGE(C34:L34),0)</f>
        <v>93.046733773128636</v>
      </c>
      <c r="O34" s="69">
        <f>IFERROR(MEDIAN(C34:L34),0)</f>
        <v>97.827287251420785</v>
      </c>
      <c r="P34" s="26"/>
      <c r="Q34" s="26"/>
      <c r="R34" s="26"/>
      <c r="S34" s="26"/>
      <c r="T34" s="26"/>
      <c r="U34" s="26"/>
      <c r="V34" s="26"/>
      <c r="W34" s="26"/>
      <c r="X34" s="26"/>
      <c r="Y34" s="26"/>
    </row>
    <row r="35" spans="1:25" ht="15.75" customHeight="1">
      <c r="A35" s="26"/>
      <c r="B35" s="26" t="s">
        <v>179</v>
      </c>
      <c r="C35" s="41">
        <f>IFERROR('Historical Financial Statements'!C74/'Historical Financial Statements'!C9*360,0)</f>
        <v>27.41152407122047</v>
      </c>
      <c r="D35" s="41">
        <f>IFERROR('Historical Financial Statements'!D74/'Historical Financial Statements'!D9*360,0)</f>
        <v>29.4135414653006</v>
      </c>
      <c r="E35" s="41">
        <f>IFERROR('Historical Financial Statements'!E74/'Historical Financial Statements'!E9*360,0)</f>
        <v>27.299676356415997</v>
      </c>
      <c r="F35" s="41">
        <f>IFERROR('Historical Financial Statements'!F74/'Historical Financial Statements'!F9*360,0)</f>
        <v>30.559442456848938</v>
      </c>
      <c r="G35" s="41">
        <f>IFERROR('Historical Financial Statements'!G74/'Historical Financial Statements'!G9*360,0)</f>
        <v>27.17400875062636</v>
      </c>
      <c r="H35" s="41">
        <f>IFERROR('Historical Financial Statements'!H74/'Historical Financial Statements'!H9*360,0)</f>
        <v>44.496145811094081</v>
      </c>
      <c r="I35" s="41">
        <f>IFERROR('Historical Financial Statements'!I74/'Historical Financial Statements'!I9*360,0)</f>
        <v>31.155798747604845</v>
      </c>
      <c r="J35" s="41">
        <f>IFERROR('Historical Financial Statements'!J74/'Historical Financial Statements'!J9*360,0)</f>
        <v>32.426636060530541</v>
      </c>
      <c r="K35" s="41">
        <f>IFERROR('Historical Financial Statements'!K74/'Historical Financial Statements'!K9*360,0)</f>
        <v>32.998771808617064</v>
      </c>
      <c r="L35" s="41">
        <f>IFERROR('Historical Financial Statements'!L74/'Historical Financial Statements'!L9*360,0)</f>
        <v>38.694600141279231</v>
      </c>
      <c r="M35" s="26"/>
      <c r="N35" s="41">
        <f>IFERROR(AVERAGE(C35:L35),0)</f>
        <v>32.163014566953812</v>
      </c>
      <c r="O35" s="41">
        <f>IFERROR(MEDIAN(C35:L35),0)</f>
        <v>30.857620602226891</v>
      </c>
      <c r="P35" s="26"/>
      <c r="Q35" s="26"/>
      <c r="R35" s="26"/>
      <c r="S35" s="26"/>
      <c r="T35" s="26"/>
      <c r="U35" s="26"/>
      <c r="V35" s="26"/>
      <c r="W35" s="26"/>
      <c r="X35" s="26"/>
      <c r="Y35" s="26"/>
    </row>
    <row r="36" spans="1:25" ht="15.75" customHeight="1">
      <c r="A36" s="26"/>
      <c r="B36" s="62" t="s">
        <v>180</v>
      </c>
      <c r="C36" s="70">
        <f t="shared" ref="C36" si="2">IFERROR(SUM(C35,C33)-C34,0)</f>
        <v>-17.307330927734512</v>
      </c>
      <c r="D36" s="70">
        <f t="shared" ref="D36:L36" si="3">IFERROR(SUM(D35,D33)-D34,0)</f>
        <v>-34.848216522660223</v>
      </c>
      <c r="E36" s="70">
        <f t="shared" si="3"/>
        <v>-6.8558178756994153</v>
      </c>
      <c r="F36" s="70">
        <f t="shared" si="3"/>
        <v>-3.6243349386874684</v>
      </c>
      <c r="G36" s="70">
        <f t="shared" si="3"/>
        <v>-18.545620148477141</v>
      </c>
      <c r="H36" s="70">
        <f t="shared" si="3"/>
        <v>-15.201856667476136</v>
      </c>
      <c r="I36" s="70">
        <f t="shared" si="3"/>
        <v>18.04297392264526</v>
      </c>
      <c r="J36" s="70">
        <f t="shared" si="3"/>
        <v>-27.599633776804353</v>
      </c>
      <c r="K36" s="70">
        <f t="shared" si="3"/>
        <v>-36.538219321665679</v>
      </c>
      <c r="L36" s="70">
        <f t="shared" si="3"/>
        <v>-17.501129249732742</v>
      </c>
      <c r="M36" s="62"/>
      <c r="N36" s="70">
        <f>IFERROR(AVERAGE(C36:L36),0)</f>
        <v>-15.997918550629242</v>
      </c>
      <c r="O36" s="70">
        <f>IFERROR(MEDIAN(C36:L36),0)</f>
        <v>-17.404230088733627</v>
      </c>
      <c r="P36" s="26"/>
      <c r="Q36" s="26"/>
      <c r="R36" s="26"/>
      <c r="S36" s="26"/>
      <c r="T36" s="26"/>
      <c r="U36" s="26"/>
      <c r="V36" s="26"/>
      <c r="W36" s="26"/>
      <c r="X36" s="26"/>
      <c r="Y36" s="26"/>
    </row>
    <row r="37" spans="1:25" ht="15.75" customHeight="1">
      <c r="A37" s="26"/>
      <c r="B37" s="26"/>
      <c r="C37" s="26"/>
      <c r="D37" s="26"/>
      <c r="E37" s="26"/>
      <c r="F37" s="26"/>
      <c r="G37" s="26"/>
      <c r="H37" s="26"/>
      <c r="I37" s="26"/>
      <c r="J37" s="26"/>
      <c r="K37" s="26"/>
      <c r="L37" s="26"/>
      <c r="M37" s="26"/>
      <c r="N37" s="61"/>
      <c r="O37" s="61"/>
      <c r="P37" s="26"/>
      <c r="Q37" s="26"/>
      <c r="R37" s="26"/>
      <c r="S37" s="26"/>
      <c r="T37" s="26"/>
      <c r="U37" s="26"/>
      <c r="V37" s="26"/>
      <c r="W37" s="26"/>
      <c r="X37" s="26"/>
      <c r="Y37" s="26"/>
    </row>
    <row r="38" spans="1:25" ht="15.75" customHeight="1">
      <c r="A38" s="26"/>
      <c r="B38" s="59" t="s">
        <v>181</v>
      </c>
      <c r="C38" s="60">
        <f>IFERROR('Historical Financial Statements'!C104/'Historical Financial Statements'!C6,0)</f>
        <v>0.25424475280370629</v>
      </c>
      <c r="D38" s="60">
        <f>IFERROR('Historical Financial Statements'!D104/'Historical Financial Statements'!D6,0)</f>
        <v>0.23710640764791113</v>
      </c>
      <c r="E38" s="60">
        <f>IFERROR('Historical Financial Statements'!E104/'Historical Financial Statements'!E6,0)</f>
        <v>0.15307355227692726</v>
      </c>
      <c r="F38" s="60">
        <f>IFERROR('Historical Financial Statements'!F104/'Historical Financial Statements'!F6,0)</f>
        <v>0.25312006952135768</v>
      </c>
      <c r="G38" s="60">
        <f>IFERROR('Historical Financial Statements'!G104/'Historical Financial Statements'!G6,0)</f>
        <v>0.25517294732551538</v>
      </c>
      <c r="H38" s="60">
        <f>IFERROR('Historical Financial Statements'!H104/'Historical Financial Statements'!H6,0)</f>
        <v>0.15632127209500635</v>
      </c>
      <c r="I38" s="60">
        <f>IFERROR('Historical Financial Statements'!I104/'Historical Financial Statements'!I6,0)</f>
        <v>0.13003301815236254</v>
      </c>
      <c r="J38" s="60">
        <f>IFERROR('Historical Financial Statements'!J104/'Historical Financial Statements'!J6,0)</f>
        <v>0.20348614865359671</v>
      </c>
      <c r="K38" s="60">
        <f>IFERROR('Historical Financial Statements'!K104/'Historical Financial Statements'!K6,0)</f>
        <v>0.19365212015472621</v>
      </c>
      <c r="L38" s="60">
        <f>IFERROR('Historical Financial Statements'!L104/'Historical Financial Statements'!L6,0)</f>
        <v>9.5997683112817381E-2</v>
      </c>
      <c r="M38" s="59"/>
      <c r="N38" s="60">
        <f>IFERROR(AVERAGE(C38:L38),0)</f>
        <v>0.19322079717439269</v>
      </c>
      <c r="O38" s="60">
        <f>IFERROR(MEDIAN(C38:L38),0)</f>
        <v>0.19856913440416146</v>
      </c>
      <c r="P38" s="26"/>
      <c r="Q38" s="26"/>
      <c r="R38" s="26"/>
      <c r="S38" s="26"/>
      <c r="T38" s="26"/>
      <c r="U38" s="26"/>
      <c r="V38" s="26"/>
      <c r="W38" s="26"/>
      <c r="X38" s="26"/>
      <c r="Y38" s="26"/>
    </row>
    <row r="39" spans="1:25" ht="15.75" customHeight="1">
      <c r="A39" s="26"/>
      <c r="B39" s="26" t="s">
        <v>182</v>
      </c>
      <c r="C39" s="61">
        <f>IFERROR('Historical Financial Statements'!C104/'Historical Financial Statements'!C98,0)</f>
        <v>8.46804863031064E-2</v>
      </c>
      <c r="D39" s="61">
        <f>IFERROR('Historical Financial Statements'!D104/'Historical Financial Statements'!D98,0)</f>
        <v>7.7713057600957369E-2</v>
      </c>
      <c r="E39" s="61">
        <f>IFERROR('Historical Financial Statements'!E104/'Historical Financial Statements'!E98,0)</f>
        <v>5.4405100329475577E-2</v>
      </c>
      <c r="F39" s="61">
        <f>IFERROR('Historical Financial Statements'!F104/'Historical Financial Statements'!F98,0)</f>
        <v>8.224234449227201E-2</v>
      </c>
      <c r="G39" s="61">
        <f>IFERROR('Historical Financial Statements'!G104/'Historical Financial Statements'!G98,0)</f>
        <v>8.4587704627236332E-2</v>
      </c>
      <c r="H39" s="61">
        <f>IFERROR('Historical Financial Statements'!H104/'Historical Financial Statements'!H98,0)</f>
        <v>5.9466375243223075E-2</v>
      </c>
      <c r="I39" s="61">
        <f>IFERROR('Historical Financial Statements'!I104/'Historical Financial Statements'!I98,0)</f>
        <v>5.5941981467169409E-2</v>
      </c>
      <c r="J39" s="61">
        <f>IFERROR('Historical Financial Statements'!J104/'Historical Financial Statements'!J98,0)</f>
        <v>8.9921254180000715E-2</v>
      </c>
      <c r="K39" s="61">
        <f>IFERROR('Historical Financial Statements'!K104/'Historical Financial Statements'!K98,0)</f>
        <v>8.1181615053171396E-2</v>
      </c>
      <c r="L39" s="61">
        <f>IFERROR('Historical Financial Statements'!L104/'Historical Financial Statements'!L98,0)</f>
        <v>3.4331248138218647E-2</v>
      </c>
      <c r="M39" s="26"/>
      <c r="N39" s="61">
        <f>IFERROR(AVERAGE(C39:L39),0)</f>
        <v>7.0447116743483085E-2</v>
      </c>
      <c r="O39" s="61">
        <f>IFERROR(MEDIAN(C39:L39),0)</f>
        <v>7.9447336327064383E-2</v>
      </c>
      <c r="P39" s="26"/>
      <c r="Q39" s="26"/>
      <c r="R39" s="26"/>
      <c r="S39" s="26"/>
      <c r="T39" s="26"/>
      <c r="U39" s="26"/>
      <c r="V39" s="26"/>
      <c r="W39" s="26"/>
      <c r="X39" s="26"/>
      <c r="Y39" s="26"/>
    </row>
    <row r="40" spans="1:25" ht="15.75" customHeight="1">
      <c r="A40" s="26"/>
      <c r="B40" s="62" t="s">
        <v>183</v>
      </c>
      <c r="C40" s="63">
        <f>IFERROR('Historical Financial Statements'!C104/'Historical Financial Statements'!C61,0)</f>
        <v>0.14368534262009627</v>
      </c>
      <c r="D40" s="63">
        <f>IFERROR('Historical Financial Statements'!D104/'Historical Financial Statements'!D61,0)</f>
        <v>0.13097614686451667</v>
      </c>
      <c r="E40" s="63">
        <f>IFERROR('Historical Financial Statements'!E104/'Historical Financial Statements'!E61,0)</f>
        <v>9.4297612666474254E-2</v>
      </c>
      <c r="F40" s="63">
        <f>IFERROR('Historical Financial Statements'!F104/'Historical Financial Statements'!F61,0)</f>
        <v>0.1420016943930992</v>
      </c>
      <c r="G40" s="63">
        <f>IFERROR('Historical Financial Statements'!G104/'Historical Financial Statements'!G61,0)</f>
        <v>0.1786631840369958</v>
      </c>
      <c r="H40" s="63">
        <f>IFERROR('Historical Financial Statements'!H104/'Historical Financial Statements'!H61,0)</f>
        <v>0.13073542338118957</v>
      </c>
      <c r="I40" s="63">
        <f>IFERROR('Historical Financial Statements'!I104/'Historical Financial Statements'!I61,0)</f>
        <v>0.13540426657596885</v>
      </c>
      <c r="J40" s="63">
        <f>IFERROR('Historical Financial Statements'!J104/'Historical Financial Statements'!J61,0)</f>
        <v>0.23289686900482409</v>
      </c>
      <c r="K40" s="63">
        <f>IFERROR('Historical Financial Statements'!K104/'Historical Financial Statements'!K61,0)</f>
        <v>0.20169885152546688</v>
      </c>
      <c r="L40" s="63">
        <f>IFERROR('Historical Financial Statements'!L104/'Historical Financial Statements'!L61,0)</f>
        <v>7.8709236810653921E-2</v>
      </c>
      <c r="M40" s="62"/>
      <c r="N40" s="63">
        <f>IFERROR(AVERAGE(C40:L40),0)</f>
        <v>0.14690686278792855</v>
      </c>
      <c r="O40" s="63">
        <f>IFERROR(MEDIAN(C40:L40),0)</f>
        <v>0.13870298048453403</v>
      </c>
      <c r="P40" s="26"/>
      <c r="Q40" s="26"/>
      <c r="R40" s="26"/>
      <c r="S40" s="26"/>
      <c r="T40" s="26"/>
      <c r="U40" s="26"/>
      <c r="V40" s="26"/>
      <c r="W40" s="26"/>
      <c r="X40" s="26"/>
      <c r="Y40" s="26"/>
    </row>
    <row r="41" spans="1:25"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row>
    <row r="42" spans="1:25" ht="15.75" customHeight="1">
      <c r="A42" s="26"/>
      <c r="B42" s="367" t="s">
        <v>8980</v>
      </c>
      <c r="C42" s="368">
        <f>'Historical Financial Statements'!C61/(('Data Sheet'!B70*'Data Sheet'!B90)/10000000)</f>
        <v>1.9964210310532597</v>
      </c>
      <c r="D42" s="368">
        <f>'Historical Financial Statements'!D61/(('Data Sheet'!C70*'Data Sheet'!C90)/10000000)</f>
        <v>2.2725567818590688</v>
      </c>
      <c r="E42" s="368">
        <f>'Historical Financial Statements'!E61/(('Data Sheet'!D70*'Data Sheet'!D90)/10000000)</f>
        <v>2.4285272117942385</v>
      </c>
      <c r="F42" s="368">
        <f>'Historical Financial Statements'!F61/(('Data Sheet'!E70*'Data Sheet'!E90)/10000000)</f>
        <v>5.8416697046280595</v>
      </c>
      <c r="G42" s="368">
        <f>'Historical Financial Statements'!G61/(('Data Sheet'!F70*'Data Sheet'!F90)/10000000)</f>
        <v>1.4150105649954894</v>
      </c>
      <c r="H42" s="368">
        <f>'Historical Financial Statements'!H61/(('Data Sheet'!G70*'Data Sheet'!G90)/10000000)</f>
        <v>0.67100318236477452</v>
      </c>
      <c r="I42" s="368">
        <f>'Historical Financial Statements'!I61/(('Data Sheet'!H70*'Data Sheet'!H90)/10000000)</f>
        <v>0.87011821553722157</v>
      </c>
      <c r="J42" s="368">
        <f>'Historical Financial Statements'!J61/(('Data Sheet'!I70*'Data Sheet'!I90)/10000000)</f>
        <v>0.42601723202113306</v>
      </c>
      <c r="K42" s="368">
        <f>'Historical Financial Statements'!K61/(('Data Sheet'!J70*'Data Sheet'!J90)/10000000)</f>
        <v>0.52381753339855686</v>
      </c>
      <c r="L42" s="368">
        <f>'Historical Financial Statements'!L61/(('Data Sheet'!K70*'Data Sheet'!K90)/10000000)</f>
        <v>0.62881719083196475</v>
      </c>
      <c r="M42" s="367"/>
      <c r="N42" s="63">
        <f>IFERROR(AVERAGE(C42:L42),0)</f>
        <v>1.7073958648483765</v>
      </c>
      <c r="O42" s="63">
        <f>IFERROR(MEDIAN(C42:L42),0)</f>
        <v>1.1425643902663554</v>
      </c>
      <c r="P42" s="26"/>
      <c r="Q42" s="26"/>
      <c r="R42" s="26"/>
      <c r="S42" s="26"/>
      <c r="T42" s="26"/>
      <c r="U42" s="26"/>
      <c r="V42" s="26"/>
      <c r="W42" s="26"/>
      <c r="X42" s="26"/>
      <c r="Y42" s="26"/>
    </row>
    <row r="43" spans="1:25"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row>
    <row r="44" spans="1:25"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row>
    <row r="45" spans="1:2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row>
    <row r="46" spans="1:25"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row>
    <row r="47" spans="1:25"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row>
    <row r="48" spans="1:25"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row>
    <row r="49" spans="1:25"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row>
    <row r="50" spans="1:25"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row>
    <row r="51" spans="1:25"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row>
    <row r="52" spans="1:25"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row>
    <row r="53" spans="1:25"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row>
    <row r="54" spans="1:25"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row>
    <row r="55" spans="1:2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row>
    <row r="56" spans="1:25"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row>
    <row r="57" spans="1:25"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row>
    <row r="58" spans="1:25"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row>
    <row r="59" spans="1:25"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row>
    <row r="60" spans="1:25"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row>
    <row r="61" spans="1:25"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row>
    <row r="62" spans="1:25"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row>
    <row r="63" spans="1:25"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row>
    <row r="64" spans="1:25"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row>
    <row r="65" spans="1:2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row>
    <row r="66" spans="1:25"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row>
    <row r="67" spans="1:25"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row>
    <row r="68" spans="1:25"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row>
    <row r="69" spans="1:25"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row>
    <row r="70" spans="1:25"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row>
    <row r="71" spans="1:25"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row>
    <row r="72" spans="1:25"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row>
    <row r="73" spans="1:25"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row>
    <row r="74" spans="1:25"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row>
    <row r="75" spans="1:2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row>
    <row r="76" spans="1:25"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row>
    <row r="77" spans="1:25"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row>
    <row r="78" spans="1:25"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row>
    <row r="79" spans="1:25"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row>
    <row r="80" spans="1:25"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row>
    <row r="81" spans="1:25"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row>
    <row r="82" spans="1:25"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row>
    <row r="83" spans="1:25"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row>
    <row r="84" spans="1:25"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row>
    <row r="85" spans="1:2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row>
    <row r="86" spans="1:25"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row>
    <row r="87" spans="1:25"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row>
    <row r="88" spans="1:25"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row>
    <row r="89" spans="1:25"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row>
    <row r="90" spans="1:25"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row>
    <row r="91" spans="1:25"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row>
    <row r="92" spans="1:25"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row>
    <row r="93" spans="1:25"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row>
    <row r="94" spans="1:25"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row>
    <row r="95" spans="1:2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row>
    <row r="96" spans="1:25"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row>
    <row r="97" spans="1:25"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row>
    <row r="98" spans="1:25"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row>
    <row r="99" spans="1:25"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row>
    <row r="100" spans="1:25"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row>
    <row r="101" spans="1:25"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row>
    <row r="102" spans="1:25"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row>
    <row r="103" spans="1:25"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row>
    <row r="104" spans="1:25"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row>
    <row r="105" spans="1:2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row>
    <row r="106" spans="1:25"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row>
    <row r="107" spans="1:25"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row>
    <row r="108" spans="1:25"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row>
    <row r="109" spans="1:25"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row>
    <row r="110" spans="1:25"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row>
    <row r="111" spans="1:25"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row>
    <row r="112" spans="1:25"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row>
    <row r="113" spans="1:25"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row>
    <row r="114" spans="1:25"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row>
    <row r="115" spans="1:2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row>
    <row r="116" spans="1:25"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row>
    <row r="117" spans="1:25"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row>
    <row r="118" spans="1:25"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row>
    <row r="119" spans="1:25"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row>
    <row r="120" spans="1:25"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row>
    <row r="121" spans="1:25"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row>
    <row r="122" spans="1:25"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row>
    <row r="123" spans="1:25"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row>
    <row r="124" spans="1:25"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row>
    <row r="125" spans="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row>
    <row r="126" spans="1:25"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row>
    <row r="127" spans="1:25"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row>
    <row r="128" spans="1:25"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row>
    <row r="129" spans="1:25"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row>
    <row r="130" spans="1:25"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row>
    <row r="131" spans="1:25"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row>
    <row r="132" spans="1:25"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row>
    <row r="133" spans="1:25"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row>
    <row r="134" spans="1:25"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row>
    <row r="135" spans="1:2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row>
    <row r="136" spans="1:25"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row>
    <row r="137" spans="1:25"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row>
    <row r="138" spans="1:25"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row>
    <row r="139" spans="1:25"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row>
    <row r="140" spans="1:25"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row>
    <row r="141" spans="1:25"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row>
    <row r="142" spans="1:25"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row>
    <row r="143" spans="1:25"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row>
    <row r="144" spans="1:25"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row>
    <row r="145" spans="1:2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row>
    <row r="146" spans="1:25"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row>
    <row r="147" spans="1:25"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row>
    <row r="148" spans="1:25"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row>
    <row r="149" spans="1:25"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row>
    <row r="150" spans="1:25"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row>
    <row r="151" spans="1:25"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row>
    <row r="152" spans="1:25"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row>
    <row r="153" spans="1:25"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row>
    <row r="154" spans="1:25"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row>
    <row r="155" spans="1:2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row>
    <row r="156" spans="1:25"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row>
    <row r="157" spans="1:25"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row>
    <row r="158" spans="1:25"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row>
    <row r="159" spans="1:25"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row>
    <row r="160" spans="1:25"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row>
    <row r="161" spans="1:25"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row>
    <row r="162" spans="1:25"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row>
    <row r="163" spans="1:25"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row>
    <row r="164" spans="1:25"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row>
    <row r="165" spans="1:2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row>
    <row r="166" spans="1:25"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row>
    <row r="167" spans="1:25"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row>
    <row r="168" spans="1:25"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row>
    <row r="169" spans="1:25"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row>
    <row r="170" spans="1:25"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row>
    <row r="171" spans="1:25"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row>
    <row r="172" spans="1:25"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row>
    <row r="173" spans="1:25"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row>
    <row r="174" spans="1:25"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row>
    <row r="175" spans="1:2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row>
    <row r="176" spans="1:25"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row>
    <row r="177" spans="1:25"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row>
    <row r="178" spans="1:25"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row>
    <row r="179" spans="1:25"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row>
    <row r="180" spans="1:25"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row>
    <row r="181" spans="1:25"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row>
    <row r="182" spans="1:25"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row>
    <row r="183" spans="1:25"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spans="1:25"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spans="1:2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spans="1:25"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spans="1:25"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spans="1:25"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spans="1:25"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spans="1:25"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spans="1:25"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spans="1:25"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spans="1:25"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spans="1:25"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spans="1:2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spans="1:25"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spans="1:25"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spans="1:25"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spans="1:25"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spans="1:25"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spans="1:25"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spans="1:25"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spans="1:25"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spans="1:25"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spans="1:2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spans="1:25"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spans="1:25"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spans="1:25"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spans="1:25"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spans="1:25"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spans="1:25"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spans="1:25"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spans="1:25"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spans="1:25"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spans="1:2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spans="1:25"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spans="1:25"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spans="1:25"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spans="1:25"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spans="1:25"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spans="1:25"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row>
    <row r="222" spans="1:25"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row>
    <row r="223" spans="1:25"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row>
    <row r="224" spans="1:25"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row>
    <row r="225" spans="1: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row>
    <row r="226" spans="1:25"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row>
    <row r="227" spans="1:25"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row>
    <row r="228" spans="1:25"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row>
    <row r="229" spans="1:25"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row>
    <row r="230" spans="1:25"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row>
    <row r="231" spans="1:25"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row>
    <row r="232" spans="1:25"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row>
    <row r="233" spans="1:25"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row>
    <row r="234" spans="1:25"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row>
    <row r="235" spans="1:2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row>
    <row r="236" spans="1:25"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row>
    <row r="237" spans="1:25"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row>
    <row r="238" spans="1:25"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row>
    <row r="239" spans="1:25"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row>
    <row r="240" spans="1:25"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row>
    <row r="241" spans="1:25"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row>
    <row r="242" spans="1:25"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row>
    <row r="243" spans="1:25"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row>
    <row r="244" spans="1:25"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row>
    <row r="245" spans="1:2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row>
    <row r="246" spans="1:25"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row>
    <row r="247" spans="1:25"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row>
    <row r="248" spans="1:25"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row>
    <row r="249" spans="1:25"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row>
    <row r="250" spans="1:25"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row>
    <row r="251" spans="1:25"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row>
    <row r="252" spans="1:25"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row>
    <row r="253" spans="1:25"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row>
    <row r="254" spans="1:25"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row>
    <row r="255" spans="1:2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row>
    <row r="256" spans="1:25"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row>
    <row r="257" spans="1:25"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row>
    <row r="258" spans="1:25"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row>
    <row r="259" spans="1:25"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row>
    <row r="260" spans="1:25"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row>
    <row r="261" spans="1:25"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row>
    <row r="262" spans="1:25"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row>
    <row r="263" spans="1:25"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row>
    <row r="264" spans="1:25"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row>
    <row r="265" spans="1:2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row>
    <row r="266" spans="1:25"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row>
    <row r="267" spans="1:25"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row>
    <row r="268" spans="1:25"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row>
    <row r="269" spans="1:25"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row>
    <row r="270" spans="1:25"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row>
    <row r="271" spans="1:25"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row>
    <row r="272" spans="1:25"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row>
    <row r="273" spans="1:25"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row>
    <row r="274" spans="1:25"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row>
    <row r="275" spans="1:2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row>
    <row r="276" spans="1:25"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row>
    <row r="277" spans="1:25"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row>
    <row r="278" spans="1:25"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row>
    <row r="279" spans="1:25"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row>
    <row r="280" spans="1:25"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row>
    <row r="281" spans="1:25"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row>
    <row r="282" spans="1:25"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row>
    <row r="283" spans="1:25"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row>
    <row r="284" spans="1:25"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row>
    <row r="285" spans="1:2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row>
    <row r="286" spans="1:25"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row>
    <row r="287" spans="1:25"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row>
    <row r="288" spans="1:25"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row>
    <row r="289" spans="1:25"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row>
    <row r="290" spans="1:25"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row>
    <row r="291" spans="1:25"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row>
    <row r="292" spans="1:25"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row>
    <row r="293" spans="1:25"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row>
    <row r="294" spans="1:25"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row>
    <row r="295" spans="1:2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row>
    <row r="296" spans="1:25"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row>
    <row r="297" spans="1:25"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row>
    <row r="298" spans="1:25"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row>
    <row r="299" spans="1:25"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row>
    <row r="300" spans="1:25"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row>
    <row r="301" spans="1:25"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row>
    <row r="302" spans="1:25"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row>
    <row r="303" spans="1:25"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row>
    <row r="304" spans="1:25"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row>
    <row r="305" spans="1:2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row>
    <row r="306" spans="1:25"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row>
    <row r="307" spans="1:25"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row>
    <row r="308" spans="1:25"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row>
    <row r="309" spans="1:25"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row>
    <row r="310" spans="1:25"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row>
    <row r="311" spans="1:25"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row>
    <row r="312" spans="1:25"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row>
    <row r="313" spans="1:25"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row>
    <row r="314" spans="1:25"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row>
    <row r="315" spans="1:2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row>
    <row r="316" spans="1:25"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row>
    <row r="317" spans="1:25"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row>
    <row r="318" spans="1:25"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row>
    <row r="319" spans="1:25"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row>
    <row r="320" spans="1:25"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row>
    <row r="321" spans="1:25"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row>
    <row r="322" spans="1:25"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row>
    <row r="323" spans="1:25"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row>
    <row r="324" spans="1:25"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row>
    <row r="325" spans="1: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row>
    <row r="326" spans="1:25"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row>
    <row r="327" spans="1:25"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row>
    <row r="328" spans="1:25"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row>
    <row r="329" spans="1:25"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row>
    <row r="330" spans="1:25"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row>
    <row r="331" spans="1:25"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row>
    <row r="332" spans="1:25"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row>
    <row r="333" spans="1:25"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row>
    <row r="334" spans="1:25"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row>
    <row r="335" spans="1:2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row>
    <row r="336" spans="1:25"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row>
    <row r="337" spans="1:25"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row>
    <row r="338" spans="1:25"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row>
    <row r="339" spans="1:25"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row>
    <row r="340" spans="1:25"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row>
    <row r="341" spans="1:25"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row>
    <row r="342" spans="1:25"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row>
    <row r="343" spans="1:25"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row>
    <row r="344" spans="1:25"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row>
    <row r="345" spans="1:2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row>
    <row r="346" spans="1:25"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row>
    <row r="347" spans="1:25"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row>
    <row r="348" spans="1:25"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row>
    <row r="349" spans="1:25"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row>
    <row r="350" spans="1:25"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row>
    <row r="351" spans="1:25"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row>
    <row r="352" spans="1:25"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row>
    <row r="353" spans="1:25"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row>
    <row r="354" spans="1:25"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row>
    <row r="355" spans="1:2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row>
    <row r="356" spans="1:25"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row>
    <row r="357" spans="1:25"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row>
    <row r="358" spans="1:25"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row>
    <row r="359" spans="1:25"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row>
    <row r="360" spans="1:25"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row>
    <row r="361" spans="1:25"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row>
    <row r="362" spans="1:25"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row>
    <row r="363" spans="1:25"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row>
    <row r="364" spans="1:25"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row>
    <row r="365" spans="1:2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row>
    <row r="366" spans="1:25"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row>
    <row r="367" spans="1:25"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row>
    <row r="368" spans="1:25"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row>
    <row r="369" spans="1:25"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row>
    <row r="370" spans="1:25"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row>
    <row r="371" spans="1:25"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row>
    <row r="372" spans="1:25"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row>
    <row r="373" spans="1:25"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row>
    <row r="374" spans="1:25"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row>
    <row r="375" spans="1:2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row>
    <row r="376" spans="1:25"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row>
    <row r="377" spans="1:25"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row>
    <row r="378" spans="1:25"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row>
    <row r="379" spans="1:25"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row>
    <row r="380" spans="1:25"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row>
    <row r="381" spans="1:25"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row>
    <row r="382" spans="1:25"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row>
    <row r="383" spans="1:25"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row>
    <row r="384" spans="1:25"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row>
    <row r="385" spans="1:2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row>
    <row r="386" spans="1:25"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row>
    <row r="387" spans="1:25"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row>
    <row r="388" spans="1:25"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row>
    <row r="389" spans="1:25"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row>
    <row r="390" spans="1:25"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row>
    <row r="391" spans="1:25"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row>
    <row r="392" spans="1:25"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row>
    <row r="393" spans="1:25"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row>
    <row r="394" spans="1:25"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row>
    <row r="395" spans="1:2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row>
    <row r="396" spans="1:25"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row>
    <row r="397" spans="1:25"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row>
    <row r="398" spans="1:25"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row>
    <row r="399" spans="1:25"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row>
    <row r="400" spans="1:25"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row>
    <row r="401" spans="1:25"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row>
    <row r="402" spans="1:25"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row>
    <row r="403" spans="1:25"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row>
    <row r="404" spans="1:25"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row>
    <row r="405" spans="1:2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row>
    <row r="406" spans="1:25"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row>
    <row r="407" spans="1:25"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row>
    <row r="408" spans="1:25"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row>
    <row r="409" spans="1:25"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row>
    <row r="410" spans="1:25"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row>
    <row r="411" spans="1:25"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row>
    <row r="412" spans="1:25"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row>
    <row r="413" spans="1:25"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row>
    <row r="414" spans="1:25"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row>
    <row r="415" spans="1:2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row>
    <row r="416" spans="1:25"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row>
    <row r="417" spans="1:25"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row>
    <row r="418" spans="1:25"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row>
    <row r="419" spans="1:25"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row>
    <row r="420" spans="1:25"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row>
    <row r="421" spans="1:25"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row>
    <row r="422" spans="1:25"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row>
    <row r="423" spans="1:25"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row>
    <row r="424" spans="1:25"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row>
    <row r="425" spans="1: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row>
    <row r="426" spans="1:25"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row>
    <row r="427" spans="1:25"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row>
    <row r="428" spans="1:25"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row>
    <row r="429" spans="1:25"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row>
    <row r="430" spans="1:25"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row>
    <row r="431" spans="1:25"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row>
    <row r="432" spans="1:25"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row>
    <row r="433" spans="1:25"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row>
    <row r="434" spans="1:25"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row>
    <row r="435" spans="1:2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row>
    <row r="436" spans="1:25"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row>
    <row r="437" spans="1:25"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row>
    <row r="438" spans="1:25"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row>
    <row r="439" spans="1:25"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row>
    <row r="440" spans="1:25"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row>
    <row r="441" spans="1:25"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row>
    <row r="442" spans="1:25"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row>
    <row r="443" spans="1:25"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row>
    <row r="444" spans="1:25"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row>
    <row r="445" spans="1:2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row>
    <row r="446" spans="1:25"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row>
    <row r="447" spans="1:25"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row>
    <row r="448" spans="1:25"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row>
    <row r="449" spans="1:25"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row>
    <row r="450" spans="1:25"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row>
    <row r="451" spans="1:25"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row>
    <row r="452" spans="1:25"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row>
    <row r="453" spans="1:25"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row>
    <row r="454" spans="1:25"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row>
    <row r="455" spans="1:2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row>
    <row r="456" spans="1:25"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row>
    <row r="457" spans="1:25"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row>
    <row r="458" spans="1:25"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row>
    <row r="459" spans="1:25"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row>
    <row r="460" spans="1:25"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row>
    <row r="461" spans="1:25"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row>
    <row r="462" spans="1:25"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row>
    <row r="463" spans="1:25"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row>
    <row r="464" spans="1:25"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row>
    <row r="465" spans="1:2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row>
    <row r="466" spans="1:25"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row>
    <row r="467" spans="1:25"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row>
    <row r="468" spans="1:25"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row>
    <row r="469" spans="1:25"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row>
    <row r="470" spans="1:25"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row>
    <row r="471" spans="1:25"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row>
    <row r="472" spans="1:25"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row>
    <row r="473" spans="1:25"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row>
    <row r="474" spans="1:25"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row>
    <row r="475" spans="1:2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row>
    <row r="476" spans="1:25"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row>
    <row r="477" spans="1:25"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row>
    <row r="478" spans="1:25"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row>
    <row r="479" spans="1:25"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row>
    <row r="480" spans="1:25"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row>
    <row r="481" spans="1:25"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row>
    <row r="482" spans="1:25"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row>
    <row r="483" spans="1:25"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row>
    <row r="484" spans="1:25"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row>
    <row r="485" spans="1:2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row>
    <row r="486" spans="1:25"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row>
    <row r="487" spans="1:25"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row>
    <row r="488" spans="1:25"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row>
    <row r="489" spans="1:25"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row>
    <row r="490" spans="1:25"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row>
    <row r="491" spans="1:25"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row>
    <row r="492" spans="1:25"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row>
    <row r="493" spans="1:25"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row>
    <row r="494" spans="1:25"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row>
    <row r="495" spans="1:2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row>
    <row r="496" spans="1:25"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row>
    <row r="497" spans="1:25"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row>
    <row r="498" spans="1:25"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row>
    <row r="499" spans="1:25"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row>
    <row r="500" spans="1:25"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row>
    <row r="501" spans="1:25"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row>
    <row r="502" spans="1:25"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row>
    <row r="503" spans="1:25"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row>
    <row r="504" spans="1:25"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row>
    <row r="505" spans="1:2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row>
    <row r="506" spans="1:25"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row>
    <row r="507" spans="1:25"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row>
    <row r="508" spans="1:25"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row>
    <row r="509" spans="1:25"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row>
    <row r="510" spans="1:25"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row>
    <row r="511" spans="1:25"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row>
    <row r="512" spans="1:25"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row>
    <row r="513" spans="1:25"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row>
    <row r="514" spans="1:25"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row>
    <row r="515" spans="1:2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row>
    <row r="516" spans="1:25"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row>
    <row r="517" spans="1:25"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row>
    <row r="518" spans="1:25"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row>
    <row r="519" spans="1:25"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row>
    <row r="520" spans="1:25"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row>
    <row r="521" spans="1:25"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row>
    <row r="522" spans="1:25"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row>
    <row r="523" spans="1:25"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row>
    <row r="524" spans="1:25"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row>
    <row r="525" spans="1: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row>
    <row r="526" spans="1:25"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row>
    <row r="527" spans="1:25"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row>
    <row r="528" spans="1:25"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row>
    <row r="529" spans="1:25"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row>
    <row r="530" spans="1:25"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row>
    <row r="531" spans="1:25"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row>
    <row r="532" spans="1:25"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row>
    <row r="533" spans="1:25"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row>
    <row r="534" spans="1:25"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row>
    <row r="535" spans="1:2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row>
    <row r="536" spans="1:25"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row>
    <row r="537" spans="1:25"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row>
    <row r="538" spans="1:25"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row>
    <row r="539" spans="1:25"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row>
    <row r="540" spans="1:25"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row>
    <row r="541" spans="1:25"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row>
    <row r="542" spans="1:25"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row>
    <row r="543" spans="1:25"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row>
    <row r="544" spans="1:25"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row>
    <row r="545" spans="1:2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row>
    <row r="546" spans="1:25"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row>
    <row r="547" spans="1:25"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row>
    <row r="548" spans="1:25"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row>
    <row r="549" spans="1:25"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row>
    <row r="550" spans="1:25"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row>
    <row r="551" spans="1:25"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row>
    <row r="552" spans="1:25"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row>
    <row r="553" spans="1:25"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row>
    <row r="554" spans="1:25"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row>
    <row r="555" spans="1:2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row>
    <row r="556" spans="1:25"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row>
    <row r="557" spans="1:25"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row>
    <row r="558" spans="1:25"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row>
    <row r="559" spans="1:25"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row>
    <row r="560" spans="1:25"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row>
    <row r="561" spans="1:25"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row>
    <row r="562" spans="1:25"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row>
    <row r="563" spans="1:25"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row>
    <row r="564" spans="1:25"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row>
    <row r="565" spans="1:2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row>
    <row r="566" spans="1:25"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row>
    <row r="567" spans="1:25"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row>
    <row r="568" spans="1:25"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row>
    <row r="569" spans="1:25"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row>
    <row r="570" spans="1:25"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row>
    <row r="571" spans="1:25"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row>
    <row r="572" spans="1:25"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row>
    <row r="573" spans="1:25"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row>
    <row r="574" spans="1:25"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row>
    <row r="575" spans="1:2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row>
    <row r="576" spans="1:25"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row>
    <row r="577" spans="1:25"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row>
    <row r="578" spans="1:25"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row>
    <row r="579" spans="1:25"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row>
    <row r="580" spans="1:25"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row>
    <row r="581" spans="1:25"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row>
    <row r="582" spans="1:25"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row>
    <row r="583" spans="1:25"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row>
    <row r="584" spans="1:25"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row>
    <row r="585" spans="1:2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row>
    <row r="586" spans="1:25"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row>
    <row r="587" spans="1:25"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row>
    <row r="588" spans="1:25"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row>
    <row r="589" spans="1:25"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row>
    <row r="590" spans="1:25"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row>
    <row r="591" spans="1:25"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row>
    <row r="592" spans="1:25"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row>
    <row r="593" spans="1:25"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row>
    <row r="594" spans="1:25"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row>
    <row r="595" spans="1:2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row>
    <row r="596" spans="1:25"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row>
    <row r="597" spans="1:25"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row>
    <row r="598" spans="1:25"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row>
    <row r="599" spans="1:25"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row>
    <row r="600" spans="1:25"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row>
    <row r="601" spans="1:25"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row>
    <row r="602" spans="1:25"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row>
    <row r="603" spans="1:25"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row>
    <row r="604" spans="1:25"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row>
    <row r="605" spans="1:2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row>
    <row r="606" spans="1:25"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row>
    <row r="607" spans="1:25"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row>
    <row r="608" spans="1:25"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row>
    <row r="609" spans="1:25"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row>
    <row r="610" spans="1:25"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row>
    <row r="611" spans="1:25"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row>
    <row r="612" spans="1:25"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row>
    <row r="613" spans="1:25"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row>
    <row r="614" spans="1:25"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row>
    <row r="615" spans="1:2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row>
    <row r="616" spans="1:25"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row>
    <row r="617" spans="1:25"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row>
    <row r="618" spans="1:25"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row>
    <row r="619" spans="1:25"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row>
    <row r="620" spans="1:25"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row>
    <row r="621" spans="1:25"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row>
    <row r="622" spans="1:25"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row>
    <row r="623" spans="1:25"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row>
    <row r="624" spans="1:25"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row>
    <row r="625" spans="1: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row>
    <row r="626" spans="1:25"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row>
    <row r="627" spans="1:25"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row>
    <row r="628" spans="1:25"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row>
    <row r="629" spans="1:25"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row>
    <row r="630" spans="1:25"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row>
    <row r="631" spans="1:25"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row>
    <row r="632" spans="1:25"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row>
    <row r="633" spans="1:25"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row>
    <row r="634" spans="1:25"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row>
    <row r="635" spans="1:2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row>
    <row r="636" spans="1:25"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row>
    <row r="637" spans="1:25"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row>
    <row r="638" spans="1:25"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row>
    <row r="639" spans="1:25"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row>
    <row r="640" spans="1:25"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row>
    <row r="641" spans="1:25"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row>
    <row r="642" spans="1:25"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row>
    <row r="643" spans="1:25"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row>
    <row r="644" spans="1:25"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row>
    <row r="645" spans="1:2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row>
    <row r="646" spans="1:25"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row>
    <row r="647" spans="1:25"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row>
    <row r="648" spans="1:25"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row>
    <row r="649" spans="1:25"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row>
    <row r="650" spans="1:25"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row>
    <row r="651" spans="1:25"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row>
    <row r="652" spans="1:25"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row>
    <row r="653" spans="1:25"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row>
    <row r="654" spans="1:25"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row>
    <row r="655" spans="1:2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row>
    <row r="656" spans="1:25"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row>
    <row r="657" spans="1:25"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row>
    <row r="658" spans="1:25"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row>
    <row r="659" spans="1:25"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row>
    <row r="660" spans="1:25"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row>
    <row r="661" spans="1:25"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row>
    <row r="662" spans="1:25"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row>
    <row r="663" spans="1:25"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row>
    <row r="664" spans="1:25"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row>
    <row r="665" spans="1:2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row>
    <row r="666" spans="1:25"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row>
    <row r="667" spans="1:25"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row>
    <row r="668" spans="1:25"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row>
    <row r="669" spans="1:25"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row>
    <row r="670" spans="1:25"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row>
    <row r="671" spans="1:25"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row>
    <row r="672" spans="1:25"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row>
    <row r="673" spans="1:25"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row>
    <row r="674" spans="1:25"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row>
    <row r="675" spans="1:2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row>
    <row r="676" spans="1:25"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row>
    <row r="677" spans="1:25"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row>
    <row r="678" spans="1:25"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row>
    <row r="679" spans="1:25"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row>
    <row r="680" spans="1:25"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row>
    <row r="681" spans="1:25"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row>
    <row r="682" spans="1:25"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row>
    <row r="683" spans="1:25"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row>
    <row r="684" spans="1:25"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row>
    <row r="685" spans="1:2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row>
    <row r="686" spans="1:25"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row>
    <row r="687" spans="1:25"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row>
    <row r="688" spans="1:25"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row>
    <row r="689" spans="1:25"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row>
    <row r="690" spans="1:25"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row>
    <row r="691" spans="1:25"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row>
    <row r="692" spans="1:25"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row>
    <row r="693" spans="1:25"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row>
    <row r="694" spans="1:25"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row>
    <row r="695" spans="1:2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row>
    <row r="696" spans="1:25"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row>
    <row r="697" spans="1:25"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row>
    <row r="698" spans="1:25"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row>
    <row r="699" spans="1:25"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row>
    <row r="700" spans="1:25"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row>
    <row r="701" spans="1:25"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row>
    <row r="702" spans="1:25"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row>
    <row r="703" spans="1:25"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row>
    <row r="704" spans="1:25"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row>
    <row r="705" spans="1:2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row>
    <row r="706" spans="1:25"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row>
    <row r="707" spans="1:25"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row>
    <row r="708" spans="1:25"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row>
    <row r="709" spans="1:25"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row>
    <row r="710" spans="1:25"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row>
    <row r="711" spans="1:25"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row>
    <row r="712" spans="1:25"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row>
    <row r="713" spans="1:25"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row>
    <row r="714" spans="1:25"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row>
    <row r="715" spans="1:2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row>
    <row r="716" spans="1:25"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row>
    <row r="717" spans="1:25"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row>
    <row r="718" spans="1:25"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row>
    <row r="719" spans="1:25"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row>
    <row r="720" spans="1:25"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row>
    <row r="721" spans="1:25"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row>
    <row r="722" spans="1:25"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row>
    <row r="723" spans="1:25"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row>
    <row r="724" spans="1:25"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row>
    <row r="725" spans="1: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row>
    <row r="726" spans="1:25"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row>
    <row r="727" spans="1:25"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row>
    <row r="728" spans="1:25"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row>
    <row r="729" spans="1:25"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row>
    <row r="730" spans="1:25"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row>
    <row r="731" spans="1:25"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row>
    <row r="732" spans="1:25"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row>
    <row r="733" spans="1:25"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row>
    <row r="734" spans="1:25"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row>
    <row r="735" spans="1:2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row>
    <row r="736" spans="1:25"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row>
    <row r="737" spans="1:25"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row>
    <row r="738" spans="1:25"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row>
    <row r="739" spans="1:25"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row>
    <row r="740" spans="1:25"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row>
    <row r="741" spans="1:25"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row>
    <row r="742" spans="1:25"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row>
    <row r="743" spans="1:25"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row>
    <row r="744" spans="1:25"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row>
    <row r="745" spans="1:2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row>
    <row r="746" spans="1:25"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row>
    <row r="747" spans="1:25"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row>
    <row r="748" spans="1:25"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row>
    <row r="749" spans="1:25"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row>
    <row r="750" spans="1:25"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row>
    <row r="751" spans="1:25"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row>
    <row r="752" spans="1:25"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row>
    <row r="753" spans="1:25"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row>
    <row r="754" spans="1:25"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row>
    <row r="755" spans="1:2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row>
    <row r="756" spans="1:25"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row>
    <row r="757" spans="1:25"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row>
    <row r="758" spans="1:25"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row>
    <row r="759" spans="1:25"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row>
    <row r="760" spans="1:25"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row>
    <row r="761" spans="1:25"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row>
    <row r="762" spans="1:25"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row>
    <row r="763" spans="1:25"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row>
    <row r="764" spans="1:25"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row>
    <row r="765" spans="1:2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row>
    <row r="766" spans="1:25"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row>
    <row r="767" spans="1:25"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row>
    <row r="768" spans="1:25"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row>
    <row r="769" spans="1:25"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row>
    <row r="770" spans="1:25"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row>
    <row r="771" spans="1:25"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row>
    <row r="772" spans="1:25"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row>
    <row r="773" spans="1:25"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row>
    <row r="774" spans="1:25"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row>
    <row r="775" spans="1:2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row>
    <row r="776" spans="1:25"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row>
    <row r="777" spans="1:25"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row>
    <row r="778" spans="1:25"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row>
    <row r="779" spans="1:25"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row>
    <row r="780" spans="1:25"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row>
    <row r="781" spans="1:25"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row>
    <row r="782" spans="1:25"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row>
    <row r="783" spans="1:25"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row>
    <row r="784" spans="1:25"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row>
    <row r="785" spans="1:2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row>
    <row r="786" spans="1:25"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row>
    <row r="787" spans="1:25"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row>
    <row r="788" spans="1:25"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row>
    <row r="789" spans="1:25"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row>
    <row r="790" spans="1:25"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row>
    <row r="791" spans="1:25"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row>
    <row r="792" spans="1:25"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row>
    <row r="793" spans="1:25"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row>
    <row r="794" spans="1:25"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row>
    <row r="795" spans="1:2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row>
    <row r="796" spans="1:25"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row>
    <row r="797" spans="1:25"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row>
    <row r="798" spans="1:25"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row>
    <row r="799" spans="1:25"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row>
    <row r="800" spans="1:25"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row>
    <row r="801" spans="1:25"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row>
    <row r="802" spans="1:25"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row>
    <row r="803" spans="1:25"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row>
    <row r="804" spans="1:25"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row>
    <row r="805" spans="1:2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row>
    <row r="806" spans="1:25"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row>
    <row r="807" spans="1:25"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row>
    <row r="808" spans="1:25"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row>
    <row r="809" spans="1:25"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row>
    <row r="810" spans="1:25"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row>
    <row r="811" spans="1:25"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row>
    <row r="812" spans="1:25"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row>
    <row r="813" spans="1:25"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row>
    <row r="814" spans="1:25"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row>
    <row r="815" spans="1:2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row>
    <row r="816" spans="1:25"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row>
    <row r="817" spans="1:25"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row>
    <row r="818" spans="1:25"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row>
    <row r="819" spans="1:25"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row>
    <row r="820" spans="1:25"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row>
    <row r="821" spans="1:25"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row>
    <row r="822" spans="1:25"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row>
    <row r="823" spans="1:25"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row>
    <row r="824" spans="1:25"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row>
    <row r="825" spans="1: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row>
    <row r="826" spans="1:25"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row>
    <row r="827" spans="1:25"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row>
    <row r="828" spans="1:25"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row>
    <row r="829" spans="1:25"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row>
    <row r="830" spans="1:25"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row>
    <row r="831" spans="1:25"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row>
    <row r="832" spans="1:25"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row>
    <row r="833" spans="1:25"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row>
    <row r="834" spans="1:25"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row>
    <row r="835" spans="1:2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row>
    <row r="836" spans="1:25"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row>
    <row r="837" spans="1:25"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row>
    <row r="838" spans="1:25"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row>
    <row r="839" spans="1:25"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row>
    <row r="840" spans="1:25"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row>
    <row r="841" spans="1:25"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row>
    <row r="842" spans="1:25"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row>
    <row r="843" spans="1:25"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row>
    <row r="844" spans="1:25"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row>
    <row r="845" spans="1:2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row>
    <row r="846" spans="1:25"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row>
    <row r="847" spans="1:25"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row>
    <row r="848" spans="1:25"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row>
    <row r="849" spans="1:25"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row>
    <row r="850" spans="1:25"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row>
    <row r="851" spans="1:25"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row>
    <row r="852" spans="1:25"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row>
    <row r="853" spans="1:25"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row>
    <row r="854" spans="1:25"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row>
    <row r="855" spans="1:2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row>
    <row r="856" spans="1:25"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row>
    <row r="857" spans="1:25"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row>
    <row r="858" spans="1:25"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row>
    <row r="859" spans="1:25"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row>
    <row r="860" spans="1:25"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row>
    <row r="861" spans="1:25"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row>
    <row r="862" spans="1:25"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row>
    <row r="863" spans="1:25"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row>
    <row r="864" spans="1:25"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row>
    <row r="865" spans="1:2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row>
    <row r="866" spans="1:25"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row>
    <row r="867" spans="1:25"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row>
    <row r="868" spans="1:25"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row>
    <row r="869" spans="1:25"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row>
    <row r="870" spans="1:25"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row>
    <row r="871" spans="1:25"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row>
    <row r="872" spans="1:25"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row>
    <row r="873" spans="1:25"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row>
    <row r="874" spans="1:25"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row>
    <row r="875" spans="1:2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row>
    <row r="876" spans="1:25"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row>
    <row r="877" spans="1:25"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row>
    <row r="878" spans="1:25"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row>
    <row r="879" spans="1:25"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row>
    <row r="880" spans="1:25"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row>
    <row r="881" spans="1:25"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row>
    <row r="882" spans="1:25"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row>
    <row r="883" spans="1:25"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row>
    <row r="884" spans="1:25"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row>
    <row r="885" spans="1:2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row>
    <row r="886" spans="1:25"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row>
    <row r="887" spans="1:25"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row>
    <row r="888" spans="1:25"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row>
    <row r="889" spans="1:25"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row>
    <row r="890" spans="1:25"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row>
    <row r="891" spans="1:25"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row>
    <row r="892" spans="1:25"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row>
    <row r="893" spans="1:25"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row>
    <row r="894" spans="1:25"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row>
    <row r="895" spans="1:2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row>
    <row r="896" spans="1:25"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row>
    <row r="897" spans="1:25"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row>
    <row r="898" spans="1:25"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row>
    <row r="899" spans="1:25"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row>
    <row r="900" spans="1:25"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row>
    <row r="901" spans="1:25"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row>
    <row r="902" spans="1:25"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row>
    <row r="903" spans="1:25"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row>
    <row r="904" spans="1:25"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row>
    <row r="905" spans="1:2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row>
    <row r="906" spans="1:25"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row>
    <row r="907" spans="1:25"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row>
    <row r="908" spans="1:25"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row>
    <row r="909" spans="1:25"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row>
    <row r="910" spans="1:25"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row>
    <row r="911" spans="1:25"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row>
    <row r="912" spans="1:25"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row>
    <row r="913" spans="1:25"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row>
    <row r="914" spans="1:25"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row>
    <row r="915" spans="1:2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row>
    <row r="916" spans="1:25"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row>
    <row r="917" spans="1:25"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row>
    <row r="918" spans="1:25"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row>
    <row r="919" spans="1:25"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row>
    <row r="920" spans="1:25"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row>
    <row r="921" spans="1:25"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row>
    <row r="922" spans="1:25"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row>
    <row r="923" spans="1:25"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row>
    <row r="924" spans="1:25"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row>
    <row r="925" spans="1: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row>
    <row r="926" spans="1:25"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row>
    <row r="927" spans="1:25"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row>
    <row r="928" spans="1:25"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row>
    <row r="929" spans="1:25"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row>
    <row r="930" spans="1:25"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row>
    <row r="931" spans="1:25"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row>
    <row r="932" spans="1:25"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row>
    <row r="933" spans="1:25"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row>
    <row r="934" spans="1:25"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row>
    <row r="935" spans="1:2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row>
    <row r="936" spans="1:25"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row>
    <row r="937" spans="1:25"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row>
    <row r="938" spans="1:25"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row>
    <row r="939" spans="1:25"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row>
    <row r="940" spans="1:25"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row>
    <row r="941" spans="1:25"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row>
    <row r="942" spans="1:25"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row>
    <row r="943" spans="1:25"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row>
    <row r="944" spans="1:25"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row>
    <row r="945" spans="1:2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row>
    <row r="946" spans="1:25"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row>
    <row r="947" spans="1:25"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row>
    <row r="948" spans="1:25"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row>
    <row r="949" spans="1:25"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row>
    <row r="950" spans="1:25"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row>
    <row r="951" spans="1:25"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row>
    <row r="952" spans="1:25"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row>
    <row r="953" spans="1:25"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row>
    <row r="954" spans="1:25"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row>
    <row r="955" spans="1:2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row>
    <row r="956" spans="1:25"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row>
    <row r="957" spans="1:25"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row>
    <row r="958" spans="1:25"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row>
    <row r="959" spans="1:25"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row>
    <row r="960" spans="1:25"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row>
    <row r="961" spans="1:25"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row>
    <row r="962" spans="1:25"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row>
    <row r="963" spans="1:25"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row>
    <row r="964" spans="1:25"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row>
    <row r="965" spans="1:2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row>
    <row r="966" spans="1:25"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row>
    <row r="967" spans="1:25"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row>
    <row r="968" spans="1:25"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row>
    <row r="969" spans="1:25"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row>
    <row r="970" spans="1:25"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row>
    <row r="971" spans="1:25"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row>
    <row r="972" spans="1:25"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row>
    <row r="973" spans="1:25"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row>
    <row r="974" spans="1:25"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row>
    <row r="975" spans="1:2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row>
    <row r="976" spans="1:25"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row>
    <row r="977" spans="1:25"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row>
    <row r="978" spans="1:25"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row>
    <row r="979" spans="1:25"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row>
    <row r="980" spans="1:25"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row>
    <row r="981" spans="1:25"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row>
    <row r="982" spans="1:25"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row>
    <row r="983" spans="1:25"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row>
    <row r="984" spans="1:25"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row>
    <row r="985" spans="1:2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row>
    <row r="986" spans="1:25"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row>
    <row r="987" spans="1:25"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row>
    <row r="988" spans="1:25"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row>
    <row r="989" spans="1:25"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row>
    <row r="990" spans="1:25"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row>
    <row r="991" spans="1:25"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row>
    <row r="992" spans="1:25"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row>
    <row r="993" spans="1:25"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row>
    <row r="994" spans="1:25"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row>
    <row r="995" spans="1:2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row>
    <row r="996" spans="1:25"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row>
    <row r="997" spans="1:25"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row>
    <row r="998" spans="1:25"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row>
    <row r="999" spans="1:25"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row>
    <row r="1000" spans="1:25"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row>
  </sheetData>
  <mergeCells count="1">
    <mergeCell ref="B2:O2"/>
  </mergeCells>
  <pageMargins left="0.19685039370078741" right="0" top="0.74803149606299213" bottom="0.74803149606299213" header="0.31496062992125984" footer="0.31496062992125984"/>
  <pageSetup scale="80" orientation="landscape" r:id="rId1"/>
  <extLst>
    <ext xmlns:x14="http://schemas.microsoft.com/office/spreadsheetml/2009/9/main" uri="{05C60535-1F16-4fd2-B633-F4F36F0B64E0}">
      <x14:sparklineGroups xmlns:xm="http://schemas.microsoft.com/office/excel/2006/main">
        <x14:sparklineGroup displayEmptyCellsAs="gap" xr2:uid="{00000000-0003-0000-0800-00001D000000}">
          <x14:colorSeries rgb="FF376092"/>
          <x14:sparklines>
            <x14:sparkline>
              <xm:f>'Ratio Analysis'!D5:L5</xm:f>
              <xm:sqref>M5</xm:sqref>
            </x14:sparkline>
          </x14:sparklines>
        </x14:sparklineGroup>
        <x14:sparklineGroup displayEmptyCellsAs="gap" xr2:uid="{00000000-0003-0000-0800-00001C000000}">
          <x14:colorSeries rgb="FF376092"/>
          <x14:sparklines>
            <x14:sparkline>
              <xm:f>'Ratio Analysis'!D6:L6</xm:f>
              <xm:sqref>M6</xm:sqref>
            </x14:sparkline>
          </x14:sparklines>
        </x14:sparklineGroup>
        <x14:sparklineGroup displayEmptyCellsAs="gap" xr2:uid="{00000000-0003-0000-0800-00001B000000}">
          <x14:colorSeries rgb="FF376092"/>
          <x14:sparklines>
            <x14:sparkline>
              <xm:f>'Ratio Analysis'!D7:L7</xm:f>
              <xm:sqref>M7</xm:sqref>
            </x14:sparkline>
          </x14:sparklines>
        </x14:sparklineGroup>
        <x14:sparklineGroup displayEmptyCellsAs="gap" xr2:uid="{00000000-0003-0000-0800-00001A000000}">
          <x14:colorSeries rgb="FF376092"/>
          <x14:sparklines>
            <x14:sparkline>
              <xm:f>'Ratio Analysis'!D8:L8</xm:f>
              <xm:sqref>M8</xm:sqref>
            </x14:sparkline>
          </x14:sparklines>
        </x14:sparklineGroup>
        <x14:sparklineGroup displayEmptyCellsAs="gap" xr2:uid="{00000000-0003-0000-0800-000019000000}">
          <x14:colorSeries rgb="FF376092"/>
          <x14:sparklines>
            <x14:sparkline>
              <xm:f>'Ratio Analysis'!D9:L9</xm:f>
              <xm:sqref>M9</xm:sqref>
            </x14:sparkline>
          </x14:sparklines>
        </x14:sparklineGroup>
        <x14:sparklineGroup displayEmptyCellsAs="gap" xr2:uid="{00000000-0003-0000-0800-000018000000}">
          <x14:colorSeries rgb="FF376092"/>
          <x14:sparklines>
            <x14:sparkline>
              <xm:f>'Ratio Analysis'!C11:L11</xm:f>
              <xm:sqref>M11</xm:sqref>
            </x14:sparkline>
          </x14:sparklines>
        </x14:sparklineGroup>
        <x14:sparklineGroup displayEmptyCellsAs="gap" xr2:uid="{00000000-0003-0000-0800-000017000000}">
          <x14:colorSeries rgb="FF376092"/>
          <x14:sparklines>
            <x14:sparkline>
              <xm:f>'Ratio Analysis'!C12:L12</xm:f>
              <xm:sqref>M12</xm:sqref>
            </x14:sparkline>
          </x14:sparklines>
        </x14:sparklineGroup>
        <x14:sparklineGroup displayEmptyCellsAs="gap" xr2:uid="{00000000-0003-0000-0800-000016000000}">
          <x14:colorSeries rgb="FF376092"/>
          <x14:sparklines>
            <x14:sparkline>
              <xm:f>'Ratio Analysis'!C13:L13</xm:f>
              <xm:sqref>M13</xm:sqref>
            </x14:sparkline>
          </x14:sparklines>
        </x14:sparklineGroup>
        <x14:sparklineGroup displayEmptyCellsAs="gap" xr2:uid="{00000000-0003-0000-0800-000015000000}">
          <x14:colorSeries rgb="FF376092"/>
          <x14:sparklines>
            <x14:sparkline>
              <xm:f>'Ratio Analysis'!C14:L14</xm:f>
              <xm:sqref>M14</xm:sqref>
            </x14:sparkline>
          </x14:sparklines>
        </x14:sparklineGroup>
        <x14:sparklineGroup displayEmptyCellsAs="gap" xr2:uid="{00000000-0003-0000-0800-000014000000}">
          <x14:colorSeries rgb="FF376092"/>
          <x14:sparklines>
            <x14:sparkline>
              <xm:f>'Ratio Analysis'!C15:L15</xm:f>
              <xm:sqref>M15</xm:sqref>
            </x14:sparkline>
          </x14:sparklines>
        </x14:sparklineGroup>
        <x14:sparklineGroup displayEmptyCellsAs="gap" xr2:uid="{00000000-0003-0000-0800-000013000000}">
          <x14:colorSeries rgb="FF376092"/>
          <x14:sparklines>
            <x14:sparkline>
              <xm:f>'Ratio Analysis'!C17:L17</xm:f>
              <xm:sqref>M17</xm:sqref>
            </x14:sparkline>
          </x14:sparklines>
        </x14:sparklineGroup>
        <x14:sparklineGroup displayEmptyCellsAs="gap" xr2:uid="{00000000-0003-0000-0800-000012000000}">
          <x14:colorSeries rgb="FF376092"/>
          <x14:sparklines>
            <x14:sparkline>
              <xm:f>'Ratio Analysis'!C18:L18</xm:f>
              <xm:sqref>M18</xm:sqref>
            </x14:sparkline>
          </x14:sparklines>
        </x14:sparklineGroup>
        <x14:sparklineGroup displayEmptyCellsAs="gap" xr2:uid="{00000000-0003-0000-0800-000011000000}">
          <x14:colorSeries rgb="FF376092"/>
          <x14:sparklines>
            <x14:sparkline>
              <xm:f>'Ratio Analysis'!C19:L19</xm:f>
              <xm:sqref>M19</xm:sqref>
            </x14:sparkline>
          </x14:sparklines>
        </x14:sparklineGroup>
        <x14:sparklineGroup displayEmptyCellsAs="gap" xr2:uid="{00000000-0003-0000-0800-000010000000}">
          <x14:colorSeries rgb="FF376092"/>
          <x14:sparklines>
            <x14:sparkline>
              <xm:f>'Ratio Analysis'!D21:L21</xm:f>
              <xm:sqref>M21</xm:sqref>
            </x14:sparkline>
          </x14:sparklines>
        </x14:sparklineGroup>
        <x14:sparklineGroup displayEmptyCellsAs="gap" xr2:uid="{00000000-0003-0000-0800-00000F000000}">
          <x14:colorSeries rgb="FF376092"/>
          <x14:sparklines>
            <x14:sparkline>
              <xm:f>'Ratio Analysis'!D22:L22</xm:f>
              <xm:sqref>M22</xm:sqref>
            </x14:sparkline>
          </x14:sparklines>
        </x14:sparklineGroup>
        <x14:sparklineGroup displayEmptyCellsAs="gap" xr2:uid="{00000000-0003-0000-0800-00000E000000}">
          <x14:colorSeries rgb="FF376092"/>
          <x14:sparklines>
            <x14:sparkline>
              <xm:f>'Ratio Analysis'!D23:L23</xm:f>
              <xm:sqref>M23</xm:sqref>
            </x14:sparkline>
          </x14:sparklines>
        </x14:sparklineGroup>
        <x14:sparklineGroup displayEmptyCellsAs="gap" xr2:uid="{00000000-0003-0000-0800-00000D000000}">
          <x14:colorSeries rgb="FF376092"/>
          <x14:sparklines>
            <x14:sparkline>
              <xm:f>'Ratio Analysis'!D24:L24</xm:f>
              <xm:sqref>M24</xm:sqref>
            </x14:sparkline>
          </x14:sparklines>
        </x14:sparklineGroup>
        <x14:sparklineGroup displayEmptyCellsAs="gap" xr2:uid="{00000000-0003-0000-0800-00000C000000}">
          <x14:colorSeries rgb="FF376092"/>
          <x14:sparklines>
            <x14:sparkline>
              <xm:f>'Ratio Analysis'!D25:L25</xm:f>
              <xm:sqref>M25</xm:sqref>
            </x14:sparkline>
          </x14:sparklines>
        </x14:sparklineGroup>
        <x14:sparklineGroup displayEmptyCellsAs="gap" xr2:uid="{00000000-0003-0000-0800-00000B000000}">
          <x14:colorSeries rgb="FF376092"/>
          <x14:sparklines>
            <x14:sparkline>
              <xm:f>'Ratio Analysis'!D27:L27</xm:f>
              <xm:sqref>M27</xm:sqref>
            </x14:sparkline>
          </x14:sparklines>
        </x14:sparklineGroup>
        <x14:sparklineGroup displayEmptyCellsAs="gap" xr2:uid="{00000000-0003-0000-0800-00000A000000}">
          <x14:colorSeries rgb="FF376092"/>
          <x14:sparklines>
            <x14:sparkline>
              <xm:f>'Ratio Analysis'!D28:L28</xm:f>
              <xm:sqref>M28</xm:sqref>
            </x14:sparkline>
          </x14:sparklines>
        </x14:sparklineGroup>
        <x14:sparklineGroup displayEmptyCellsAs="gap" xr2:uid="{00000000-0003-0000-0800-000009000000}">
          <x14:colorSeries rgb="FF376092"/>
          <x14:sparklines>
            <x14:sparkline>
              <xm:f>'Ratio Analysis'!D29:L29</xm:f>
              <xm:sqref>M29</xm:sqref>
            </x14:sparkline>
          </x14:sparklines>
        </x14:sparklineGroup>
        <x14:sparklineGroup displayEmptyCellsAs="gap" xr2:uid="{00000000-0003-0000-0800-000008000000}">
          <x14:colorSeries rgb="FF376092"/>
          <x14:sparklines>
            <x14:sparkline>
              <xm:f>'Ratio Analysis'!D30:L30</xm:f>
              <xm:sqref>M30</xm:sqref>
            </x14:sparkline>
          </x14:sparklines>
        </x14:sparklineGroup>
        <x14:sparklineGroup displayEmptyCellsAs="gap" xr2:uid="{00000000-0003-0000-0800-000007000000}">
          <x14:colorSeries rgb="FF376092"/>
          <x14:sparklines>
            <x14:sparkline>
              <xm:f>'Ratio Analysis'!D31:L31</xm:f>
              <xm:sqref>M31</xm:sqref>
            </x14:sparkline>
          </x14:sparklines>
        </x14:sparklineGroup>
        <x14:sparklineGroup displayEmptyCellsAs="gap" xr2:uid="{00000000-0003-0000-0800-000006000000}">
          <x14:colorSeries rgb="FF376092"/>
          <x14:sparklines>
            <x14:sparkline>
              <xm:f>'Ratio Analysis'!D33:L33</xm:f>
              <xm:sqref>M33</xm:sqref>
            </x14:sparkline>
          </x14:sparklines>
        </x14:sparklineGroup>
        <x14:sparklineGroup displayEmptyCellsAs="gap" xr2:uid="{00000000-0003-0000-0800-000005000000}">
          <x14:colorSeries rgb="FF376092"/>
          <x14:sparklines>
            <x14:sparkline>
              <xm:f>'Ratio Analysis'!D34:L34</xm:f>
              <xm:sqref>M34</xm:sqref>
            </x14:sparkline>
          </x14:sparklines>
        </x14:sparklineGroup>
        <x14:sparklineGroup displayEmptyCellsAs="gap" xr2:uid="{00000000-0003-0000-0800-000004000000}">
          <x14:colorSeries rgb="FF376092"/>
          <x14:sparklines>
            <x14:sparkline>
              <xm:f>'Ratio Analysis'!D35:L35</xm:f>
              <xm:sqref>M35</xm:sqref>
            </x14:sparkline>
          </x14:sparklines>
        </x14:sparklineGroup>
        <x14:sparklineGroup displayEmptyCellsAs="gap" xr2:uid="{00000000-0003-0000-0800-000003000000}">
          <x14:colorSeries rgb="FF376092"/>
          <x14:sparklines>
            <x14:sparkline>
              <xm:f>'Ratio Analysis'!D36:L36</xm:f>
              <xm:sqref>M36</xm:sqref>
            </x14:sparkline>
          </x14:sparklines>
        </x14:sparklineGroup>
        <x14:sparklineGroup displayEmptyCellsAs="gap" xr2:uid="{00000000-0003-0000-0800-000002000000}">
          <x14:colorSeries rgb="FF376092"/>
          <x14:sparklines>
            <x14:sparkline>
              <xm:f>'Ratio Analysis'!D38:L38</xm:f>
              <xm:sqref>M38</xm:sqref>
            </x14:sparkline>
          </x14:sparklines>
        </x14:sparklineGroup>
        <x14:sparklineGroup displayEmptyCellsAs="gap" xr2:uid="{00000000-0003-0000-0800-000001000000}">
          <x14:colorSeries rgb="FF376092"/>
          <x14:sparklines>
            <x14:sparkline>
              <xm:f>'Ratio Analysis'!D39:L39</xm:f>
              <xm:sqref>M39</xm:sqref>
            </x14:sparkline>
          </x14:sparklines>
        </x14:sparklineGroup>
        <x14:sparklineGroup displayEmptyCellsAs="gap" xr2:uid="{00000000-0003-0000-0800-000000000000}">
          <x14:colorSeries rgb="FF376092"/>
          <x14:sparklines>
            <x14:sparkline>
              <xm:f>'Ratio Analysis'!D40:L40</xm:f>
              <xm:sqref>M40</xm:sqref>
            </x14:sparkline>
          </x14:sparklines>
        </x14:sparklineGroup>
        <x14:sparklineGroup displayEmptyCellsAs="gap" xr2:uid="{D957ECF9-D752-4E5C-A8BF-498EE3323F5B}">
          <x14:colorSeries rgb="FF376092"/>
          <x14:sparklines>
            <x14:sparkline>
              <xm:f>'Ratio Analysis'!D42:L42</xm:f>
              <xm:sqref>M42</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2060"/>
    <outlinePr summaryBelow="0" summaryRight="0"/>
  </sheetPr>
  <dimension ref="A1:R985"/>
  <sheetViews>
    <sheetView topLeftCell="A37" zoomScale="70" zoomScaleNormal="70" workbookViewId="0">
      <selection activeCell="B65" sqref="B2:L65"/>
    </sheetView>
  </sheetViews>
  <sheetFormatPr defaultColWidth="14.42578125" defaultRowHeight="15" customHeight="1"/>
  <cols>
    <col min="1" max="1" width="2" customWidth="1"/>
    <col min="2" max="2" width="33" customWidth="1"/>
    <col min="3" max="3" width="11.140625" customWidth="1"/>
  </cols>
  <sheetData>
    <row r="1" spans="1:18">
      <c r="A1" s="132"/>
      <c r="B1" s="132"/>
      <c r="C1" s="132"/>
      <c r="D1" s="132"/>
      <c r="E1" s="132"/>
      <c r="F1" s="132"/>
      <c r="G1" s="132"/>
      <c r="H1" s="132"/>
      <c r="I1" s="132"/>
      <c r="J1" s="132"/>
      <c r="K1" s="132"/>
      <c r="L1" s="132"/>
      <c r="M1" s="132"/>
      <c r="N1" s="132"/>
      <c r="O1" s="132"/>
      <c r="P1" s="132"/>
      <c r="Q1" s="132"/>
      <c r="R1" s="132"/>
    </row>
    <row r="2" spans="1:18">
      <c r="A2" s="132"/>
      <c r="B2" s="422" t="str">
        <f>"Common Size Statement - "&amp; 'Data Sheet'!B1</f>
        <v>Common Size Statement - TATA POWER COMPANY LTD</v>
      </c>
      <c r="C2" s="423"/>
      <c r="D2" s="423"/>
      <c r="E2" s="423"/>
      <c r="F2" s="423"/>
      <c r="G2" s="423"/>
      <c r="H2" s="423"/>
      <c r="I2" s="423"/>
      <c r="J2" s="423"/>
      <c r="K2" s="423"/>
      <c r="L2" s="423"/>
      <c r="M2" s="133"/>
      <c r="N2" s="133"/>
      <c r="O2" s="133"/>
      <c r="P2" s="133"/>
      <c r="Q2" s="133"/>
      <c r="R2" s="133"/>
    </row>
    <row r="3" spans="1:18">
      <c r="A3" s="132"/>
      <c r="B3" s="134"/>
      <c r="C3" s="135"/>
      <c r="D3" s="135"/>
      <c r="E3" s="135"/>
      <c r="F3" s="135"/>
      <c r="G3" s="135"/>
      <c r="H3" s="135"/>
      <c r="I3" s="135"/>
      <c r="J3" s="135"/>
      <c r="K3" s="135"/>
      <c r="L3" s="135"/>
      <c r="M3" s="133"/>
      <c r="N3" s="133"/>
      <c r="O3" s="133"/>
      <c r="P3" s="133"/>
      <c r="Q3" s="133"/>
      <c r="R3" s="133"/>
    </row>
    <row r="4" spans="1:18">
      <c r="A4" s="132"/>
      <c r="B4" s="28" t="s">
        <v>268</v>
      </c>
      <c r="C4" s="58">
        <f>'Data Sheet'!B16</f>
        <v>42825</v>
      </c>
      <c r="D4" s="58">
        <f>'Data Sheet'!C16</f>
        <v>43190</v>
      </c>
      <c r="E4" s="58">
        <f>'Data Sheet'!D16</f>
        <v>43555</v>
      </c>
      <c r="F4" s="58">
        <f>'Data Sheet'!E16</f>
        <v>43921</v>
      </c>
      <c r="G4" s="58">
        <f>'Data Sheet'!F16</f>
        <v>44286</v>
      </c>
      <c r="H4" s="58">
        <f>'Data Sheet'!G16</f>
        <v>44651</v>
      </c>
      <c r="I4" s="58">
        <f>'Data Sheet'!H16</f>
        <v>45016</v>
      </c>
      <c r="J4" s="58">
        <f>'Data Sheet'!I16</f>
        <v>45382</v>
      </c>
      <c r="K4" s="58">
        <f>'Data Sheet'!J16</f>
        <v>45747</v>
      </c>
      <c r="L4" s="58">
        <f>'Data Sheet'!K16</f>
        <v>46112</v>
      </c>
      <c r="M4" s="133"/>
      <c r="N4" s="133"/>
      <c r="O4" s="133"/>
      <c r="P4" s="133"/>
      <c r="Q4" s="133"/>
      <c r="R4" s="133"/>
    </row>
    <row r="5" spans="1:18">
      <c r="A5" s="132"/>
      <c r="B5" s="132"/>
      <c r="C5" s="132"/>
      <c r="D5" s="132"/>
      <c r="E5" s="132"/>
      <c r="F5" s="132"/>
      <c r="G5" s="132"/>
      <c r="H5" s="132"/>
      <c r="I5" s="132"/>
      <c r="J5" s="132"/>
      <c r="K5" s="132"/>
      <c r="L5" s="132"/>
      <c r="M5" s="132"/>
      <c r="N5" s="132"/>
      <c r="O5" s="132"/>
      <c r="P5" s="132"/>
      <c r="Q5" s="132"/>
      <c r="R5" s="132"/>
    </row>
    <row r="6" spans="1:18">
      <c r="A6" s="132"/>
      <c r="B6" s="136" t="str">
        <f>'Data Sheet'!A17</f>
        <v>Sales</v>
      </c>
      <c r="C6" s="137">
        <f>'Data Sheet'!B17/'Data Sheet'!B$17</f>
        <v>1</v>
      </c>
      <c r="D6" s="137">
        <f>'Data Sheet'!C17/'Data Sheet'!C$17</f>
        <v>1</v>
      </c>
      <c r="E6" s="137">
        <f>'Data Sheet'!D17/'Data Sheet'!D$17</f>
        <v>1</v>
      </c>
      <c r="F6" s="137">
        <f>'Data Sheet'!E17/'Data Sheet'!E$17</f>
        <v>1</v>
      </c>
      <c r="G6" s="137">
        <f>'Data Sheet'!F17/'Data Sheet'!F$17</f>
        <v>1</v>
      </c>
      <c r="H6" s="137">
        <f>'Data Sheet'!G17/'Data Sheet'!G$17</f>
        <v>1</v>
      </c>
      <c r="I6" s="137">
        <f>'Data Sheet'!H17/'Data Sheet'!H$17</f>
        <v>1</v>
      </c>
      <c r="J6" s="137">
        <f>'Data Sheet'!I17/'Data Sheet'!I$17</f>
        <v>1</v>
      </c>
      <c r="K6" s="137">
        <f>'Data Sheet'!J17/'Data Sheet'!J$17</f>
        <v>1</v>
      </c>
      <c r="L6" s="137">
        <f>'Data Sheet'!K17/'Data Sheet'!K$17</f>
        <v>1</v>
      </c>
      <c r="M6" s="132"/>
      <c r="N6" s="132"/>
      <c r="O6" s="132"/>
      <c r="P6" s="132"/>
      <c r="Q6" s="132"/>
      <c r="R6" s="132"/>
    </row>
    <row r="7" spans="1:18">
      <c r="A7" s="132"/>
      <c r="B7" s="136" t="str">
        <f>'Data Sheet'!A18</f>
        <v>Raw Material Cost</v>
      </c>
      <c r="C7" s="139">
        <f>'Data Sheet'!B18/'Data Sheet'!B$17</f>
        <v>0</v>
      </c>
      <c r="D7" s="139">
        <f>'Data Sheet'!C18/'Data Sheet'!C$17</f>
        <v>0</v>
      </c>
      <c r="E7" s="139">
        <f>'Data Sheet'!D18/'Data Sheet'!D$17</f>
        <v>0</v>
      </c>
      <c r="F7" s="139">
        <f>'Data Sheet'!E18/'Data Sheet'!E$17</f>
        <v>0</v>
      </c>
      <c r="G7" s="139">
        <f>'Data Sheet'!F18/'Data Sheet'!F$17</f>
        <v>0</v>
      </c>
      <c r="H7" s="139">
        <f>'Data Sheet'!G18/'Data Sheet'!G$17</f>
        <v>0</v>
      </c>
      <c r="I7" s="139">
        <f>'Data Sheet'!H18/'Data Sheet'!H$17</f>
        <v>0</v>
      </c>
      <c r="J7" s="139">
        <f>'Data Sheet'!I18/'Data Sheet'!I$17</f>
        <v>0</v>
      </c>
      <c r="K7" s="139">
        <f>'Data Sheet'!J18/'Data Sheet'!J$17</f>
        <v>0</v>
      </c>
      <c r="L7" s="139">
        <f>'Data Sheet'!K18/'Data Sheet'!K$17</f>
        <v>0</v>
      </c>
      <c r="M7" s="132"/>
      <c r="N7" s="132"/>
      <c r="O7" s="132"/>
      <c r="P7" s="132"/>
      <c r="Q7" s="132"/>
      <c r="R7" s="132"/>
    </row>
    <row r="8" spans="1:18">
      <c r="A8" s="132"/>
      <c r="B8" s="136" t="str">
        <f>'Data Sheet'!A19</f>
        <v>Change in Inventory</v>
      </c>
      <c r="C8" s="138">
        <f>'Data Sheet'!B19/'Data Sheet'!B$17</f>
        <v>-1.0272734950751406E-3</v>
      </c>
      <c r="D8" s="138">
        <f>'Data Sheet'!C19/'Data Sheet'!C$17</f>
        <v>3.1706089394778817E-4</v>
      </c>
      <c r="E8" s="138">
        <f>'Data Sheet'!D19/'Data Sheet'!D$17</f>
        <v>-8.1556678377540828E-4</v>
      </c>
      <c r="F8" s="138">
        <f>'Data Sheet'!E19/'Data Sheet'!E$17</f>
        <v>5.367861542120724E-4</v>
      </c>
      <c r="G8" s="138">
        <f>'Data Sheet'!F19/'Data Sheet'!F$17</f>
        <v>-1.253695726823982E-5</v>
      </c>
      <c r="H8" s="138">
        <f>'Data Sheet'!G19/'Data Sheet'!G$17</f>
        <v>4.6529693451019217E-3</v>
      </c>
      <c r="I8" s="138">
        <f>'Data Sheet'!H19/'Data Sheet'!H$17</f>
        <v>-7.8988798216192326E-4</v>
      </c>
      <c r="J8" s="138">
        <f>'Data Sheet'!I19/'Data Sheet'!I$17</f>
        <v>8.4265137374306127E-4</v>
      </c>
      <c r="K8" s="138">
        <f>'Data Sheet'!J19/'Data Sheet'!J$17</f>
        <v>6.7313965677757983E-3</v>
      </c>
      <c r="L8" s="138">
        <f>'Data Sheet'!K19/'Data Sheet'!K$17</f>
        <v>1.3472993703686083E-3</v>
      </c>
      <c r="M8" s="132"/>
      <c r="N8" s="132"/>
      <c r="O8" s="132"/>
      <c r="P8" s="132"/>
      <c r="Q8" s="132"/>
      <c r="R8" s="132"/>
    </row>
    <row r="9" spans="1:18">
      <c r="A9" s="132"/>
      <c r="B9" s="136" t="str">
        <f>'Data Sheet'!A20</f>
        <v>Power and Fuel</v>
      </c>
      <c r="C9" s="138">
        <f>'Data Sheet'!B20/'Data Sheet'!B$17</f>
        <v>0.64960549290459946</v>
      </c>
      <c r="D9" s="138">
        <f>'Data Sheet'!C20/'Data Sheet'!C$17</f>
        <v>0.60938843014619448</v>
      </c>
      <c r="E9" s="138">
        <f>'Data Sheet'!D20/'Data Sheet'!D$17</f>
        <v>0.6331401898058503</v>
      </c>
      <c r="F9" s="138">
        <f>'Data Sheet'!E20/'Data Sheet'!E$17</f>
        <v>0.58689637727692223</v>
      </c>
      <c r="G9" s="138">
        <f>'Data Sheet'!F20/'Data Sheet'!F$17</f>
        <v>0.61270739873119884</v>
      </c>
      <c r="H9" s="138">
        <f>'Data Sheet'!G20/'Data Sheet'!G$17</f>
        <v>0.62510688259695579</v>
      </c>
      <c r="I9" s="138">
        <f>'Data Sheet'!H20/'Data Sheet'!H$17</f>
        <v>0.66610729121226475</v>
      </c>
      <c r="J9" s="138">
        <f>'Data Sheet'!I20/'Data Sheet'!I$17</f>
        <v>0.64419037606857077</v>
      </c>
      <c r="K9" s="138">
        <f>'Data Sheet'!J20/'Data Sheet'!J$17</f>
        <v>0.60116979320152775</v>
      </c>
      <c r="L9" s="138">
        <f>'Data Sheet'!K20/'Data Sheet'!K$17</f>
        <v>0.57287918884600797</v>
      </c>
      <c r="M9" s="132"/>
      <c r="N9" s="132"/>
      <c r="O9" s="132"/>
      <c r="P9" s="132"/>
      <c r="Q9" s="132"/>
      <c r="R9" s="132"/>
    </row>
    <row r="10" spans="1:18">
      <c r="A10" s="132"/>
      <c r="B10" s="136" t="str">
        <f>'Data Sheet'!A21</f>
        <v>Other Mfr. Exp</v>
      </c>
      <c r="C10" s="138">
        <f>'Data Sheet'!B21/'Data Sheet'!B$17</f>
        <v>6.2374060220555694E-2</v>
      </c>
      <c r="D10" s="138">
        <f>'Data Sheet'!C21/'Data Sheet'!C$17</f>
        <v>7.6067789183938916E-2</v>
      </c>
      <c r="E10" s="138">
        <f>'Data Sheet'!D21/'Data Sheet'!D$17</f>
        <v>6.8809473291777459E-2</v>
      </c>
      <c r="F10" s="138">
        <f>'Data Sheet'!E21/'Data Sheet'!E$17</f>
        <v>6.9112246995765098E-2</v>
      </c>
      <c r="G10" s="138">
        <f>'Data Sheet'!F21/'Data Sheet'!F$17</f>
        <v>7.7467082078236105E-2</v>
      </c>
      <c r="H10" s="138">
        <f>'Data Sheet'!G21/'Data Sheet'!G$17</f>
        <v>9.2090816282916974E-2</v>
      </c>
      <c r="I10" s="138">
        <f>'Data Sheet'!H21/'Data Sheet'!H$17</f>
        <v>9.0859981694486641E-2</v>
      </c>
      <c r="J10" s="138">
        <f>'Data Sheet'!I21/'Data Sheet'!I$17</f>
        <v>8.5807394436678286E-2</v>
      </c>
      <c r="K10" s="138">
        <f>'Data Sheet'!J21/'Data Sheet'!J$17</f>
        <v>9.6309705331114576E-2</v>
      </c>
      <c r="L10" s="138">
        <f>'Data Sheet'!K21/'Data Sheet'!K$17</f>
        <v>0.1080118900651128</v>
      </c>
      <c r="M10" s="132"/>
      <c r="N10" s="132"/>
      <c r="O10" s="132"/>
      <c r="P10" s="132"/>
      <c r="Q10" s="132"/>
      <c r="R10" s="132"/>
    </row>
    <row r="11" spans="1:18">
      <c r="A11" s="132"/>
      <c r="B11" s="136" t="str">
        <f>'Data Sheet'!A22</f>
        <v>Employee Cost</v>
      </c>
      <c r="C11" s="138">
        <f>'Data Sheet'!B22/'Data Sheet'!B$17</f>
        <v>4.8678409386249399E-2</v>
      </c>
      <c r="D11" s="138">
        <f>'Data Sheet'!C22/'Data Sheet'!C$17</f>
        <v>5.4954737787660107E-2</v>
      </c>
      <c r="E11" s="138">
        <f>'Data Sheet'!D22/'Data Sheet'!D$17</f>
        <v>5.0118703954946706E-2</v>
      </c>
      <c r="F11" s="138">
        <f>'Data Sheet'!E22/'Data Sheet'!E$17</f>
        <v>5.2890940086222131E-2</v>
      </c>
      <c r="G11" s="138">
        <f>'Data Sheet'!F22/'Data Sheet'!F$17</f>
        <v>7.3822496866525117E-2</v>
      </c>
      <c r="H11" s="138">
        <f>'Data Sheet'!G22/'Data Sheet'!G$17</f>
        <v>8.7147766226710929E-2</v>
      </c>
      <c r="I11" s="138">
        <f>'Data Sheet'!H22/'Data Sheet'!H$17</f>
        <v>6.8979558359529861E-2</v>
      </c>
      <c r="J11" s="138">
        <f>'Data Sheet'!I22/'Data Sheet'!I$17</f>
        <v>6.9407100859413262E-2</v>
      </c>
      <c r="K11" s="138">
        <f>'Data Sheet'!J22/'Data Sheet'!J$17</f>
        <v>7.1004504702630977E-2</v>
      </c>
      <c r="L11" s="138">
        <f>'Data Sheet'!K22/'Data Sheet'!K$17</f>
        <v>8.1692538626933597E-2</v>
      </c>
      <c r="M11" s="132"/>
      <c r="N11" s="132"/>
      <c r="O11" s="132"/>
      <c r="P11" s="132"/>
      <c r="Q11" s="132"/>
      <c r="R11" s="132"/>
    </row>
    <row r="12" spans="1:18">
      <c r="A12" s="132"/>
      <c r="B12" s="136" t="str">
        <f>'Data Sheet'!A23</f>
        <v>Selling and admin</v>
      </c>
      <c r="C12" s="138">
        <f>'Data Sheet'!B23/'Data Sheet'!B$17</f>
        <v>1.7467636716364133E-2</v>
      </c>
      <c r="D12" s="138">
        <f>'Data Sheet'!C23/'Data Sheet'!C$17</f>
        <v>1.9067617427097415E-2</v>
      </c>
      <c r="E12" s="138">
        <f>'Data Sheet'!D23/'Data Sheet'!D$17</f>
        <v>1.5608214701888085E-2</v>
      </c>
      <c r="F12" s="138">
        <f>'Data Sheet'!E23/'Data Sheet'!E$17</f>
        <v>1.3780371405223094E-2</v>
      </c>
      <c r="G12" s="138">
        <f>'Data Sheet'!F23/'Data Sheet'!F$17</f>
        <v>1.6021008271028224E-2</v>
      </c>
      <c r="H12" s="138">
        <f>'Data Sheet'!G23/'Data Sheet'!G$17</f>
        <v>1.7063378898426677E-2</v>
      </c>
      <c r="I12" s="138">
        <f>'Data Sheet'!H23/'Data Sheet'!H$17</f>
        <v>1.8443603123115101E-2</v>
      </c>
      <c r="J12" s="138">
        <f>'Data Sheet'!I23/'Data Sheet'!I$17</f>
        <v>1.656628515726075E-2</v>
      </c>
      <c r="K12" s="138">
        <f>'Data Sheet'!J23/'Data Sheet'!J$17</f>
        <v>1.6114971935714827E-2</v>
      </c>
      <c r="L12" s="138">
        <f>'Data Sheet'!K23/'Data Sheet'!K$17</f>
        <v>1.9436126941197934E-2</v>
      </c>
      <c r="M12" s="132"/>
      <c r="N12" s="132"/>
      <c r="O12" s="132"/>
      <c r="P12" s="132"/>
      <c r="Q12" s="132"/>
      <c r="R12" s="132"/>
    </row>
    <row r="13" spans="1:18">
      <c r="A13" s="132"/>
      <c r="B13" s="136" t="str">
        <f>'Data Sheet'!A24</f>
        <v>Other Expenses</v>
      </c>
      <c r="C13" s="138">
        <f>'Data Sheet'!B24/'Data Sheet'!B$17</f>
        <v>2.2451036861139376E-2</v>
      </c>
      <c r="D13" s="138">
        <f>'Data Sheet'!C24/'Data Sheet'!C$17</f>
        <v>5.4284848848390868E-2</v>
      </c>
      <c r="E13" s="138">
        <f>'Data Sheet'!D24/'Data Sheet'!D$17</f>
        <v>1.6254108789982683E-2</v>
      </c>
      <c r="F13" s="138">
        <f>'Data Sheet'!E24/'Data Sheet'!E$17</f>
        <v>4.4297556627678744E-2</v>
      </c>
      <c r="G13" s="138">
        <f>'Data Sheet'!F24/'Data Sheet'!F$17</f>
        <v>8.3425806133996822E-3</v>
      </c>
      <c r="H13" s="138">
        <f>'Data Sheet'!G24/'Data Sheet'!G$17</f>
        <v>1.9031116411351266E-2</v>
      </c>
      <c r="I13" s="138">
        <f>'Data Sheet'!H24/'Data Sheet'!H$17</f>
        <v>1.4593057986088681E-2</v>
      </c>
      <c r="J13" s="138">
        <f>'Data Sheet'!I24/'Data Sheet'!I$17</f>
        <v>1.0168937116856444E-2</v>
      </c>
      <c r="K13" s="138">
        <f>'Data Sheet'!J24/'Data Sheet'!J$17</f>
        <v>3.633649896515239E-2</v>
      </c>
      <c r="L13" s="138">
        <f>'Data Sheet'!K24/'Data Sheet'!K$17</f>
        <v>6.7443458197598257E-3</v>
      </c>
      <c r="M13" s="132"/>
      <c r="N13" s="132"/>
      <c r="O13" s="132"/>
      <c r="P13" s="132"/>
      <c r="Q13" s="132"/>
      <c r="R13" s="132"/>
    </row>
    <row r="14" spans="1:18">
      <c r="A14" s="132"/>
      <c r="B14" s="136" t="str">
        <f>'Data Sheet'!A25</f>
        <v>Other Income</v>
      </c>
      <c r="C14" s="138">
        <f>'Data Sheet'!B25/'Data Sheet'!B$17</f>
        <v>4.7027304668512175E-2</v>
      </c>
      <c r="D14" s="138">
        <f>'Data Sheet'!C25/'Data Sheet'!C$17</f>
        <v>0.14431002370691504</v>
      </c>
      <c r="E14" s="138">
        <f>'Data Sheet'!D25/'Data Sheet'!D$17</f>
        <v>0.12798642350706432</v>
      </c>
      <c r="F14" s="138">
        <f>'Data Sheet'!E25/'Data Sheet'!E$17</f>
        <v>7.8257861222932032E-2</v>
      </c>
      <c r="G14" s="138">
        <f>'Data Sheet'!F25/'Data Sheet'!F$17</f>
        <v>5.4274628470329149E-2</v>
      </c>
      <c r="H14" s="138">
        <f>'Data Sheet'!G25/'Data Sheet'!G$17</f>
        <v>5.805117612313436E-2</v>
      </c>
      <c r="I14" s="138">
        <f>'Data Sheet'!H25/'Data Sheet'!H$17</f>
        <v>0.10052953161257637</v>
      </c>
      <c r="J14" s="138">
        <f>'Data Sheet'!I25/'Data Sheet'!I$17</f>
        <v>5.5596275930081741E-2</v>
      </c>
      <c r="K14" s="138">
        <f>'Data Sheet'!J25/'Data Sheet'!J$17</f>
        <v>4.5409436783884233E-2</v>
      </c>
      <c r="L14" s="138">
        <f>'Data Sheet'!K25/'Data Sheet'!K$17</f>
        <v>5.4984423002345559E-2</v>
      </c>
      <c r="M14" s="132"/>
      <c r="N14" s="132"/>
      <c r="O14" s="132"/>
      <c r="P14" s="132"/>
      <c r="Q14" s="132"/>
      <c r="R14" s="132"/>
    </row>
    <row r="15" spans="1:18">
      <c r="A15" s="132"/>
      <c r="B15" s="136" t="str">
        <f>'Data Sheet'!A26</f>
        <v>Depreciation</v>
      </c>
      <c r="C15" s="138">
        <f>'Data Sheet'!B26/'Data Sheet'!B$17</f>
        <v>7.088658342392358E-2</v>
      </c>
      <c r="D15" s="138">
        <f>'Data Sheet'!C26/'Data Sheet'!C$17</f>
        <v>8.7412309935779337E-2</v>
      </c>
      <c r="E15" s="138">
        <f>'Data Sheet'!D26/'Data Sheet'!D$17</f>
        <v>8.0088524302685385E-2</v>
      </c>
      <c r="F15" s="138">
        <f>'Data Sheet'!E26/'Data Sheet'!E$17</f>
        <v>9.0387374954395486E-2</v>
      </c>
      <c r="G15" s="138">
        <f>'Data Sheet'!F26/'Data Sheet'!F$17</f>
        <v>8.3934623131420028E-2</v>
      </c>
      <c r="H15" s="138">
        <f>'Data Sheet'!G26/'Data Sheet'!G$17</f>
        <v>7.2921899855823813E-2</v>
      </c>
      <c r="I15" s="138">
        <f>'Data Sheet'!H26/'Data Sheet'!H$17</f>
        <v>6.2407138714709078E-2</v>
      </c>
      <c r="J15" s="138">
        <f>'Data Sheet'!I26/'Data Sheet'!I$17</f>
        <v>6.1618190073378036E-2</v>
      </c>
      <c r="K15" s="138">
        <f>'Data Sheet'!J26/'Data Sheet'!J$17</f>
        <v>6.2873711938500484E-2</v>
      </c>
      <c r="L15" s="138">
        <f>'Data Sheet'!K26/'Data Sheet'!K$17</f>
        <v>7.7065491948480669E-2</v>
      </c>
      <c r="M15" s="132"/>
      <c r="N15" s="132"/>
      <c r="O15" s="132"/>
      <c r="P15" s="132"/>
      <c r="Q15" s="132"/>
      <c r="R15" s="132"/>
    </row>
    <row r="16" spans="1:18">
      <c r="A16" s="132"/>
      <c r="B16" s="136" t="str">
        <f>'Data Sheet'!A27</f>
        <v>Interest</v>
      </c>
      <c r="C16" s="138">
        <f>'Data Sheet'!B27/'Data Sheet'!B$17</f>
        <v>0.12197368454439116</v>
      </c>
      <c r="D16" s="138">
        <f>'Data Sheet'!C27/'Data Sheet'!C$17</f>
        <v>0.14014315057188323</v>
      </c>
      <c r="E16" s="138">
        <f>'Data Sheet'!D27/'Data Sheet'!D$17</f>
        <v>0.139553282246346</v>
      </c>
      <c r="F16" s="138">
        <f>'Data Sheet'!E27/'Data Sheet'!E$17</f>
        <v>0.15423094915392685</v>
      </c>
      <c r="G16" s="138">
        <f>'Data Sheet'!F27/'Data Sheet'!F$17</f>
        <v>0.12262948307067388</v>
      </c>
      <c r="H16" s="138">
        <f>'Data Sheet'!G27/'Data Sheet'!G$17</f>
        <v>9.013101978784871E-2</v>
      </c>
      <c r="I16" s="138">
        <f>'Data Sheet'!H27/'Data Sheet'!H$17</f>
        <v>7.9327217946661407E-2</v>
      </c>
      <c r="J16" s="138">
        <f>'Data Sheet'!I27/'Data Sheet'!I$17</f>
        <v>7.5399559634102484E-2</v>
      </c>
      <c r="K16" s="138">
        <f>'Data Sheet'!J27/'Data Sheet'!J$17</f>
        <v>7.1816835638832066E-2</v>
      </c>
      <c r="L16" s="138">
        <f>'Data Sheet'!K27/'Data Sheet'!K$17</f>
        <v>8.4204849092378992E-2</v>
      </c>
      <c r="M16" s="132"/>
      <c r="N16" s="132"/>
      <c r="O16" s="132"/>
      <c r="P16" s="132"/>
      <c r="Q16" s="132"/>
      <c r="R16" s="132"/>
    </row>
    <row r="17" spans="1:18">
      <c r="A17" s="132"/>
      <c r="B17" s="136" t="str">
        <f>'Data Sheet'!A28</f>
        <v>Profit before tax</v>
      </c>
      <c r="C17" s="138">
        <f>'Data Sheet'!B28/'Data Sheet'!B$17</f>
        <v>5.2563127116214206E-2</v>
      </c>
      <c r="D17" s="138">
        <f>'Data Sheet'!C28/'Data Sheet'!C$17</f>
        <v>0.10330820069991845</v>
      </c>
      <c r="E17" s="138">
        <f>'Data Sheet'!D28/'Data Sheet'!D$17</f>
        <v>0.12359835962981232</v>
      </c>
      <c r="F17" s="138">
        <f>'Data Sheet'!E28/'Data Sheet'!E$17</f>
        <v>6.7198830877010424E-2</v>
      </c>
      <c r="G17" s="138">
        <f>'Data Sheet'!F28/'Data Sheet'!F$17</f>
        <v>5.9337418750579067E-2</v>
      </c>
      <c r="H17" s="138">
        <f>'Data Sheet'!G28/'Data Sheet'!G$17</f>
        <v>5.9211265408202186E-2</v>
      </c>
      <c r="I17" s="138">
        <f>'Data Sheet'!H28/'Data Sheet'!H$17</f>
        <v>9.902179459355881E-2</v>
      </c>
      <c r="J17" s="138">
        <f>'Data Sheet'!I28/'Data Sheet'!I$17</f>
        <v>9.328108395756475E-2</v>
      </c>
      <c r="K17" s="138">
        <f>'Data Sheet'!J28/'Data Sheet'!J$17</f>
        <v>9.6514811638186981E-2</v>
      </c>
      <c r="L17" s="138">
        <f>'Data Sheet'!K28/'Data Sheet'!K$17</f>
        <v>0.10629729103284248</v>
      </c>
      <c r="M17" s="132"/>
      <c r="N17" s="132"/>
      <c r="O17" s="132"/>
      <c r="P17" s="132"/>
      <c r="Q17" s="132"/>
      <c r="R17" s="132"/>
    </row>
    <row r="18" spans="1:18">
      <c r="A18" s="132"/>
      <c r="B18" s="136" t="str">
        <f>'Data Sheet'!A29</f>
        <v>Tax</v>
      </c>
      <c r="C18" s="138">
        <f>'Data Sheet'!B29/'Data Sheet'!B$17</f>
        <v>1.2703538076359695E-2</v>
      </c>
      <c r="D18" s="138">
        <f>'Data Sheet'!C29/'Data Sheet'!C$17</f>
        <v>6.0345890708252935E-3</v>
      </c>
      <c r="E18" s="138">
        <f>'Data Sheet'!D29/'Data Sheet'!D$17</f>
        <v>3.6397303174653103E-2</v>
      </c>
      <c r="F18" s="138">
        <f>'Data Sheet'!E29/'Data Sheet'!E$17</f>
        <v>2.2016812664034678E-2</v>
      </c>
      <c r="G18" s="138">
        <f>'Data Sheet'!F29/'Data Sheet'!F$17</f>
        <v>1.5346458814107808E-2</v>
      </c>
      <c r="H18" s="138">
        <f>'Data Sheet'!G29/'Data Sheet'!G$17</f>
        <v>8.8649786398297629E-3</v>
      </c>
      <c r="I18" s="138">
        <f>'Data Sheet'!H29/'Data Sheet'!H$17</f>
        <v>2.9892170219499217E-2</v>
      </c>
      <c r="J18" s="138">
        <f>'Data Sheet'!I29/'Data Sheet'!I$17</f>
        <v>2.3628087728177396E-2</v>
      </c>
      <c r="K18" s="138">
        <f>'Data Sheet'!J29/'Data Sheet'!J$17</f>
        <v>2.3584170863480754E-2</v>
      </c>
      <c r="L18" s="138">
        <f>'Data Sheet'!K29/'Data Sheet'!K$17</f>
        <v>2.432267010996084E-2</v>
      </c>
      <c r="M18" s="132"/>
      <c r="N18" s="132"/>
      <c r="O18" s="132"/>
      <c r="P18" s="132"/>
      <c r="Q18" s="132"/>
      <c r="R18" s="132"/>
    </row>
    <row r="19" spans="1:18">
      <c r="A19" s="132"/>
      <c r="B19" s="136" t="str">
        <f>'Data Sheet'!A30</f>
        <v>Net profit</v>
      </c>
      <c r="C19" s="138">
        <f>'Data Sheet'!B30/'Data Sheet'!B$17</f>
        <v>3.2498308116076825E-2</v>
      </c>
      <c r="D19" s="138">
        <f>'Data Sheet'!C30/'Data Sheet'!C$17</f>
        <v>8.972711526374362E-2</v>
      </c>
      <c r="E19" s="138">
        <f>'Data Sheet'!D30/'Data Sheet'!D$17</f>
        <v>7.8852289711275295E-2</v>
      </c>
      <c r="F19" s="138">
        <f>'Data Sheet'!E30/'Data Sheet'!E$17</f>
        <v>3.4917870688764591E-2</v>
      </c>
      <c r="G19" s="138">
        <f>'Data Sheet'!F30/'Data Sheet'!F$17</f>
        <v>3.4472963134312709E-2</v>
      </c>
      <c r="H19" s="138">
        <f>'Data Sheet'!G30/'Data Sheet'!G$17</f>
        <v>4.0673426341337179E-2</v>
      </c>
      <c r="I19" s="138">
        <f>'Data Sheet'!H30/'Data Sheet'!H$17</f>
        <v>6.0542473218569426E-2</v>
      </c>
      <c r="J19" s="138">
        <f>'Data Sheet'!I30/'Data Sheet'!I$17</f>
        <v>6.0151605643062774E-2</v>
      </c>
      <c r="K19" s="138">
        <f>'Data Sheet'!J30/'Data Sheet'!J$17</f>
        <v>6.0646101666752196E-2</v>
      </c>
      <c r="L19" s="138">
        <f>'Data Sheet'!K30/'Data Sheet'!K$17</f>
        <v>6.0023620587938961E-2</v>
      </c>
      <c r="M19" s="132"/>
      <c r="N19" s="132"/>
      <c r="O19" s="132"/>
      <c r="P19" s="132"/>
      <c r="Q19" s="132"/>
      <c r="R19" s="132"/>
    </row>
    <row r="20" spans="1:18">
      <c r="A20" s="132"/>
      <c r="B20" s="136" t="str">
        <f>'Data Sheet'!A31</f>
        <v>Dividend Amount</v>
      </c>
      <c r="C20" s="138">
        <f>'Data Sheet'!B31/'Data Sheet'!B$17</f>
        <v>1.2746673413661721E-2</v>
      </c>
      <c r="D20" s="138">
        <f>'Data Sheet'!C31/'Data Sheet'!C$17</f>
        <v>1.3101582063071644E-2</v>
      </c>
      <c r="E20" s="138">
        <f>'Data Sheet'!D31/'Data Sheet'!D$17</f>
        <v>1.1768324149143302E-2</v>
      </c>
      <c r="F20" s="138">
        <f>'Data Sheet'!E31/'Data Sheet'!E$17</f>
        <v>1.439026206764947E-2</v>
      </c>
      <c r="G20" s="138">
        <f>'Data Sheet'!F31/'Data Sheet'!F$17</f>
        <v>1.5145867497815969E-2</v>
      </c>
      <c r="H20" s="138">
        <f>'Data Sheet'!G31/'Data Sheet'!G$17</f>
        <v>1.3061339458193695E-2</v>
      </c>
      <c r="I20" s="138">
        <f>'Data Sheet'!H31/'Data Sheet'!H$17</f>
        <v>1.1597362902810208E-2</v>
      </c>
      <c r="J20" s="138">
        <f>'Data Sheet'!I31/'Data Sheet'!I$17</f>
        <v>1.0400837118321076E-2</v>
      </c>
      <c r="K20" s="138">
        <f>'Data Sheet'!J31/'Data Sheet'!J$17</f>
        <v>1.0980899914231049E-2</v>
      </c>
      <c r="L20" s="138">
        <f>'Data Sheet'!K31/'Data Sheet'!K$17</f>
        <v>1.2797021364730488E-2</v>
      </c>
      <c r="M20" s="132"/>
      <c r="N20" s="132"/>
      <c r="O20" s="132"/>
      <c r="P20" s="132"/>
      <c r="Q20" s="132"/>
      <c r="R20" s="132"/>
    </row>
    <row r="21" spans="1:18">
      <c r="A21" s="132"/>
      <c r="B21" s="132"/>
      <c r="C21" s="132"/>
      <c r="D21" s="132"/>
      <c r="E21" s="132"/>
      <c r="F21" s="132"/>
      <c r="G21" s="132"/>
      <c r="H21" s="132"/>
      <c r="I21" s="132"/>
      <c r="J21" s="132"/>
      <c r="K21" s="132"/>
      <c r="L21" s="132"/>
      <c r="M21" s="132"/>
      <c r="N21" s="132"/>
      <c r="O21" s="132"/>
      <c r="P21" s="132"/>
      <c r="Q21" s="132"/>
      <c r="R21" s="132"/>
    </row>
    <row r="22" spans="1:18">
      <c r="A22" s="132"/>
      <c r="B22" s="132"/>
      <c r="C22" s="132"/>
      <c r="D22" s="132"/>
      <c r="E22" s="132"/>
      <c r="F22" s="132"/>
      <c r="G22" s="132"/>
      <c r="H22" s="132"/>
      <c r="I22" s="132"/>
      <c r="J22" s="132"/>
      <c r="K22" s="132"/>
      <c r="L22" s="132"/>
      <c r="M22" s="132"/>
      <c r="N22" s="132"/>
      <c r="O22" s="132"/>
      <c r="P22" s="132"/>
      <c r="Q22" s="132"/>
      <c r="R22" s="132"/>
    </row>
    <row r="23" spans="1:18">
      <c r="A23" s="132"/>
      <c r="B23" s="422" t="str">
        <f>"Common Size Balance Sheet - "&amp; 'Data Sheet'!$B$1</f>
        <v>Common Size Balance Sheet - TATA POWER COMPANY LTD</v>
      </c>
      <c r="C23" s="423"/>
      <c r="D23" s="423"/>
      <c r="E23" s="423"/>
      <c r="F23" s="423"/>
      <c r="G23" s="423"/>
      <c r="H23" s="423"/>
      <c r="I23" s="423"/>
      <c r="J23" s="423"/>
      <c r="K23" s="423"/>
      <c r="L23" s="423"/>
      <c r="M23" s="132"/>
      <c r="N23" s="132"/>
      <c r="O23" s="132"/>
      <c r="P23" s="132"/>
      <c r="Q23" s="132"/>
      <c r="R23" s="132"/>
    </row>
    <row r="24" spans="1:18">
      <c r="A24" s="132"/>
      <c r="B24" s="132"/>
      <c r="C24" s="132"/>
      <c r="D24" s="132"/>
      <c r="E24" s="132"/>
      <c r="F24" s="132"/>
      <c r="G24" s="132"/>
      <c r="H24" s="132"/>
      <c r="I24" s="132"/>
      <c r="J24" s="132"/>
      <c r="K24" s="132"/>
      <c r="L24" s="132"/>
      <c r="M24" s="132"/>
      <c r="N24" s="132"/>
      <c r="O24" s="132"/>
      <c r="P24" s="132"/>
      <c r="Q24" s="132"/>
      <c r="R24" s="132"/>
    </row>
    <row r="25" spans="1:18">
      <c r="A25" s="132"/>
      <c r="B25" s="88" t="s">
        <v>533</v>
      </c>
      <c r="C25" s="194">
        <f>'Historical Financial Statements'!C58/'Historical Financial Statements'!C$71</f>
        <v>3.2597278730879279E-3</v>
      </c>
      <c r="D25" s="194">
        <f>'Historical Financial Statements'!D58/'Historical Financial Statements'!D$71</f>
        <v>3.2970656116056711E-3</v>
      </c>
      <c r="E25" s="194">
        <f>'Historical Financial Statements'!E58/'Historical Financial Statements'!E$71</f>
        <v>3.211494772400176E-3</v>
      </c>
      <c r="F25" s="194">
        <f>'Historical Financial Statements'!F58/'Historical Financial Statements'!F$71</f>
        <v>3.0109061712425005E-3</v>
      </c>
      <c r="G25" s="194">
        <f>'Historical Financial Statements'!G58/'Historical Financial Statements'!G$71</f>
        <v>3.2436267801936041E-3</v>
      </c>
      <c r="H25" s="194">
        <f>'Historical Financial Statements'!H58/'Historical Financial Statements'!H$71</f>
        <v>2.8431555472630187E-3</v>
      </c>
      <c r="I25" s="194">
        <f>'Historical Financial Statements'!I58/'Historical Financial Statements'!I$71</f>
        <v>2.4981069033622959E-3</v>
      </c>
      <c r="J25" s="194">
        <f>'Historical Financial Statements'!J58/'Historical Financial Statements'!J$71</f>
        <v>2.3012477077415409E-3</v>
      </c>
      <c r="K25" s="194">
        <f>'Historical Financial Statements'!K58/'Historical Financial Statements'!K$71</f>
        <v>2.0487473830453351E-3</v>
      </c>
      <c r="L25" s="194">
        <f>'Historical Financial Statements'!L58/'Historical Financial Statements'!L$71</f>
        <v>1.8331385623610824E-3</v>
      </c>
      <c r="M25" s="132"/>
      <c r="N25" s="132"/>
      <c r="O25" s="132"/>
      <c r="P25" s="132"/>
      <c r="Q25" s="132"/>
      <c r="R25" s="132"/>
    </row>
    <row r="26" spans="1:18">
      <c r="A26" s="132"/>
      <c r="B26" s="88" t="s">
        <v>534</v>
      </c>
      <c r="C26" s="194">
        <f>'Historical Financial Statements'!C59/'Historical Financial Statements'!C$71</f>
        <v>0.1562737688490746</v>
      </c>
      <c r="D26" s="194">
        <f>'Historical Financial Statements'!D59/'Historical Financial Statements'!D$71</f>
        <v>0.19696914190814618</v>
      </c>
      <c r="E26" s="194">
        <f>'Historical Financial Statements'!E59/'Historical Financial Statements'!E$71</f>
        <v>0.21451595637124879</v>
      </c>
      <c r="F26" s="194">
        <f>'Historical Financial Statements'!F59/'Historical Financial Statements'!F$71</f>
        <v>0.21519057920913531</v>
      </c>
      <c r="G26" s="194">
        <f>'Historical Financial Statements'!G59/'Historical Financial Statements'!G$71</f>
        <v>0.22302975013937459</v>
      </c>
      <c r="H26" s="194">
        <f>'Historical Financial Statements'!H59/'Historical Financial Statements'!H$71</f>
        <v>0.19655089692672656</v>
      </c>
      <c r="I26" s="194">
        <f>'Historical Financial Statements'!I59/'Historical Financial Statements'!I$71</f>
        <v>0.22223783539036823</v>
      </c>
      <c r="J26" s="194">
        <f>'Historical Financial Statements'!J59/'Historical Financial Statements'!J$71</f>
        <v>0.23039085254036173</v>
      </c>
      <c r="K26" s="194">
        <f>'Historical Financial Statements'!K59/'Historical Financial Statements'!K$71</f>
        <v>0.2274173618536042</v>
      </c>
      <c r="L26" s="194">
        <f>'Historical Financial Statements'!L59/'Historical Financial Statements'!L$71</f>
        <v>0.22426158887284892</v>
      </c>
      <c r="M26" s="132"/>
      <c r="N26" s="132"/>
      <c r="O26" s="132"/>
      <c r="P26" s="132"/>
      <c r="Q26" s="132"/>
      <c r="R26" s="132"/>
    </row>
    <row r="27" spans="1:18">
      <c r="A27" s="132"/>
      <c r="B27" s="91" t="s">
        <v>532</v>
      </c>
      <c r="C27" s="194"/>
      <c r="D27" s="194"/>
      <c r="E27" s="194"/>
      <c r="F27" s="194"/>
      <c r="G27" s="194"/>
      <c r="H27" s="194"/>
      <c r="I27" s="194"/>
      <c r="J27" s="194"/>
      <c r="K27" s="194"/>
      <c r="L27" s="194"/>
      <c r="M27" s="132"/>
      <c r="N27" s="132"/>
      <c r="O27" s="132"/>
      <c r="P27" s="132"/>
      <c r="Q27" s="132"/>
      <c r="R27" s="132"/>
    </row>
    <row r="28" spans="1:18">
      <c r="A28" s="132"/>
      <c r="B28" s="88" t="s">
        <v>71</v>
      </c>
      <c r="C28" s="194">
        <f>'Historical Financial Statements'!C61/'Historical Financial Statements'!C$71</f>
        <v>0.58934672638810082</v>
      </c>
      <c r="D28" s="194">
        <f>'Historical Financial Statements'!D61/'Historical Financial Statements'!D$71</f>
        <v>0.59333748519373308</v>
      </c>
      <c r="E28" s="194">
        <f>'Historical Financial Statements'!E61/'Historical Financial Statements'!E$71</f>
        <v>0.57695098307423309</v>
      </c>
      <c r="F28" s="194">
        <f>'Historical Financial Statements'!F61/'Historical Financial Statements'!F$71</f>
        <v>0.57916452929500195</v>
      </c>
      <c r="G28" s="194">
        <f>'Historical Financial Statements'!G61/'Historical Financial Statements'!G$71</f>
        <v>0.47344787390400894</v>
      </c>
      <c r="H28" s="194">
        <f>'Historical Financial Statements'!H61/'Historical Financial Statements'!H$71</f>
        <v>0.45486046325665697</v>
      </c>
      <c r="I28" s="194">
        <f>'Historical Financial Statements'!I61/'Historical Financial Statements'!I$71</f>
        <v>0.41314784889575867</v>
      </c>
      <c r="J28" s="194">
        <f>'Historical Financial Statements'!J61/'Historical Financial Statements'!J$71</f>
        <v>0.38609902556542375</v>
      </c>
      <c r="K28" s="194">
        <f>'Historical Financial Statements'!K61/'Historical Financial Statements'!K$71</f>
        <v>0.40248922807040011</v>
      </c>
      <c r="L28" s="194">
        <f>'Historical Financial Statements'!L61/'Historical Financial Statements'!L$71</f>
        <v>0.43617813523979743</v>
      </c>
      <c r="M28" s="132"/>
      <c r="N28" s="132"/>
      <c r="O28" s="132"/>
      <c r="P28" s="132"/>
      <c r="Q28" s="132"/>
      <c r="R28" s="132"/>
    </row>
    <row r="29" spans="1:18">
      <c r="A29" s="132"/>
      <c r="B29" s="88" t="s">
        <v>535</v>
      </c>
      <c r="C29" s="194">
        <f>'Historical Financial Statements'!C62/'Historical Financial Statements'!C$71</f>
        <v>2.2564560721486437E-2</v>
      </c>
      <c r="D29" s="194">
        <f>'Historical Financial Statements'!D62/'Historical Financial Statements'!D$71</f>
        <v>2.4605878545871953E-2</v>
      </c>
      <c r="E29" s="194">
        <f>'Historical Financial Statements'!E62/'Historical Financial Statements'!E$71</f>
        <v>2.5775219154782154E-2</v>
      </c>
      <c r="F29" s="194">
        <f>'Historical Financial Statements'!F62/'Historical Financial Statements'!F$71</f>
        <v>2.6005308116064857E-2</v>
      </c>
      <c r="G29" s="194">
        <f>'Historical Financial Statements'!G62/'Historical Financial Statements'!G$71</f>
        <v>2.966904870508337E-2</v>
      </c>
      <c r="H29" s="194">
        <f>'Historical Financial Statements'!H62/'Historical Financial Statements'!H$71</f>
        <v>3.1869996712601399E-2</v>
      </c>
      <c r="I29" s="194">
        <f>'Historical Financial Statements'!I62/'Historical Financial Statements'!I$71</f>
        <v>4.2288265923479861E-2</v>
      </c>
      <c r="J29" s="194">
        <f>'Historical Financial Statements'!J62/'Historical Financial Statements'!J$71</f>
        <v>4.2982992341159973E-2</v>
      </c>
      <c r="K29" s="194">
        <f>'Historical Financial Statements'!K62/'Historical Financial Statements'!K$71</f>
        <v>4.3311800144692783E-2</v>
      </c>
      <c r="L29" s="194">
        <f>'Historical Financial Statements'!L62/'Historical Financial Statements'!L$71</f>
        <v>4.6235191677550927E-2</v>
      </c>
      <c r="M29" s="132"/>
      <c r="N29" s="132"/>
      <c r="O29" s="132"/>
      <c r="P29" s="132"/>
      <c r="Q29" s="132"/>
      <c r="R29" s="132"/>
    </row>
    <row r="30" spans="1:18">
      <c r="A30" s="132"/>
      <c r="B30" s="96" t="s">
        <v>536</v>
      </c>
      <c r="C30" s="195">
        <f>'Historical Financial Statements'!C63/'Historical Financial Statements'!C$71</f>
        <v>0.6119112871095872</v>
      </c>
      <c r="D30" s="195">
        <f>'Historical Financial Statements'!D63/'Historical Financial Statements'!D$71</f>
        <v>0.61794336373960512</v>
      </c>
      <c r="E30" s="195">
        <f>'Historical Financial Statements'!E63/'Historical Financial Statements'!E$71</f>
        <v>0.6027262022290153</v>
      </c>
      <c r="F30" s="195">
        <f>'Historical Financial Statements'!F63/'Historical Financial Statements'!F$71</f>
        <v>0.60516983741106678</v>
      </c>
      <c r="G30" s="195">
        <f>'Historical Financial Statements'!G63/'Historical Financial Statements'!G$71</f>
        <v>0.50311692260909224</v>
      </c>
      <c r="H30" s="195">
        <f>'Historical Financial Statements'!H63/'Historical Financial Statements'!H$71</f>
        <v>0.4867304599692584</v>
      </c>
      <c r="I30" s="195">
        <f>'Historical Financial Statements'!I63/'Historical Financial Statements'!I$71</f>
        <v>0.45543611481923857</v>
      </c>
      <c r="J30" s="195">
        <f>'Historical Financial Statements'!J63/'Historical Financial Statements'!J$71</f>
        <v>0.42908201790658373</v>
      </c>
      <c r="K30" s="195">
        <f>'Historical Financial Statements'!K63/'Historical Financial Statements'!K$71</f>
        <v>0.44580102821509288</v>
      </c>
      <c r="L30" s="195">
        <f>'Historical Financial Statements'!L63/'Historical Financial Statements'!L$71</f>
        <v>0.48241332691734834</v>
      </c>
      <c r="M30" s="132"/>
      <c r="N30" s="132"/>
      <c r="O30" s="132"/>
      <c r="P30" s="132"/>
      <c r="Q30" s="132"/>
      <c r="R30" s="132"/>
    </row>
    <row r="31" spans="1:18">
      <c r="A31" s="132"/>
      <c r="B31" s="48"/>
      <c r="C31" s="194"/>
      <c r="D31" s="194"/>
      <c r="E31" s="194"/>
      <c r="F31" s="194"/>
      <c r="G31" s="194"/>
      <c r="H31" s="194"/>
      <c r="I31" s="194"/>
      <c r="J31" s="194"/>
      <c r="K31" s="194"/>
      <c r="L31" s="194"/>
      <c r="M31" s="132"/>
      <c r="N31" s="132"/>
      <c r="O31" s="132"/>
      <c r="P31" s="132"/>
      <c r="Q31" s="132"/>
      <c r="R31" s="132"/>
    </row>
    <row r="32" spans="1:18">
      <c r="A32" s="132"/>
      <c r="B32" s="91" t="s">
        <v>220</v>
      </c>
      <c r="C32" s="194"/>
      <c r="D32" s="194"/>
      <c r="E32" s="194"/>
      <c r="F32" s="194"/>
      <c r="G32" s="194"/>
      <c r="H32" s="194"/>
      <c r="I32" s="194"/>
      <c r="J32" s="194"/>
      <c r="K32" s="194"/>
      <c r="L32" s="194"/>
      <c r="M32" s="132"/>
      <c r="N32" s="132"/>
      <c r="O32" s="132"/>
      <c r="P32" s="132"/>
      <c r="Q32" s="132"/>
      <c r="R32" s="132"/>
    </row>
    <row r="33" spans="1:18">
      <c r="A33" s="132"/>
      <c r="B33" s="190" t="s">
        <v>221</v>
      </c>
      <c r="C33" s="194">
        <f>'Historical Financial Statements'!C66/'Historical Financial Statements'!C$71</f>
        <v>6.6751983001122797E-2</v>
      </c>
      <c r="D33" s="194">
        <f>'Historical Financial Statements'!D66/'Historical Financial Statements'!D$71</f>
        <v>6.8505696596695614E-2</v>
      </c>
      <c r="E33" s="194">
        <f>'Historical Financial Statements'!E66/'Historical Financial Statements'!E$71</f>
        <v>6.5193343879723573E-2</v>
      </c>
      <c r="F33" s="194">
        <f>'Historical Financial Statements'!F66/'Historical Financial Statements'!F$71</f>
        <v>5.6816914601779782E-2</v>
      </c>
      <c r="G33" s="194">
        <f>'Historical Financial Statements'!G66/'Historical Financial Statements'!G$71</f>
        <v>7.2434240535198424E-2</v>
      </c>
      <c r="H33" s="194">
        <f>'Historical Financial Statements'!H66/'Historical Financial Statements'!H$71</f>
        <v>9.2935646951159925E-2</v>
      </c>
      <c r="I33" s="194">
        <f>'Historical Financial Statements'!I66/'Historical Financial Statements'!I$71</f>
        <v>5.782336822876414E-2</v>
      </c>
      <c r="J33" s="194">
        <f>'Historical Financial Statements'!J66/'Historical Financial Statements'!J$71</f>
        <v>0.10134838732875481</v>
      </c>
      <c r="K33" s="194">
        <f>'Historical Financial Statements'!K66/'Historical Financial Statements'!K$71</f>
        <v>8.9530260639081136E-2</v>
      </c>
      <c r="L33" s="194">
        <f>'Historical Financial Statements'!L66/'Historical Financial Statements'!L$71</f>
        <v>6.1788226667583233E-2</v>
      </c>
      <c r="M33" s="132"/>
      <c r="N33" s="132"/>
      <c r="O33" s="132"/>
      <c r="P33" s="132"/>
      <c r="Q33" s="132"/>
      <c r="R33" s="132"/>
    </row>
    <row r="34" spans="1:18">
      <c r="A34" s="132"/>
      <c r="B34" s="190" t="s">
        <v>222</v>
      </c>
      <c r="C34" s="194">
        <f>'Historical Financial Statements'!C67/'Historical Financial Statements'!C$71</f>
        <v>4.9861763392048675E-3</v>
      </c>
      <c r="D34" s="194">
        <f>'Historical Financial Statements'!D67/'Historical Financial Statements'!D$71</f>
        <v>6.8261469514354443E-3</v>
      </c>
      <c r="E34" s="194">
        <f>'Historical Financial Statements'!E67/'Historical Financial Statements'!E$71</f>
        <v>5.768796165237353E-3</v>
      </c>
      <c r="F34" s="194">
        <f>'Historical Financial Statements'!F67/'Historical Financial Statements'!F$71</f>
        <v>8.720476392265317E-3</v>
      </c>
      <c r="G34" s="194">
        <f>'Historical Financial Statements'!G67/'Historical Financial Statements'!G$71</f>
        <v>1.225482742891896E-2</v>
      </c>
      <c r="H34" s="194">
        <f>'Historical Financial Statements'!H67/'Historical Financial Statements'!H$71</f>
        <v>1.0484136080532381E-2</v>
      </c>
      <c r="I34" s="194">
        <f>'Historical Financial Statements'!I67/'Historical Financial Statements'!I$71</f>
        <v>1.9188583651451634E-2</v>
      </c>
      <c r="J34" s="194">
        <f>'Historical Financial Statements'!J67/'Historical Financial Statements'!J$71</f>
        <v>1.5799503793463017E-2</v>
      </c>
      <c r="K34" s="194">
        <f>'Historical Financial Statements'!K67/'Historical Financial Statements'!K$71</f>
        <v>1.0109287868214325E-2</v>
      </c>
      <c r="L34" s="194">
        <f>'Historical Financial Statements'!L67/'Historical Financial Statements'!L$71</f>
        <v>9.0511216516578445E-3</v>
      </c>
      <c r="M34" s="132"/>
      <c r="N34" s="132"/>
      <c r="O34" s="132"/>
      <c r="P34" s="132"/>
      <c r="Q34" s="132"/>
      <c r="R34" s="132"/>
    </row>
    <row r="35" spans="1:18">
      <c r="A35" s="132"/>
      <c r="B35" s="190" t="s">
        <v>223</v>
      </c>
      <c r="C35" s="194">
        <f>'Historical Financial Statements'!C68/'Historical Financial Statements'!C$71</f>
        <v>0.15681705682792257</v>
      </c>
      <c r="D35" s="194">
        <f>'Historical Financial Statements'!D68/'Historical Financial Statements'!D$71</f>
        <v>0.106458585192512</v>
      </c>
      <c r="E35" s="194">
        <f>'Historical Financial Statements'!E68/'Historical Financial Statements'!E$71</f>
        <v>0.10858420658237485</v>
      </c>
      <c r="F35" s="194">
        <f>'Historical Financial Statements'!F68/'Historical Financial Statements'!F$71</f>
        <v>0.11109128621451034</v>
      </c>
      <c r="G35" s="194">
        <f>'Historical Financial Statements'!G68/'Historical Financial Statements'!G$71</f>
        <v>0.18592063250722213</v>
      </c>
      <c r="H35" s="194">
        <f>'Historical Financial Statements'!H68/'Historical Financial Statements'!H$71</f>
        <v>0.21045570452505974</v>
      </c>
      <c r="I35" s="194">
        <f>'Historical Financial Statements'!I68/'Historical Financial Statements'!I$71</f>
        <v>0.24281599100681514</v>
      </c>
      <c r="J35" s="194">
        <f>'Historical Financial Statements'!J68/'Historical Financial Statements'!J$71</f>
        <v>0.22107799072309517</v>
      </c>
      <c r="K35" s="194">
        <f>'Historical Financial Statements'!K68/'Historical Financial Statements'!K$71</f>
        <v>0.22509331404096214</v>
      </c>
      <c r="L35" s="194">
        <f>'Historical Financial Statements'!L68/'Historical Financial Statements'!L$71</f>
        <v>0.22065259732820056</v>
      </c>
      <c r="M35" s="132"/>
      <c r="N35" s="132"/>
      <c r="O35" s="132"/>
      <c r="P35" s="132"/>
      <c r="Q35" s="132"/>
      <c r="R35" s="132"/>
    </row>
    <row r="36" spans="1:18">
      <c r="A36" s="132"/>
      <c r="B36" s="95" t="s">
        <v>224</v>
      </c>
      <c r="C36" s="195">
        <f>'Historical Financial Statements'!C69/'Historical Financial Statements'!C$71</f>
        <v>0.22855521616825025</v>
      </c>
      <c r="D36" s="195">
        <f>'Historical Financial Statements'!D69/'Historical Financial Statements'!D$71</f>
        <v>0.18179042874064305</v>
      </c>
      <c r="E36" s="195">
        <f>'Historical Financial Statements'!E69/'Historical Financial Statements'!E$71</f>
        <v>0.17954634662733576</v>
      </c>
      <c r="F36" s="195">
        <f>'Historical Financial Statements'!F69/'Historical Financial Statements'!F$71</f>
        <v>0.17662867720855543</v>
      </c>
      <c r="G36" s="195">
        <f>'Historical Financial Statements'!G69/'Historical Financial Statements'!G$71</f>
        <v>0.27060970047133953</v>
      </c>
      <c r="H36" s="195">
        <f>'Historical Financial Statements'!H69/'Historical Financial Statements'!H$71</f>
        <v>0.31387548755675204</v>
      </c>
      <c r="I36" s="195">
        <f>'Historical Financial Statements'!I69/'Historical Financial Statements'!I$71</f>
        <v>0.31982794288703092</v>
      </c>
      <c r="J36" s="195">
        <f>'Historical Financial Statements'!J69/'Historical Financial Statements'!J$71</f>
        <v>0.33822588184531299</v>
      </c>
      <c r="K36" s="195">
        <f>'Historical Financial Statements'!K69/'Historical Financial Statements'!K$71</f>
        <v>0.32473286254825762</v>
      </c>
      <c r="L36" s="195">
        <f>'Historical Financial Statements'!L69/'Historical Financial Statements'!L$71</f>
        <v>0.29149194564744163</v>
      </c>
      <c r="M36" s="132"/>
      <c r="N36" s="132"/>
      <c r="O36" s="132"/>
      <c r="P36" s="132"/>
      <c r="Q36" s="132"/>
      <c r="R36" s="132"/>
    </row>
    <row r="37" spans="1:18">
      <c r="A37" s="132"/>
      <c r="B37" s="48"/>
      <c r="C37" s="138"/>
      <c r="D37" s="138"/>
      <c r="E37" s="138"/>
      <c r="F37" s="138"/>
      <c r="G37" s="138"/>
      <c r="H37" s="138"/>
      <c r="I37" s="138"/>
      <c r="J37" s="138"/>
      <c r="K37" s="138"/>
      <c r="L37" s="138"/>
      <c r="M37" s="132"/>
      <c r="N37" s="132"/>
      <c r="O37" s="132"/>
      <c r="P37" s="132"/>
      <c r="Q37" s="132"/>
      <c r="R37" s="132"/>
    </row>
    <row r="38" spans="1:18">
      <c r="A38" s="132"/>
      <c r="B38" s="193" t="s">
        <v>538</v>
      </c>
      <c r="C38" s="196">
        <f>'Historical Financial Statements'!C71/'Historical Financial Statements'!C71</f>
        <v>1</v>
      </c>
      <c r="D38" s="196">
        <f>'Historical Financial Statements'!D71/'Historical Financial Statements'!D71</f>
        <v>1</v>
      </c>
      <c r="E38" s="196">
        <f>'Historical Financial Statements'!E71/'Historical Financial Statements'!E71</f>
        <v>1</v>
      </c>
      <c r="F38" s="196">
        <f>'Historical Financial Statements'!F71/'Historical Financial Statements'!F71</f>
        <v>1</v>
      </c>
      <c r="G38" s="196">
        <f>'Historical Financial Statements'!G71/'Historical Financial Statements'!G71</f>
        <v>1</v>
      </c>
      <c r="H38" s="196">
        <f>'Historical Financial Statements'!H71/'Historical Financial Statements'!H71</f>
        <v>1</v>
      </c>
      <c r="I38" s="196">
        <f>'Historical Financial Statements'!I71/'Historical Financial Statements'!I71</f>
        <v>1</v>
      </c>
      <c r="J38" s="196">
        <f>'Historical Financial Statements'!J71/'Historical Financial Statements'!J71</f>
        <v>1</v>
      </c>
      <c r="K38" s="196">
        <f>'Historical Financial Statements'!K71/'Historical Financial Statements'!K71</f>
        <v>1</v>
      </c>
      <c r="L38" s="196">
        <f>'Historical Financial Statements'!L71/'Historical Financial Statements'!L71</f>
        <v>1</v>
      </c>
      <c r="M38" s="132"/>
      <c r="N38" s="132"/>
      <c r="O38" s="132"/>
      <c r="P38" s="132"/>
      <c r="Q38" s="132"/>
      <c r="R38" s="132"/>
    </row>
    <row r="39" spans="1:18">
      <c r="A39" s="132"/>
      <c r="B39" s="48"/>
      <c r="C39" s="132"/>
      <c r="D39" s="132"/>
      <c r="E39" s="132"/>
      <c r="F39" s="132"/>
      <c r="G39" s="132"/>
      <c r="H39" s="132"/>
      <c r="I39" s="132"/>
      <c r="J39" s="132"/>
      <c r="K39" s="132"/>
      <c r="L39" s="132"/>
      <c r="M39" s="132"/>
      <c r="N39" s="132"/>
      <c r="O39" s="132"/>
      <c r="P39" s="132"/>
      <c r="Q39" s="132"/>
      <c r="R39" s="132"/>
    </row>
    <row r="40" spans="1:18">
      <c r="A40" s="132"/>
      <c r="B40" s="91" t="s">
        <v>218</v>
      </c>
      <c r="C40" s="132"/>
      <c r="D40" s="132"/>
      <c r="E40" s="132"/>
      <c r="F40" s="132"/>
      <c r="G40" s="132"/>
      <c r="H40" s="132"/>
      <c r="I40" s="132"/>
      <c r="J40" s="132"/>
      <c r="K40" s="132"/>
      <c r="L40" s="132"/>
      <c r="M40" s="132"/>
      <c r="N40" s="132"/>
      <c r="O40" s="132"/>
      <c r="P40" s="132"/>
      <c r="Q40" s="132"/>
      <c r="R40" s="132"/>
    </row>
    <row r="41" spans="1:18">
      <c r="A41" s="132"/>
      <c r="B41" s="92" t="s">
        <v>525</v>
      </c>
      <c r="C41" s="194">
        <f>'Historical Financial Statements'!C74/'Historical Financial Statements'!C$98</f>
        <v>1.9316905914595131E-2</v>
      </c>
      <c r="D41" s="194">
        <f>'Historical Financial Statements'!D74/'Historical Financial Statements'!D$98</f>
        <v>1.9819027731985201E-2</v>
      </c>
      <c r="E41" s="194">
        <f>'Historical Financial Statements'!E74/'Historical Financial Statements'!E$98</f>
        <v>2.0291889191535926E-2</v>
      </c>
      <c r="F41" s="194">
        <f>'Historical Financial Statements'!F74/'Historical Financial Statements'!F$98</f>
        <v>1.953743560006245E-2</v>
      </c>
      <c r="G41" s="194">
        <f>'Historical Financial Statements'!G74/'Historical Financial Statements'!G$98</f>
        <v>1.9117125335766053E-2</v>
      </c>
      <c r="H41" s="194">
        <f>'Historical Financial Statements'!H74/'Historical Financial Statements'!H$98</f>
        <v>3.7600732112553423E-2</v>
      </c>
      <c r="I41" s="194">
        <f>'Historical Financial Statements'!I74/'Historical Financial Statements'!I$98</f>
        <v>3.0781360999867287E-2</v>
      </c>
      <c r="J41" s="194">
        <f>'Historical Financial Statements'!J74/'Historical Financial Statements'!J$98</f>
        <v>3.1785983963180039E-2</v>
      </c>
      <c r="K41" s="194">
        <f>'Historical Financial Statements'!K74/'Historical Financial Statements'!K$98</f>
        <v>2.9271478235260225E-2</v>
      </c>
      <c r="L41" s="194">
        <f>'Historical Financial Statements'!L74/'Historical Financial Statements'!L$98</f>
        <v>2.9261474301688777E-2</v>
      </c>
      <c r="M41" s="132"/>
      <c r="N41" s="132"/>
      <c r="O41" s="132"/>
      <c r="P41" s="132"/>
      <c r="Q41" s="132"/>
      <c r="R41" s="132"/>
    </row>
    <row r="42" spans="1:18">
      <c r="A42" s="132"/>
      <c r="B42" s="92" t="s">
        <v>529</v>
      </c>
      <c r="C42" s="194">
        <f>'Historical Financial Statements'!C75/'Historical Financial Statements'!C$98</f>
        <v>4.6263989665455335E-2</v>
      </c>
      <c r="D42" s="194">
        <f>'Historical Financial Statements'!D75/'Historical Financial Statements'!D$98</f>
        <v>3.4057466632474873E-2</v>
      </c>
      <c r="E42" s="194">
        <f>'Historical Financial Statements'!E75/'Historical Financial Statements'!E$98</f>
        <v>5.2870719493773269E-2</v>
      </c>
      <c r="F42" s="194">
        <f>'Historical Financial Statements'!F75/'Historical Financial Statements'!F$98</f>
        <v>4.9356558199701139E-2</v>
      </c>
      <c r="G42" s="194">
        <f>'Historical Financial Statements'!G75/'Historical Financial Statements'!G$98</f>
        <v>5.2708935178146066E-2</v>
      </c>
      <c r="H42" s="194">
        <f>'Historical Financial Statements'!H75/'Historical Financial Statements'!H$98</f>
        <v>5.3131469289477658E-2</v>
      </c>
      <c r="I42" s="194">
        <f>'Historical Financial Statements'!I75/'Historical Financial Statements'!I$98</f>
        <v>5.4271372475545879E-2</v>
      </c>
      <c r="J42" s="194">
        <f>'Historical Financial Statements'!J75/'Historical Financial Statements'!J$98</f>
        <v>5.3230736039696525E-2</v>
      </c>
      <c r="K42" s="194">
        <f>'Historical Financial Statements'!K75/'Historical Financial Statements'!K$98</f>
        <v>3.6557336116215193E-2</v>
      </c>
      <c r="L42" s="194">
        <f>'Historical Financial Statements'!L75/'Historical Financial Statements'!L$98</f>
        <v>2.5343140624641967E-2</v>
      </c>
      <c r="M42" s="132"/>
      <c r="N42" s="132"/>
      <c r="O42" s="132"/>
      <c r="P42" s="132"/>
      <c r="Q42" s="132"/>
      <c r="R42" s="132"/>
    </row>
    <row r="43" spans="1:18">
      <c r="A43" s="132"/>
      <c r="B43" s="92" t="s">
        <v>527</v>
      </c>
      <c r="C43" s="194">
        <f>'Historical Financial Statements'!C76/'Historical Financial Statements'!C$98</f>
        <v>4.7688611476656723E-3</v>
      </c>
      <c r="D43" s="194">
        <f>'Historical Financial Statements'!D76/'Historical Financial Statements'!D$98</f>
        <v>5.9835635173584398E-3</v>
      </c>
      <c r="E43" s="194">
        <f>'Historical Financial Statements'!E76/'Historical Financial Statements'!E$98</f>
        <v>5.9591069665647714E-3</v>
      </c>
      <c r="F43" s="194">
        <f>'Historical Financial Statements'!F76/'Historical Financial Statements'!F$98</f>
        <v>6.1556303945402239E-3</v>
      </c>
      <c r="G43" s="194">
        <f>'Historical Financial Statements'!G76/'Historical Financial Statements'!G$98</f>
        <v>6.1730272160559528E-3</v>
      </c>
      <c r="H43" s="194">
        <f>'Historical Financial Statements'!H76/'Historical Financial Statements'!H$98</f>
        <v>7.8808717825696803E-3</v>
      </c>
      <c r="I43" s="194">
        <f>'Historical Financial Statements'!I76/'Historical Financial Statements'!I$98</f>
        <v>8.4233042147747409E-3</v>
      </c>
      <c r="J43" s="194">
        <f>'Historical Financial Statements'!J76/'Historical Financial Statements'!J$98</f>
        <v>8.1550465643090864E-3</v>
      </c>
      <c r="K43" s="194">
        <f>'Historical Financial Statements'!K76/'Historical Financial Statements'!K$98</f>
        <v>6.3639215585845716E-3</v>
      </c>
      <c r="L43" s="194">
        <f>'Historical Financial Statements'!L76/'Historical Financial Statements'!L$98</f>
        <v>2.6408652414014345E-3</v>
      </c>
      <c r="M43" s="132"/>
      <c r="N43" s="132"/>
      <c r="O43" s="132"/>
      <c r="P43" s="132"/>
      <c r="Q43" s="132"/>
      <c r="R43" s="132"/>
    </row>
    <row r="44" spans="1:18">
      <c r="A44" s="132"/>
      <c r="B44" s="92" t="s">
        <v>528</v>
      </c>
      <c r="C44" s="194">
        <f>'Historical Financial Statements'!C77/'Historical Financial Statements'!C$98</f>
        <v>0.18594936556037137</v>
      </c>
      <c r="D44" s="194">
        <f>'Historical Financial Statements'!D77/'Historical Financial Statements'!D$98</f>
        <v>0.20839896936171251</v>
      </c>
      <c r="E44" s="194">
        <f>'Historical Financial Statements'!E77/'Historical Financial Statements'!E$98</f>
        <v>0.19282052501992317</v>
      </c>
      <c r="F44" s="194">
        <f>'Historical Financial Statements'!F77/'Historical Financial Statements'!F$98</f>
        <v>0.1899881794054018</v>
      </c>
      <c r="G44" s="194">
        <f>'Historical Financial Statements'!G77/'Historical Financial Statements'!G$98</f>
        <v>0.16715827885053977</v>
      </c>
      <c r="H44" s="194">
        <f>'Historical Financial Statements'!H77/'Historical Financial Statements'!H$98</f>
        <v>0.16549830743396327</v>
      </c>
      <c r="I44" s="194">
        <f>'Historical Financial Statements'!I77/'Historical Financial Statements'!I$98</f>
        <v>0.16489847537413055</v>
      </c>
      <c r="J44" s="194">
        <f>'Historical Financial Statements'!J77/'Historical Financial Statements'!J$98</f>
        <v>0.15721117543418073</v>
      </c>
      <c r="K44" s="194">
        <f>'Historical Financial Statements'!K77/'Historical Financial Statements'!K$98</f>
        <v>0.16516105075131407</v>
      </c>
      <c r="L44" s="194">
        <f>'Historical Financial Statements'!L77/'Historical Financial Statements'!L$98</f>
        <v>0.18597763570953921</v>
      </c>
      <c r="M44" s="132"/>
      <c r="N44" s="132"/>
      <c r="O44" s="132"/>
      <c r="P44" s="132"/>
      <c r="Q44" s="132"/>
      <c r="R44" s="132"/>
    </row>
    <row r="45" spans="1:18">
      <c r="A45" s="132"/>
      <c r="B45" s="92" t="s">
        <v>526</v>
      </c>
      <c r="C45" s="194">
        <f>'Historical Financial Statements'!C78/'Historical Financial Statements'!C$98</f>
        <v>1.1517705151577346E-2</v>
      </c>
      <c r="D45" s="194">
        <f>'Historical Financial Statements'!D78/'Historical Financial Statements'!D$98</f>
        <v>1.4482665982830836E-2</v>
      </c>
      <c r="E45" s="194">
        <f>'Historical Financial Statements'!E78/'Historical Financial Statements'!E$98</f>
        <v>9.3609125402923654E-3</v>
      </c>
      <c r="F45" s="194">
        <f>'Historical Financial Statements'!F78/'Historical Financial Statements'!F$98</f>
        <v>2.3351250083636282E-2</v>
      </c>
      <c r="G45" s="194">
        <f>'Historical Financial Statements'!G78/'Historical Financial Statements'!G$98</f>
        <v>5.9510415082864525E-2</v>
      </c>
      <c r="H45" s="194">
        <f>'Historical Financial Statements'!H78/'Historical Financial Statements'!H$98</f>
        <v>5.9004362466792831E-2</v>
      </c>
      <c r="I45" s="194">
        <f>'Historical Financial Statements'!I78/'Historical Financial Statements'!I$98</f>
        <v>8.7488387706191398E-2</v>
      </c>
      <c r="J45" s="194">
        <f>'Historical Financial Statements'!J78/'Historical Financial Statements'!J$98</f>
        <v>6.5815684441408076E-2</v>
      </c>
      <c r="K45" s="194">
        <f>'Historical Financial Statements'!K78/'Historical Financial Statements'!K$98</f>
        <v>7.523384530676791E-2</v>
      </c>
      <c r="L45" s="194">
        <f>'Historical Financial Statements'!L78/'Historical Financial Statements'!L$98</f>
        <v>7.816044545267066E-2</v>
      </c>
      <c r="M45" s="132"/>
      <c r="N45" s="132"/>
      <c r="O45" s="132"/>
      <c r="P45" s="132"/>
      <c r="Q45" s="132"/>
      <c r="R45" s="132"/>
    </row>
    <row r="46" spans="1:18">
      <c r="A46" s="132"/>
      <c r="B46" s="95" t="s">
        <v>219</v>
      </c>
      <c r="C46" s="195">
        <f>'Historical Financial Statements'!C79/'Historical Financial Statements'!C$98</f>
        <v>0.26781682743966484</v>
      </c>
      <c r="D46" s="195">
        <f>'Historical Financial Statements'!D79/'Historical Financial Statements'!D$98</f>
        <v>0.28274169322636189</v>
      </c>
      <c r="E46" s="195">
        <f>'Historical Financial Statements'!E79/'Historical Financial Statements'!E$98</f>
        <v>0.28130315321208949</v>
      </c>
      <c r="F46" s="195">
        <f>'Historical Financial Statements'!F79/'Historical Financial Statements'!F$98</f>
        <v>0.28838905368334189</v>
      </c>
      <c r="G46" s="195">
        <f>'Historical Financial Statements'!G79/'Historical Financial Statements'!G$98</f>
        <v>0.30466778166337238</v>
      </c>
      <c r="H46" s="195">
        <f>'Historical Financial Statements'!H79/'Historical Financial Statements'!H$98</f>
        <v>0.32311574308535684</v>
      </c>
      <c r="I46" s="195">
        <f>'Historical Financial Statements'!I79/'Historical Financial Statements'!I$98</f>
        <v>0.34586290077050985</v>
      </c>
      <c r="J46" s="195">
        <f>'Historical Financial Statements'!J79/'Historical Financial Statements'!J$98</f>
        <v>0.31619862644277447</v>
      </c>
      <c r="K46" s="195">
        <f>'Historical Financial Statements'!K79/'Historical Financial Statements'!K$98</f>
        <v>0.31258763196814199</v>
      </c>
      <c r="L46" s="195">
        <f>'Historical Financial Statements'!L79/'Historical Financial Statements'!L$98</f>
        <v>0.321383561329942</v>
      </c>
      <c r="M46" s="132"/>
      <c r="N46" s="132"/>
      <c r="O46" s="132"/>
      <c r="P46" s="132"/>
      <c r="Q46" s="132"/>
      <c r="R46" s="132"/>
    </row>
    <row r="47" spans="1:18">
      <c r="A47" s="132"/>
      <c r="B47" s="48"/>
      <c r="C47" s="194"/>
      <c r="D47" s="194"/>
      <c r="E47" s="194"/>
      <c r="F47" s="194"/>
      <c r="G47" s="194"/>
      <c r="H47" s="194"/>
      <c r="I47" s="194"/>
      <c r="J47" s="194"/>
      <c r="K47" s="194"/>
      <c r="L47" s="194"/>
      <c r="M47" s="132"/>
      <c r="N47" s="132"/>
      <c r="O47" s="132"/>
      <c r="P47" s="132"/>
      <c r="Q47" s="132"/>
      <c r="R47" s="132"/>
    </row>
    <row r="48" spans="1:18">
      <c r="A48" s="132"/>
      <c r="B48" s="91" t="s">
        <v>226</v>
      </c>
      <c r="C48" s="194"/>
      <c r="D48" s="194"/>
      <c r="E48" s="194"/>
      <c r="F48" s="194"/>
      <c r="G48" s="194"/>
      <c r="H48" s="194"/>
      <c r="I48" s="194"/>
      <c r="J48" s="194"/>
      <c r="K48" s="194"/>
      <c r="L48" s="194"/>
      <c r="M48" s="132"/>
      <c r="N48" s="132"/>
      <c r="O48" s="132"/>
      <c r="P48" s="132"/>
      <c r="Q48" s="132"/>
      <c r="R48" s="132"/>
    </row>
    <row r="49" spans="1:18">
      <c r="A49" s="132"/>
      <c r="B49" s="97" t="s">
        <v>513</v>
      </c>
      <c r="C49" s="194">
        <f>'Historical Financial Statements'!C82/'Historical Financial Statements'!C$98</f>
        <v>1.3026838426155091E-2</v>
      </c>
      <c r="D49" s="194">
        <f>'Historical Financial Statements'!D82/'Historical Financial Statements'!D$98</f>
        <v>1.1893858910014531E-2</v>
      </c>
      <c r="E49" s="194">
        <f>'Historical Financial Statements'!E82/'Historical Financial Statements'!E$98</f>
        <v>1.227504668561845E-2</v>
      </c>
      <c r="F49" s="194">
        <f>'Historical Financial Statements'!F82/'Historical Financial Statements'!F$98</f>
        <v>2.3094765483863772E-2</v>
      </c>
      <c r="G49" s="194">
        <f>'Historical Financial Statements'!G82/'Historical Financial Statements'!G$98</f>
        <v>2.2158025442197558E-2</v>
      </c>
      <c r="H49" s="194">
        <f>'Historical Financial Statements'!H82/'Historical Financial Statements'!H$98</f>
        <v>2.0293022718589796E-2</v>
      </c>
      <c r="I49" s="194">
        <f>'Historical Financial Statements'!I82/'Historical Financial Statements'!I$98</f>
        <v>2.0859192643075168E-2</v>
      </c>
      <c r="J49" s="194">
        <f>'Historical Financial Statements'!J82/'Historical Financial Statements'!J$98</f>
        <v>2.4105569738592642E-2</v>
      </c>
      <c r="K49" s="194">
        <f>'Historical Financial Statements'!K82/'Historical Financial Statements'!K$98</f>
        <v>2.6166345482832136E-2</v>
      </c>
      <c r="L49" s="194">
        <f>'Historical Financial Statements'!L82/'Historical Financial Statements'!L$98</f>
        <v>2.7485621319401479E-2</v>
      </c>
      <c r="M49" s="132"/>
      <c r="N49" s="132"/>
      <c r="O49" s="132"/>
      <c r="P49" s="132"/>
      <c r="Q49" s="132"/>
      <c r="R49" s="132"/>
    </row>
    <row r="50" spans="1:18">
      <c r="A50" s="132"/>
      <c r="B50" s="97" t="s">
        <v>514</v>
      </c>
      <c r="C50" s="194">
        <f>'Historical Financial Statements'!C83/'Historical Financial Statements'!C$98</f>
        <v>3.3708000820968503E-2</v>
      </c>
      <c r="D50" s="194">
        <f>'Historical Financial Statements'!D83/'Historical Financial Statements'!D$98</f>
        <v>3.5486195064170667E-2</v>
      </c>
      <c r="E50" s="194">
        <f>'Historical Financial Statements'!E83/'Historical Financial Statements'!E$98</f>
        <v>3.49458208937471E-2</v>
      </c>
      <c r="F50" s="194">
        <f>'Historical Financial Statements'!F83/'Historical Financial Statements'!F$98</f>
        <v>3.4101300265405803E-2</v>
      </c>
      <c r="G50" s="194">
        <f>'Historical Financial Statements'!G83/'Historical Financial Statements'!G$98</f>
        <v>3.8781612690689776E-2</v>
      </c>
      <c r="H50" s="194">
        <f>'Historical Financial Statements'!H83/'Historical Financial Statements'!H$98</f>
        <v>3.59214933674512E-2</v>
      </c>
      <c r="I50" s="194">
        <f>'Historical Financial Statements'!I83/'Historical Financial Statements'!I$98</f>
        <v>3.4598780611567799E-2</v>
      </c>
      <c r="J50" s="194">
        <f>'Historical Financial Statements'!J83/'Historical Financial Statements'!J$98</f>
        <v>3.2382870087375497E-2</v>
      </c>
      <c r="K50" s="194">
        <f>'Historical Financial Statements'!K83/'Historical Financial Statements'!K$98</f>
        <v>3.5949114236873608E-2</v>
      </c>
      <c r="L50" s="194">
        <f>'Historical Financial Statements'!L83/'Historical Financial Statements'!L$98</f>
        <v>3.5677459269952569E-2</v>
      </c>
      <c r="M50" s="132"/>
      <c r="N50" s="132"/>
      <c r="O50" s="132"/>
      <c r="P50" s="132"/>
      <c r="Q50" s="132"/>
      <c r="R50" s="132"/>
    </row>
    <row r="51" spans="1:18">
      <c r="A51" s="132"/>
      <c r="B51" s="97" t="s">
        <v>515</v>
      </c>
      <c r="C51" s="194">
        <f>'Historical Financial Statements'!C84/'Historical Financial Statements'!C$98</f>
        <v>0.5313839355781188</v>
      </c>
      <c r="D51" s="194">
        <f>'Historical Financial Statements'!D84/'Historical Financial Statements'!D$98</f>
        <v>0.53624940469648674</v>
      </c>
      <c r="E51" s="194">
        <f>'Historical Financial Statements'!E84/'Historical Financial Statements'!E$98</f>
        <v>0.53434515242705749</v>
      </c>
      <c r="F51" s="194">
        <f>'Historical Financial Statements'!F84/'Historical Financial Statements'!F$98</f>
        <v>0.52886009322657623</v>
      </c>
      <c r="G51" s="194">
        <f>'Historical Financial Statements'!G84/'Historical Financial Statements'!G$98</f>
        <v>0.49269677157772035</v>
      </c>
      <c r="H51" s="194">
        <f>'Historical Financial Statements'!H84/'Historical Financial Statements'!H$98</f>
        <v>0.4679123241908113</v>
      </c>
      <c r="I51" s="194">
        <f>'Historical Financial Statements'!I84/'Historical Financial Statements'!I$98</f>
        <v>0.43559958468972731</v>
      </c>
      <c r="J51" s="194">
        <f>'Historical Financial Statements'!J84/'Historical Financial Statements'!J$98</f>
        <v>0.43090144187551688</v>
      </c>
      <c r="K51" s="194">
        <f>'Historical Financial Statements'!K84/'Historical Financial Statements'!K$98</f>
        <v>0.4379005461192243</v>
      </c>
      <c r="L51" s="194">
        <f>'Historical Financial Statements'!L84/'Historical Financial Statements'!L$98</f>
        <v>0.42471529066703329</v>
      </c>
      <c r="M51" s="132"/>
      <c r="N51" s="132"/>
      <c r="O51" s="132"/>
      <c r="P51" s="132"/>
      <c r="Q51" s="132"/>
      <c r="R51" s="132"/>
    </row>
    <row r="52" spans="1:18">
      <c r="A52" s="132"/>
      <c r="B52" s="97" t="s">
        <v>516</v>
      </c>
      <c r="C52" s="194">
        <f>'Historical Financial Statements'!C85/'Historical Financial Statements'!C$98</f>
        <v>6.4192492967438938E-2</v>
      </c>
      <c r="D52" s="194">
        <f>'Historical Financial Statements'!D85/'Historical Financial Statements'!D$98</f>
        <v>7.0972390128341334E-2</v>
      </c>
      <c r="E52" s="194">
        <f>'Historical Financial Statements'!E85/'Historical Financial Statements'!E$98</f>
        <v>7.5696121227980445E-2</v>
      </c>
      <c r="F52" s="194">
        <f>'Historical Financial Statements'!F85/'Historical Financial Statements'!F$98</f>
        <v>7.7692530722394446E-2</v>
      </c>
      <c r="G52" s="194">
        <f>'Historical Financial Statements'!G85/'Historical Financial Statements'!G$98</f>
        <v>0.1195073741827581</v>
      </c>
      <c r="H52" s="194">
        <f>'Historical Financial Statements'!H85/'Historical Financial Statements'!H$98</f>
        <v>0.13504988849499339</v>
      </c>
      <c r="I52" s="194">
        <f>'Historical Financial Statements'!I85/'Historical Financial Statements'!I$98</f>
        <v>0.14430470658953762</v>
      </c>
      <c r="J52" s="194">
        <f>'Historical Financial Statements'!J85/'Historical Financial Statements'!J$98</f>
        <v>0.15890834561864012</v>
      </c>
      <c r="K52" s="194">
        <f>'Historical Financial Statements'!K85/'Historical Financial Statements'!K$98</f>
        <v>0.16980914637659819</v>
      </c>
      <c r="L52" s="194">
        <f>'Historical Financial Statements'!L85/'Historical Financial Statements'!L$98</f>
        <v>0.18631562063197452</v>
      </c>
      <c r="M52" s="132"/>
      <c r="N52" s="132"/>
      <c r="O52" s="132"/>
      <c r="P52" s="132"/>
      <c r="Q52" s="132"/>
      <c r="R52" s="132"/>
    </row>
    <row r="53" spans="1:18">
      <c r="A53" s="132"/>
      <c r="B53" s="97" t="s">
        <v>517</v>
      </c>
      <c r="C53" s="194">
        <f>'Historical Financial Statements'!C86/'Historical Financial Statements'!C$98</f>
        <v>1.654010068937208E-3</v>
      </c>
      <c r="D53" s="194">
        <f>'Historical Financial Statements'!D86/'Historical Financial Statements'!D$98</f>
        <v>1.489785202281081E-3</v>
      </c>
      <c r="E53" s="194">
        <f>'Historical Financial Statements'!E86/'Historical Financial Statements'!E$98</f>
        <v>1.4273310099556338E-3</v>
      </c>
      <c r="F53" s="194">
        <f>'Historical Financial Statements'!F86/'Historical Financial Statements'!F$98</f>
        <v>1.3158775118763521E-3</v>
      </c>
      <c r="G53" s="194">
        <f>'Historical Financial Statements'!G86/'Historical Financial Statements'!G$98</f>
        <v>1.3582687142060716E-3</v>
      </c>
      <c r="H53" s="194">
        <f>'Historical Financial Statements'!H86/'Historical Financial Statements'!H$98</f>
        <v>1.2794199962683583E-3</v>
      </c>
      <c r="I53" s="194">
        <f>'Historical Financial Statements'!I86/'Historical Financial Statements'!I$98</f>
        <v>1.303699540192198E-3</v>
      </c>
      <c r="J53" s="194">
        <f>'Historical Financial Statements'!J86/'Historical Financial Statements'!J$98</f>
        <v>1.344791629211463E-3</v>
      </c>
      <c r="K53" s="194">
        <f>'Historical Financial Statements'!K86/'Historical Financial Statements'!K$98</f>
        <v>1.3252834634074511E-3</v>
      </c>
      <c r="L53" s="194">
        <f>'Historical Financial Statements'!L86/'Historical Financial Statements'!L$98</f>
        <v>1.2144542975642172E-3</v>
      </c>
      <c r="M53" s="132"/>
      <c r="N53" s="132"/>
      <c r="O53" s="132"/>
      <c r="P53" s="132"/>
      <c r="Q53" s="132"/>
      <c r="R53" s="132"/>
    </row>
    <row r="54" spans="1:18">
      <c r="A54" s="132"/>
      <c r="B54" s="97" t="s">
        <v>518</v>
      </c>
      <c r="C54" s="194">
        <f>'Historical Financial Statements'!C87/'Historical Financial Statements'!C$98</f>
        <v>1.1590143548757077E-3</v>
      </c>
      <c r="D54" s="194">
        <f>'Historical Financial Statements'!D87/'Historical Financial Statements'!D$98</f>
        <v>1.2089240575887459E-3</v>
      </c>
      <c r="E54" s="194">
        <f>'Historical Financial Statements'!E87/'Historical Financial Statements'!E$98</f>
        <v>1.2251257835452524E-3</v>
      </c>
      <c r="F54" s="194">
        <f>'Historical Financial Statements'!F87/'Historical Financial Statements'!F$98</f>
        <v>1.1597564511452595E-3</v>
      </c>
      <c r="G54" s="194">
        <f>'Historical Financial Statements'!G87/'Historical Financial Statements'!G$98</f>
        <v>0</v>
      </c>
      <c r="H54" s="194">
        <f>'Historical Financial Statements'!H87/'Historical Financial Statements'!H$98</f>
        <v>0</v>
      </c>
      <c r="I54" s="194">
        <f>'Historical Financial Statements'!I87/'Historical Financial Statements'!I$98</f>
        <v>0</v>
      </c>
      <c r="J54" s="194">
        <f>'Historical Financial Statements'!J87/'Historical Financial Statements'!J$98</f>
        <v>0</v>
      </c>
      <c r="K54" s="194">
        <f>'Historical Financial Statements'!K87/'Historical Financial Statements'!K$98</f>
        <v>0</v>
      </c>
      <c r="L54" s="194">
        <f>'Historical Financial Statements'!L87/'Historical Financial Statements'!L$98</f>
        <v>0</v>
      </c>
      <c r="M54" s="132"/>
      <c r="N54" s="132"/>
      <c r="O54" s="132"/>
      <c r="P54" s="132"/>
      <c r="Q54" s="132"/>
      <c r="R54" s="132"/>
    </row>
    <row r="55" spans="1:18">
      <c r="A55" s="132"/>
      <c r="B55" s="97" t="s">
        <v>519</v>
      </c>
      <c r="C55" s="194">
        <f>'Historical Financial Statements'!C88/'Historical Financial Statements'!C$98</f>
        <v>2.6560745632568305E-3</v>
      </c>
      <c r="D55" s="194">
        <f>'Historical Financial Statements'!D88/'Historical Financial Statements'!D$98</f>
        <v>3.0528385292645102E-3</v>
      </c>
      <c r="E55" s="194">
        <f>'Historical Financial Statements'!E88/'Historical Financial Statements'!E$98</f>
        <v>2.9141341453260854E-3</v>
      </c>
      <c r="F55" s="194">
        <f>'Historical Financial Statements'!F88/'Historical Financial Statements'!F$98</f>
        <v>2.620603519414769E-3</v>
      </c>
      <c r="G55" s="194">
        <f>'Historical Financial Statements'!G88/'Historical Financial Statements'!G$98</f>
        <v>2.3110840808879428E-3</v>
      </c>
      <c r="H55" s="194">
        <f>'Historical Financial Statements'!H88/'Historical Financial Statements'!H$98</f>
        <v>1.9990937441693099E-3</v>
      </c>
      <c r="I55" s="194">
        <f>'Historical Financial Statements'!I88/'Historical Financial Statements'!I$98</f>
        <v>1.9282262660327721E-3</v>
      </c>
      <c r="J55" s="194">
        <f>'Historical Financial Statements'!J88/'Historical Financial Statements'!J$98</f>
        <v>2.1574197260076948E-3</v>
      </c>
      <c r="K55" s="194">
        <f>'Historical Financial Statements'!K88/'Historical Financial Statements'!K$98</f>
        <v>2.0935637320494515E-3</v>
      </c>
      <c r="L55" s="194">
        <f>'Historical Financial Statements'!L88/'Historical Financial Statements'!L$98</f>
        <v>2.0221809766045691E-3</v>
      </c>
      <c r="M55" s="132"/>
      <c r="N55" s="132"/>
      <c r="O55" s="132"/>
      <c r="P55" s="132"/>
      <c r="Q55" s="132"/>
      <c r="R55" s="132"/>
    </row>
    <row r="56" spans="1:18">
      <c r="A56" s="132"/>
      <c r="B56" s="97" t="s">
        <v>520</v>
      </c>
      <c r="C56" s="194">
        <f>'Historical Financial Statements'!C89/'Historical Financial Statements'!C$98</f>
        <v>2.1345181035627617E-2</v>
      </c>
      <c r="D56" s="194">
        <f>'Historical Financial Statements'!D89/'Historical Financial Statements'!D$98</f>
        <v>2.0344115959018697E-2</v>
      </c>
      <c r="E56" s="194">
        <f>'Historical Financial Statements'!E89/'Historical Financial Statements'!E$98</f>
        <v>1.9673379087221818E-2</v>
      </c>
      <c r="F56" s="194">
        <f>'Historical Financial Statements'!F89/'Historical Financial Statements'!F$98</f>
        <v>1.8355376140241318E-2</v>
      </c>
      <c r="G56" s="194">
        <f>'Historical Financial Statements'!G89/'Historical Financial Statements'!G$98</f>
        <v>1.8245400638589024E-2</v>
      </c>
      <c r="H56" s="194">
        <f>'Historical Financial Statements'!H89/'Historical Financial Statements'!H$98</f>
        <v>1.6561381062807082E-2</v>
      </c>
      <c r="I56" s="194">
        <f>'Historical Financial Statements'!I89/'Historical Financial Statements'!I$98</f>
        <v>1.455927929615838E-2</v>
      </c>
      <c r="J56" s="194">
        <f>'Historical Financial Statements'!J89/'Historical Financial Statements'!J$98</f>
        <v>1.3685232461975477E-2</v>
      </c>
      <c r="K56" s="194">
        <f>'Historical Financial Statements'!K89/'Historical Financial Statements'!K$98</f>
        <v>1.1569020378634125E-2</v>
      </c>
      <c r="L56" s="194">
        <f>'Historical Financial Statements'!L89/'Historical Financial Statements'!L$98</f>
        <v>9.7270914965284939E-3</v>
      </c>
      <c r="M56" s="132"/>
      <c r="N56" s="132"/>
      <c r="O56" s="132"/>
      <c r="P56" s="132"/>
      <c r="Q56" s="132"/>
      <c r="R56" s="132"/>
    </row>
    <row r="57" spans="1:18">
      <c r="A57" s="132"/>
      <c r="B57" s="97" t="s">
        <v>521</v>
      </c>
      <c r="C57" s="194">
        <f>'Historical Financial Statements'!C90/'Historical Financial Statements'!C$98</f>
        <v>5.0839681753975054E-2</v>
      </c>
      <c r="D57" s="194">
        <f>'Historical Financial Statements'!D90/'Historical Financial Statements'!D$98</f>
        <v>5.2081425309252541E-2</v>
      </c>
      <c r="E57" s="194">
        <f>'Historical Financial Statements'!E90/'Historical Financial Statements'!E$98</f>
        <v>5.0349101376184979E-2</v>
      </c>
      <c r="F57" s="194">
        <f>'Historical Financial Statements'!F90/'Historical Financial Statements'!F$98</f>
        <v>6.0675335102705355E-2</v>
      </c>
      <c r="G57" s="194">
        <f>'Historical Financial Statements'!G90/'Historical Financial Statements'!G$98</f>
        <v>5.6601287314378392E-2</v>
      </c>
      <c r="H57" s="194">
        <f>'Historical Financial Statements'!H90/'Historical Financial Statements'!H$98</f>
        <v>5.2207443736617176E-2</v>
      </c>
      <c r="I57" s="194">
        <f>'Historical Financial Statements'!I90/'Historical Financial Statements'!I$98</f>
        <v>4.8627212190761687E-2</v>
      </c>
      <c r="J57" s="194">
        <f>'Historical Financial Statements'!J90/'Historical Financial Statements'!J$98</f>
        <v>4.6880730646147208E-2</v>
      </c>
      <c r="K57" s="194">
        <f>'Historical Financial Statements'!K90/'Historical Financial Statements'!K$98</f>
        <v>4.3036499715096065E-2</v>
      </c>
      <c r="L57" s="194">
        <f>'Historical Financial Statements'!L90/'Historical Financial Statements'!L$98</f>
        <v>3.9865035173346164E-2</v>
      </c>
      <c r="M57" s="132"/>
      <c r="N57" s="132"/>
      <c r="O57" s="132"/>
      <c r="P57" s="132"/>
      <c r="Q57" s="132"/>
      <c r="R57" s="132"/>
    </row>
    <row r="58" spans="1:18">
      <c r="A58" s="132"/>
      <c r="B58" s="96" t="s">
        <v>522</v>
      </c>
      <c r="C58" s="195">
        <f>'Historical Financial Statements'!C91/'Historical Financial Statements'!C$98</f>
        <v>0.71996522956935372</v>
      </c>
      <c r="D58" s="195">
        <f>'Historical Financial Statements'!D91/'Historical Financial Statements'!D$98</f>
        <v>0.7327789378564189</v>
      </c>
      <c r="E58" s="195">
        <f>'Historical Financial Statements'!E91/'Historical Financial Statements'!E$98</f>
        <v>0.73285121263663722</v>
      </c>
      <c r="F58" s="195">
        <f>'Historical Financial Statements'!F91/'Historical Financial Statements'!F$98</f>
        <v>0.74787563842362337</v>
      </c>
      <c r="G58" s="195">
        <f>'Historical Financial Statements'!G91/'Historical Financial Statements'!G$98</f>
        <v>0.75165982464142722</v>
      </c>
      <c r="H58" s="195">
        <f>'Historical Financial Statements'!H91/'Historical Financial Statements'!H$98</f>
        <v>0.73122406731170753</v>
      </c>
      <c r="I58" s="195">
        <f>'Historical Financial Statements'!I91/'Historical Financial Statements'!I$98</f>
        <v>0.70178068182705289</v>
      </c>
      <c r="J58" s="195">
        <f>'Historical Financial Statements'!J91/'Historical Financial Statements'!J$98</f>
        <v>0.71036640178346699</v>
      </c>
      <c r="K58" s="195">
        <f>'Historical Financial Statements'!K91/'Historical Financial Statements'!K$98</f>
        <v>0.72784951950471533</v>
      </c>
      <c r="L58" s="195">
        <f>'Historical Financial Statements'!L91/'Historical Financial Statements'!L$98</f>
        <v>0.72702275383240533</v>
      </c>
      <c r="M58" s="132"/>
      <c r="N58" s="132"/>
      <c r="O58" s="132"/>
      <c r="P58" s="132"/>
      <c r="Q58" s="132"/>
      <c r="R58" s="132"/>
    </row>
    <row r="59" spans="1:18">
      <c r="A59" s="132"/>
      <c r="B59" s="97" t="s">
        <v>523</v>
      </c>
      <c r="C59" s="194">
        <f>'Historical Financial Statements'!C92/'Historical Financial Statements'!C$98</f>
        <v>0.15743278320395029</v>
      </c>
      <c r="D59" s="194">
        <f>'Historical Financial Statements'!D92/'Historical Financial Statements'!D$98</f>
        <v>0.18746870840507504</v>
      </c>
      <c r="E59" s="194">
        <f>'Historical Financial Statements'!E92/'Historical Financial Statements'!E$98</f>
        <v>0.20586870933593424</v>
      </c>
      <c r="F59" s="194">
        <f>'Historical Financial Statements'!F92/'Historical Financial Statements'!F$98</f>
        <v>0.21631688114726677</v>
      </c>
      <c r="G59" s="194">
        <f>'Historical Financial Statements'!G92/'Historical Financial Statements'!G$98</f>
        <v>0.22275606912979576</v>
      </c>
      <c r="H59" s="194">
        <f>'Historical Financial Statements'!H92/'Historical Financial Statements'!H$98</f>
        <v>0.22133077449334079</v>
      </c>
      <c r="I59" s="194">
        <f>'Historical Financial Statements'!I92/'Historical Financial Statements'!I$98</f>
        <v>0.21975534165515195</v>
      </c>
      <c r="J59" s="194">
        <f>'Historical Financial Statements'!J92/'Historical Financial Statements'!J$98</f>
        <v>0.22703966056596311</v>
      </c>
      <c r="K59" s="194">
        <f>'Historical Financial Statements'!K92/'Historical Financial Statements'!K$98</f>
        <v>0.2260728713834807</v>
      </c>
      <c r="L59" s="194">
        <f>'Historical Financial Statements'!L92/'Historical Financial Statements'!L$98</f>
        <v>0.22696546825233152</v>
      </c>
      <c r="M59" s="132"/>
      <c r="N59" s="132"/>
      <c r="O59" s="132"/>
      <c r="P59" s="132"/>
      <c r="Q59" s="132"/>
      <c r="R59" s="132"/>
    </row>
    <row r="60" spans="1:18">
      <c r="A60" s="132"/>
      <c r="B60" s="95" t="s">
        <v>539</v>
      </c>
      <c r="C60" s="195">
        <f>'Historical Financial Statements'!C93/'Historical Financial Statements'!C$98</f>
        <v>0.56253244636540345</v>
      </c>
      <c r="D60" s="195">
        <f>'Historical Financial Statements'!D93/'Historical Financial Statements'!D$98</f>
        <v>0.54531022945134389</v>
      </c>
      <c r="E60" s="195">
        <f>'Historical Financial Statements'!E93/'Historical Financial Statements'!E$98</f>
        <v>0.52698250330070295</v>
      </c>
      <c r="F60" s="195">
        <f>'Historical Financial Statements'!F93/'Historical Financial Statements'!F$98</f>
        <v>0.5315587572763566</v>
      </c>
      <c r="G60" s="195">
        <f>'Historical Financial Statements'!G93/'Historical Financial Statements'!G$98</f>
        <v>0.52890375551163149</v>
      </c>
      <c r="H60" s="195">
        <f>'Historical Financial Statements'!H93/'Historical Financial Statements'!H$98</f>
        <v>0.50989329281836682</v>
      </c>
      <c r="I60" s="195">
        <f>'Historical Financial Statements'!I93/'Historical Financial Statements'!I$98</f>
        <v>0.48202534017190096</v>
      </c>
      <c r="J60" s="195">
        <f>'Historical Financial Statements'!J93/'Historical Financial Statements'!J$98</f>
        <v>0.48332674121750385</v>
      </c>
      <c r="K60" s="195">
        <f>'Historical Financial Statements'!K93/'Historical Financial Statements'!K$98</f>
        <v>0.50177664812123468</v>
      </c>
      <c r="L60" s="195">
        <f>'Historical Financial Statements'!L93/'Historical Financial Statements'!L$98</f>
        <v>0.50005728558007378</v>
      </c>
      <c r="M60" s="132"/>
      <c r="N60" s="132"/>
      <c r="O60" s="132"/>
      <c r="P60" s="132"/>
      <c r="Q60" s="132"/>
      <c r="R60" s="132"/>
    </row>
    <row r="61" spans="1:18">
      <c r="A61" s="132"/>
      <c r="B61" s="97" t="s">
        <v>524</v>
      </c>
      <c r="C61" s="194">
        <f>'Historical Financial Statements'!C94/'Historical Financial Statements'!C$98</f>
        <v>2.6307211242439243E-2</v>
      </c>
      <c r="D61" s="194">
        <f>'Historical Financial Statements'!D94/'Historical Financial Statements'!D$98</f>
        <v>2.0173157001379883E-2</v>
      </c>
      <c r="E61" s="194">
        <f>'Historical Financial Statements'!E94/'Historical Financial Statements'!E$98</f>
        <v>3.0640039013714274E-2</v>
      </c>
      <c r="F61" s="194">
        <f>'Historical Financial Statements'!F94/'Historical Financial Statements'!F$98</f>
        <v>1.7965073488413585E-2</v>
      </c>
      <c r="G61" s="194">
        <f>'Historical Financial Statements'!G94/'Historical Financial Statements'!G$98</f>
        <v>3.3145811160103393E-2</v>
      </c>
      <c r="H61" s="194">
        <f>'Historical Financial Statements'!H94/'Historical Financial Statements'!H$98</f>
        <v>4.1181331129887783E-2</v>
      </c>
      <c r="I61" s="194">
        <f>'Historical Financial Statements'!I94/'Historical Financial Statements'!I$98</f>
        <v>4.1976002560559576E-2</v>
      </c>
      <c r="J61" s="194">
        <f>'Historical Financial Statements'!J94/'Historical Financial Statements'!J$98</f>
        <v>8.3139764841249866E-2</v>
      </c>
      <c r="K61" s="194">
        <f>'Historical Financial Statements'!K94/'Historical Financial Statements'!K$98</f>
        <v>8.1175212717599379E-2</v>
      </c>
      <c r="L61" s="194">
        <f>'Historical Financial Statements'!L94/'Historical Financial Statements'!L$98</f>
        <v>8.3608304117687493E-2</v>
      </c>
      <c r="M61" s="132"/>
      <c r="N61" s="132"/>
      <c r="O61" s="132"/>
      <c r="P61" s="132"/>
      <c r="Q61" s="132"/>
      <c r="R61" s="132"/>
    </row>
    <row r="62" spans="1:18">
      <c r="A62" s="132"/>
      <c r="B62" s="97" t="s">
        <v>530</v>
      </c>
      <c r="C62" s="194">
        <f>'Historical Financial Statements'!C95/'Historical Financial Statements'!C$98</f>
        <v>0.14334351495249248</v>
      </c>
      <c r="D62" s="194">
        <f>'Historical Financial Statements'!D95/'Historical Financial Statements'!D$98</f>
        <v>0.15177492032091439</v>
      </c>
      <c r="E62" s="194">
        <f>'Historical Financial Statements'!E95/'Historical Financial Statements'!E$98</f>
        <v>0.16107430447349327</v>
      </c>
      <c r="F62" s="194">
        <f>'Historical Financial Statements'!F95/'Historical Financial Statements'!F$98</f>
        <v>0.16208711555188796</v>
      </c>
      <c r="G62" s="194">
        <f>'Historical Financial Statements'!G95/'Historical Financial Statements'!G$98</f>
        <v>0.13328265166489281</v>
      </c>
      <c r="H62" s="194">
        <f>'Historical Financial Statements'!H95/'Historical Financial Statements'!H$98</f>
        <v>0.12580963296638856</v>
      </c>
      <c r="I62" s="194">
        <f>'Historical Financial Statements'!I95/'Historical Financial Statements'!I$98</f>
        <v>0.1301357564970296</v>
      </c>
      <c r="J62" s="194">
        <f>'Historical Financial Statements'!J95/'Historical Financial Statements'!J$98</f>
        <v>0.11733486749847183</v>
      </c>
      <c r="K62" s="194">
        <f>'Historical Financial Statements'!K95/'Historical Financial Statements'!K$98</f>
        <v>0.10446050719302402</v>
      </c>
      <c r="L62" s="194">
        <f>'Historical Financial Statements'!L95/'Historical Financial Statements'!L$98</f>
        <v>9.4950848972296692E-2</v>
      </c>
      <c r="M62" s="132"/>
      <c r="N62" s="132"/>
      <c r="O62" s="132"/>
      <c r="P62" s="132"/>
      <c r="Q62" s="132"/>
      <c r="R62" s="132"/>
    </row>
    <row r="63" spans="1:18">
      <c r="A63" s="132"/>
      <c r="B63" s="96" t="s">
        <v>531</v>
      </c>
      <c r="C63" s="195">
        <f>'Historical Financial Statements'!C96/'Historical Financial Statements'!C$98</f>
        <v>0.73218317256033516</v>
      </c>
      <c r="D63" s="195">
        <f>'Historical Financial Statements'!D96/'Historical Financial Statements'!D$98</f>
        <v>0.71725830677363811</v>
      </c>
      <c r="E63" s="195">
        <f>'Historical Financial Statements'!E96/'Historical Financial Statements'!E$98</f>
        <v>0.71869684678791046</v>
      </c>
      <c r="F63" s="195">
        <f>'Historical Financial Statements'!F96/'Historical Financial Statements'!F$98</f>
        <v>0.71161094631665811</v>
      </c>
      <c r="G63" s="195">
        <f>'Historical Financial Statements'!G96/'Historical Financial Statements'!G$98</f>
        <v>0.69533221833662762</v>
      </c>
      <c r="H63" s="195">
        <f>'Historical Financial Statements'!H96/'Historical Financial Statements'!H$98</f>
        <v>0.67688425691464316</v>
      </c>
      <c r="I63" s="195">
        <f>'Historical Financial Statements'!I96/'Historical Financial Statements'!I$98</f>
        <v>0.65413709922949015</v>
      </c>
      <c r="J63" s="195">
        <f>'Historical Financial Statements'!J96/'Historical Financial Statements'!J$98</f>
        <v>0.68380137355722559</v>
      </c>
      <c r="K63" s="195">
        <f>'Historical Financial Statements'!K96/'Historical Financial Statements'!K$98</f>
        <v>0.68741236803185801</v>
      </c>
      <c r="L63" s="195">
        <f>'Historical Financial Statements'!L96/'Historical Financial Statements'!L$98</f>
        <v>0.67861643867005794</v>
      </c>
      <c r="M63" s="132"/>
      <c r="N63" s="132"/>
      <c r="O63" s="132"/>
      <c r="P63" s="132"/>
      <c r="Q63" s="132"/>
      <c r="R63" s="132"/>
    </row>
    <row r="64" spans="1:18">
      <c r="A64" s="132"/>
      <c r="B64" s="191"/>
      <c r="C64" s="194"/>
      <c r="D64" s="194"/>
      <c r="E64" s="194"/>
      <c r="F64" s="194"/>
      <c r="G64" s="194"/>
      <c r="H64" s="194"/>
      <c r="I64" s="194"/>
      <c r="J64" s="194"/>
      <c r="K64" s="194"/>
      <c r="L64" s="194"/>
      <c r="M64" s="132"/>
      <c r="N64" s="132"/>
      <c r="O64" s="132"/>
      <c r="P64" s="132"/>
      <c r="Q64" s="132"/>
      <c r="R64" s="132"/>
    </row>
    <row r="65" spans="1:18">
      <c r="A65" s="132"/>
      <c r="B65" s="191" t="s">
        <v>125</v>
      </c>
      <c r="C65" s="196">
        <f>'Historical Financial Statements'!C98/'Historical Financial Statements'!C98</f>
        <v>1</v>
      </c>
      <c r="D65" s="196">
        <f>'Historical Financial Statements'!D98/'Historical Financial Statements'!D98</f>
        <v>1</v>
      </c>
      <c r="E65" s="196">
        <f>'Historical Financial Statements'!E98/'Historical Financial Statements'!E98</f>
        <v>1</v>
      </c>
      <c r="F65" s="196">
        <f>'Historical Financial Statements'!F98/'Historical Financial Statements'!F98</f>
        <v>1</v>
      </c>
      <c r="G65" s="196">
        <f>'Historical Financial Statements'!G98/'Historical Financial Statements'!G98</f>
        <v>1</v>
      </c>
      <c r="H65" s="196">
        <f>'Historical Financial Statements'!H98/'Historical Financial Statements'!H98</f>
        <v>1</v>
      </c>
      <c r="I65" s="196">
        <f>'Historical Financial Statements'!I98/'Historical Financial Statements'!I98</f>
        <v>1</v>
      </c>
      <c r="J65" s="196">
        <f>'Historical Financial Statements'!J98/'Historical Financial Statements'!J98</f>
        <v>1</v>
      </c>
      <c r="K65" s="196">
        <f>'Historical Financial Statements'!K98/'Historical Financial Statements'!K98</f>
        <v>1</v>
      </c>
      <c r="L65" s="196">
        <f>'Historical Financial Statements'!L98/'Historical Financial Statements'!L98</f>
        <v>1</v>
      </c>
      <c r="M65" s="132"/>
      <c r="N65" s="132"/>
      <c r="O65" s="132"/>
      <c r="P65" s="132"/>
      <c r="Q65" s="132"/>
      <c r="R65" s="132"/>
    </row>
    <row r="66" spans="1:18">
      <c r="A66" s="132"/>
      <c r="B66" s="132"/>
      <c r="C66" s="132"/>
      <c r="D66" s="132"/>
      <c r="E66" s="132"/>
      <c r="F66" s="132"/>
      <c r="G66" s="132"/>
      <c r="H66" s="132"/>
      <c r="I66" s="132"/>
      <c r="J66" s="132"/>
      <c r="K66" s="132"/>
      <c r="L66" s="132"/>
      <c r="M66" s="132"/>
      <c r="N66" s="132"/>
      <c r="O66" s="132"/>
      <c r="P66" s="132"/>
      <c r="Q66" s="132"/>
      <c r="R66" s="132"/>
    </row>
    <row r="67" spans="1:18">
      <c r="A67" s="132"/>
      <c r="B67" s="132"/>
      <c r="C67" s="132"/>
      <c r="D67" s="132"/>
      <c r="E67" s="132"/>
      <c r="F67" s="132"/>
      <c r="G67" s="132"/>
      <c r="H67" s="132"/>
      <c r="I67" s="132"/>
      <c r="J67" s="132"/>
      <c r="K67" s="132"/>
      <c r="L67" s="132"/>
      <c r="M67" s="132"/>
      <c r="N67" s="132"/>
      <c r="O67" s="132"/>
      <c r="P67" s="132"/>
      <c r="Q67" s="132"/>
      <c r="R67" s="132"/>
    </row>
    <row r="68" spans="1:18">
      <c r="A68" s="132"/>
      <c r="B68" s="132"/>
      <c r="C68" s="132"/>
      <c r="D68" s="132"/>
      <c r="E68" s="132"/>
      <c r="F68" s="132"/>
      <c r="G68" s="132"/>
      <c r="H68" s="132"/>
      <c r="I68" s="132"/>
      <c r="J68" s="132"/>
      <c r="K68" s="132"/>
      <c r="L68" s="132"/>
      <c r="M68" s="132"/>
      <c r="N68" s="132"/>
      <c r="O68" s="132"/>
      <c r="P68" s="132"/>
      <c r="Q68" s="132"/>
      <c r="R68" s="132"/>
    </row>
    <row r="69" spans="1:18">
      <c r="A69" s="132"/>
      <c r="B69" s="132"/>
      <c r="C69" s="132"/>
      <c r="D69" s="132"/>
      <c r="E69" s="132"/>
      <c r="F69" s="132"/>
      <c r="G69" s="132"/>
      <c r="H69" s="132"/>
      <c r="I69" s="132"/>
      <c r="J69" s="132"/>
      <c r="K69" s="132"/>
      <c r="L69" s="132"/>
      <c r="M69" s="132"/>
      <c r="N69" s="132"/>
      <c r="O69" s="132"/>
      <c r="P69" s="132"/>
      <c r="Q69" s="132"/>
      <c r="R69" s="132"/>
    </row>
    <row r="70" spans="1:18">
      <c r="A70" s="132"/>
      <c r="B70" s="132"/>
      <c r="C70" s="132"/>
      <c r="D70" s="132"/>
      <c r="E70" s="132"/>
      <c r="F70" s="132"/>
      <c r="G70" s="132"/>
      <c r="H70" s="132"/>
      <c r="I70" s="132"/>
      <c r="J70" s="132"/>
      <c r="K70" s="132"/>
      <c r="L70" s="132"/>
      <c r="M70" s="132"/>
      <c r="N70" s="132"/>
      <c r="O70" s="132"/>
      <c r="P70" s="132"/>
      <c r="Q70" s="132"/>
      <c r="R70" s="132"/>
    </row>
    <row r="71" spans="1:18">
      <c r="A71" s="132"/>
      <c r="B71" s="132"/>
      <c r="C71" s="132"/>
      <c r="D71" s="132"/>
      <c r="E71" s="132"/>
      <c r="F71" s="132"/>
      <c r="G71" s="132"/>
      <c r="H71" s="132"/>
      <c r="I71" s="132"/>
      <c r="J71" s="132"/>
      <c r="K71" s="132"/>
      <c r="L71" s="132"/>
      <c r="M71" s="132"/>
      <c r="N71" s="132"/>
      <c r="O71" s="132"/>
      <c r="P71" s="132"/>
      <c r="Q71" s="132"/>
      <c r="R71" s="132"/>
    </row>
    <row r="72" spans="1:18">
      <c r="A72" s="132"/>
      <c r="B72" s="132"/>
      <c r="C72" s="132"/>
      <c r="D72" s="132"/>
      <c r="E72" s="132"/>
      <c r="F72" s="132"/>
      <c r="G72" s="132"/>
      <c r="H72" s="132"/>
      <c r="I72" s="132"/>
      <c r="J72" s="132"/>
      <c r="K72" s="132"/>
      <c r="L72" s="132"/>
      <c r="M72" s="132"/>
      <c r="N72" s="132"/>
      <c r="O72" s="132"/>
      <c r="P72" s="132"/>
      <c r="Q72" s="132"/>
      <c r="R72" s="132"/>
    </row>
    <row r="73" spans="1:18">
      <c r="A73" s="132"/>
      <c r="B73" s="132"/>
      <c r="C73" s="132"/>
      <c r="D73" s="132"/>
      <c r="E73" s="132"/>
      <c r="F73" s="132"/>
      <c r="G73" s="132"/>
      <c r="H73" s="132"/>
      <c r="I73" s="132"/>
      <c r="J73" s="132"/>
      <c r="K73" s="132"/>
      <c r="L73" s="132"/>
      <c r="M73" s="132"/>
      <c r="N73" s="132"/>
      <c r="O73" s="132"/>
      <c r="P73" s="132"/>
      <c r="Q73" s="132"/>
      <c r="R73" s="132"/>
    </row>
    <row r="74" spans="1:18">
      <c r="A74" s="132"/>
      <c r="B74" s="132"/>
      <c r="C74" s="132"/>
      <c r="D74" s="132"/>
      <c r="E74" s="132"/>
      <c r="F74" s="132"/>
      <c r="G74" s="132"/>
      <c r="H74" s="132"/>
      <c r="I74" s="132"/>
      <c r="J74" s="132"/>
      <c r="K74" s="132"/>
      <c r="L74" s="132"/>
      <c r="M74" s="132"/>
      <c r="N74" s="132"/>
      <c r="O74" s="132"/>
      <c r="P74" s="132"/>
      <c r="Q74" s="132"/>
      <c r="R74" s="132"/>
    </row>
    <row r="75" spans="1:18">
      <c r="A75" s="132"/>
      <c r="B75" s="132"/>
      <c r="C75" s="132"/>
      <c r="D75" s="132"/>
      <c r="E75" s="132"/>
      <c r="F75" s="132"/>
      <c r="G75" s="132"/>
      <c r="H75" s="132"/>
      <c r="I75" s="132"/>
      <c r="J75" s="132"/>
      <c r="K75" s="132"/>
      <c r="L75" s="132"/>
      <c r="M75" s="132"/>
      <c r="N75" s="132"/>
      <c r="O75" s="132"/>
      <c r="P75" s="132"/>
      <c r="Q75" s="132"/>
      <c r="R75" s="132"/>
    </row>
    <row r="76" spans="1:18">
      <c r="A76" s="132"/>
      <c r="B76" s="132"/>
      <c r="C76" s="132"/>
      <c r="D76" s="132"/>
      <c r="E76" s="132"/>
      <c r="F76" s="132"/>
      <c r="G76" s="132"/>
      <c r="H76" s="132"/>
      <c r="I76" s="132"/>
      <c r="J76" s="132"/>
      <c r="K76" s="132"/>
      <c r="L76" s="132"/>
      <c r="M76" s="132"/>
      <c r="N76" s="132"/>
      <c r="O76" s="132"/>
      <c r="P76" s="132"/>
      <c r="Q76" s="132"/>
      <c r="R76" s="132"/>
    </row>
    <row r="77" spans="1:18">
      <c r="A77" s="132"/>
      <c r="B77" s="132"/>
      <c r="C77" s="132"/>
      <c r="D77" s="132"/>
      <c r="E77" s="132"/>
      <c r="F77" s="132"/>
      <c r="G77" s="132"/>
      <c r="H77" s="132"/>
      <c r="I77" s="132"/>
      <c r="J77" s="132"/>
      <c r="K77" s="132"/>
      <c r="L77" s="132"/>
      <c r="M77" s="132"/>
      <c r="N77" s="132"/>
      <c r="O77" s="132"/>
      <c r="P77" s="132"/>
      <c r="Q77" s="132"/>
      <c r="R77" s="132"/>
    </row>
    <row r="78" spans="1:18">
      <c r="A78" s="132"/>
      <c r="B78" s="132"/>
      <c r="C78" s="132"/>
      <c r="D78" s="132"/>
      <c r="E78" s="132"/>
      <c r="F78" s="132"/>
      <c r="G78" s="132"/>
      <c r="H78" s="132"/>
      <c r="I78" s="132"/>
      <c r="J78" s="132"/>
      <c r="K78" s="132"/>
      <c r="L78" s="132"/>
      <c r="M78" s="132"/>
      <c r="N78" s="132"/>
      <c r="O78" s="132"/>
      <c r="P78" s="132"/>
      <c r="Q78" s="132"/>
      <c r="R78" s="132"/>
    </row>
    <row r="79" spans="1:18">
      <c r="A79" s="132"/>
      <c r="B79" s="132"/>
      <c r="C79" s="132"/>
      <c r="D79" s="132"/>
      <c r="E79" s="132"/>
      <c r="F79" s="132"/>
      <c r="G79" s="132"/>
      <c r="H79" s="132"/>
      <c r="I79" s="132"/>
      <c r="J79" s="132"/>
      <c r="K79" s="132"/>
      <c r="L79" s="132"/>
      <c r="M79" s="132"/>
      <c r="N79" s="132"/>
      <c r="O79" s="132"/>
      <c r="P79" s="132"/>
      <c r="Q79" s="132"/>
      <c r="R79" s="132"/>
    </row>
    <row r="80" spans="1:18">
      <c r="A80" s="132"/>
      <c r="B80" s="132"/>
      <c r="C80" s="132"/>
      <c r="D80" s="132"/>
      <c r="E80" s="132"/>
      <c r="F80" s="132"/>
      <c r="G80" s="132"/>
      <c r="H80" s="132"/>
      <c r="I80" s="132"/>
      <c r="J80" s="132"/>
      <c r="K80" s="132"/>
      <c r="L80" s="132"/>
      <c r="M80" s="132"/>
      <c r="N80" s="132"/>
      <c r="O80" s="132"/>
      <c r="P80" s="132"/>
      <c r="Q80" s="132"/>
      <c r="R80" s="132"/>
    </row>
    <row r="81" spans="1:18">
      <c r="A81" s="132"/>
      <c r="B81" s="132"/>
      <c r="C81" s="132"/>
      <c r="D81" s="132"/>
      <c r="E81" s="132"/>
      <c r="F81" s="132"/>
      <c r="G81" s="132"/>
      <c r="H81" s="132"/>
      <c r="I81" s="132"/>
      <c r="J81" s="132"/>
      <c r="K81" s="132"/>
      <c r="L81" s="132"/>
      <c r="M81" s="132"/>
      <c r="N81" s="132"/>
      <c r="O81" s="132"/>
      <c r="P81" s="132"/>
      <c r="Q81" s="132"/>
      <c r="R81" s="132"/>
    </row>
    <row r="82" spans="1:18">
      <c r="A82" s="132"/>
      <c r="B82" s="132"/>
      <c r="C82" s="132"/>
      <c r="D82" s="132"/>
      <c r="E82" s="132"/>
      <c r="F82" s="132"/>
      <c r="G82" s="132"/>
      <c r="H82" s="132"/>
      <c r="I82" s="132"/>
      <c r="J82" s="132"/>
      <c r="K82" s="132"/>
      <c r="L82" s="132"/>
      <c r="M82" s="132"/>
      <c r="N82" s="132"/>
      <c r="O82" s="132"/>
      <c r="P82" s="132"/>
      <c r="Q82" s="132"/>
      <c r="R82" s="132"/>
    </row>
    <row r="83" spans="1:18">
      <c r="A83" s="132"/>
      <c r="B83" s="132"/>
      <c r="C83" s="132"/>
      <c r="D83" s="132"/>
      <c r="E83" s="132"/>
      <c r="F83" s="132"/>
      <c r="G83" s="132"/>
      <c r="H83" s="132"/>
      <c r="I83" s="132"/>
      <c r="J83" s="132"/>
      <c r="K83" s="132"/>
      <c r="L83" s="132"/>
      <c r="M83" s="132"/>
      <c r="N83" s="132"/>
      <c r="O83" s="132"/>
      <c r="P83" s="132"/>
      <c r="Q83" s="132"/>
      <c r="R83" s="132"/>
    </row>
    <row r="84" spans="1:18">
      <c r="A84" s="132"/>
      <c r="B84" s="132"/>
      <c r="C84" s="132"/>
      <c r="D84" s="132"/>
      <c r="E84" s="132"/>
      <c r="F84" s="132"/>
      <c r="G84" s="132"/>
      <c r="H84" s="132"/>
      <c r="I84" s="132"/>
      <c r="J84" s="132"/>
      <c r="K84" s="132"/>
      <c r="L84" s="132"/>
      <c r="M84" s="132"/>
      <c r="N84" s="132"/>
      <c r="O84" s="132"/>
      <c r="P84" s="132"/>
      <c r="Q84" s="132"/>
      <c r="R84" s="132"/>
    </row>
    <row r="85" spans="1:18">
      <c r="A85" s="132"/>
      <c r="B85" s="132"/>
      <c r="C85" s="132"/>
      <c r="D85" s="132"/>
      <c r="E85" s="132"/>
      <c r="F85" s="132"/>
      <c r="G85" s="132"/>
      <c r="H85" s="132"/>
      <c r="I85" s="132"/>
      <c r="J85" s="132"/>
      <c r="K85" s="132"/>
      <c r="L85" s="132"/>
      <c r="M85" s="132"/>
      <c r="N85" s="132"/>
      <c r="O85" s="132"/>
      <c r="P85" s="132"/>
      <c r="Q85" s="132"/>
      <c r="R85" s="132"/>
    </row>
    <row r="86" spans="1:18">
      <c r="A86" s="132"/>
      <c r="B86" s="132"/>
      <c r="C86" s="132"/>
      <c r="D86" s="132"/>
      <c r="E86" s="132"/>
      <c r="F86" s="132"/>
      <c r="G86" s="132"/>
      <c r="H86" s="132"/>
      <c r="I86" s="132"/>
      <c r="J86" s="132"/>
      <c r="K86" s="132"/>
      <c r="L86" s="132"/>
      <c r="M86" s="132"/>
      <c r="N86" s="132"/>
      <c r="O86" s="132"/>
      <c r="P86" s="132"/>
      <c r="Q86" s="132"/>
      <c r="R86" s="132"/>
    </row>
    <row r="87" spans="1:18">
      <c r="A87" s="132"/>
      <c r="B87" s="132"/>
      <c r="C87" s="132"/>
      <c r="D87" s="132"/>
      <c r="E87" s="132"/>
      <c r="F87" s="132"/>
      <c r="G87" s="132"/>
      <c r="H87" s="132"/>
      <c r="I87" s="132"/>
      <c r="J87" s="132"/>
      <c r="K87" s="132"/>
      <c r="L87" s="132"/>
      <c r="M87" s="132"/>
      <c r="N87" s="132"/>
      <c r="O87" s="132"/>
      <c r="P87" s="132"/>
      <c r="Q87" s="132"/>
      <c r="R87" s="132"/>
    </row>
    <row r="88" spans="1:18">
      <c r="A88" s="132"/>
      <c r="B88" s="132"/>
      <c r="C88" s="132"/>
      <c r="D88" s="132"/>
      <c r="E88" s="132"/>
      <c r="F88" s="132"/>
      <c r="G88" s="132"/>
      <c r="H88" s="132"/>
      <c r="I88" s="132"/>
      <c r="J88" s="132"/>
      <c r="K88" s="132"/>
      <c r="L88" s="132"/>
      <c r="M88" s="132"/>
      <c r="N88" s="132"/>
      <c r="O88" s="132"/>
      <c r="P88" s="132"/>
      <c r="Q88" s="132"/>
      <c r="R88" s="132"/>
    </row>
    <row r="89" spans="1:18">
      <c r="A89" s="132"/>
      <c r="B89" s="132"/>
      <c r="C89" s="132"/>
      <c r="D89" s="132"/>
      <c r="E89" s="132"/>
      <c r="F89" s="132"/>
      <c r="G89" s="132"/>
      <c r="H89" s="132"/>
      <c r="I89" s="132"/>
      <c r="J89" s="132"/>
      <c r="K89" s="132"/>
      <c r="L89" s="132"/>
      <c r="M89" s="132"/>
      <c r="N89" s="132"/>
      <c r="O89" s="132"/>
      <c r="P89" s="132"/>
      <c r="Q89" s="132"/>
      <c r="R89" s="132"/>
    </row>
    <row r="90" spans="1:18">
      <c r="A90" s="132"/>
      <c r="B90" s="132"/>
      <c r="C90" s="132"/>
      <c r="D90" s="132"/>
      <c r="E90" s="132"/>
      <c r="F90" s="132"/>
      <c r="G90" s="132"/>
      <c r="H90" s="132"/>
      <c r="I90" s="132"/>
      <c r="J90" s="132"/>
      <c r="K90" s="132"/>
      <c r="L90" s="132"/>
      <c r="M90" s="132"/>
      <c r="N90" s="132"/>
      <c r="O90" s="132"/>
      <c r="P90" s="132"/>
      <c r="Q90" s="132"/>
      <c r="R90" s="132"/>
    </row>
    <row r="91" spans="1:18">
      <c r="A91" s="132"/>
      <c r="B91" s="132"/>
      <c r="C91" s="132"/>
      <c r="D91" s="132"/>
      <c r="E91" s="132"/>
      <c r="F91" s="132"/>
      <c r="G91" s="132"/>
      <c r="H91" s="132"/>
      <c r="I91" s="132"/>
      <c r="J91" s="132"/>
      <c r="K91" s="132"/>
      <c r="L91" s="132"/>
      <c r="M91" s="132"/>
      <c r="N91" s="132"/>
      <c r="O91" s="132"/>
      <c r="P91" s="132"/>
      <c r="Q91" s="132"/>
      <c r="R91" s="132"/>
    </row>
    <row r="92" spans="1:18">
      <c r="A92" s="132"/>
      <c r="B92" s="132"/>
      <c r="C92" s="132"/>
      <c r="D92" s="132"/>
      <c r="E92" s="132"/>
      <c r="F92" s="132"/>
      <c r="G92" s="132"/>
      <c r="H92" s="132"/>
      <c r="I92" s="132"/>
      <c r="J92" s="132"/>
      <c r="K92" s="132"/>
      <c r="L92" s="132"/>
      <c r="M92" s="132"/>
      <c r="N92" s="132"/>
      <c r="O92" s="132"/>
      <c r="P92" s="132"/>
      <c r="Q92" s="132"/>
      <c r="R92" s="132"/>
    </row>
    <row r="93" spans="1:18">
      <c r="A93" s="132"/>
      <c r="B93" s="132"/>
      <c r="C93" s="132"/>
      <c r="D93" s="132"/>
      <c r="E93" s="132"/>
      <c r="F93" s="132"/>
      <c r="G93" s="132"/>
      <c r="H93" s="132"/>
      <c r="I93" s="132"/>
      <c r="J93" s="132"/>
      <c r="K93" s="132"/>
      <c r="L93" s="132"/>
      <c r="M93" s="132"/>
      <c r="N93" s="132"/>
      <c r="O93" s="132"/>
      <c r="P93" s="132"/>
      <c r="Q93" s="132"/>
      <c r="R93" s="132"/>
    </row>
    <row r="94" spans="1:18">
      <c r="A94" s="132"/>
      <c r="B94" s="132"/>
      <c r="C94" s="132"/>
      <c r="D94" s="132"/>
      <c r="E94" s="132"/>
      <c r="F94" s="132"/>
      <c r="G94" s="132"/>
      <c r="H94" s="132"/>
      <c r="I94" s="132"/>
      <c r="J94" s="132"/>
      <c r="K94" s="132"/>
      <c r="L94" s="132"/>
      <c r="M94" s="132"/>
      <c r="N94" s="132"/>
      <c r="O94" s="132"/>
      <c r="P94" s="132"/>
      <c r="Q94" s="132"/>
      <c r="R94" s="132"/>
    </row>
    <row r="95" spans="1:18">
      <c r="A95" s="132"/>
      <c r="B95" s="132"/>
      <c r="C95" s="132"/>
      <c r="D95" s="132"/>
      <c r="E95" s="132"/>
      <c r="F95" s="132"/>
      <c r="G95" s="132"/>
      <c r="H95" s="132"/>
      <c r="I95" s="132"/>
      <c r="J95" s="132"/>
      <c r="K95" s="132"/>
      <c r="L95" s="132"/>
      <c r="M95" s="132"/>
      <c r="N95" s="132"/>
      <c r="O95" s="132"/>
      <c r="P95" s="132"/>
      <c r="Q95" s="132"/>
      <c r="R95" s="132"/>
    </row>
    <row r="96" spans="1:18">
      <c r="A96" s="132"/>
      <c r="B96" s="132"/>
      <c r="C96" s="132"/>
      <c r="D96" s="132"/>
      <c r="E96" s="132"/>
      <c r="F96" s="132"/>
      <c r="G96" s="132"/>
      <c r="H96" s="132"/>
      <c r="I96" s="132"/>
      <c r="J96" s="132"/>
      <c r="K96" s="132"/>
      <c r="L96" s="132"/>
      <c r="M96" s="132"/>
      <c r="N96" s="132"/>
      <c r="O96" s="132"/>
      <c r="P96" s="132"/>
      <c r="Q96" s="132"/>
      <c r="R96" s="132"/>
    </row>
    <row r="97" spans="1:18">
      <c r="A97" s="132"/>
      <c r="B97" s="132"/>
      <c r="C97" s="132"/>
      <c r="D97" s="132"/>
      <c r="E97" s="132"/>
      <c r="F97" s="132"/>
      <c r="G97" s="132"/>
      <c r="H97" s="132"/>
      <c r="I97" s="132"/>
      <c r="J97" s="132"/>
      <c r="K97" s="132"/>
      <c r="L97" s="132"/>
      <c r="M97" s="132"/>
      <c r="N97" s="132"/>
      <c r="O97" s="132"/>
      <c r="P97" s="132"/>
      <c r="Q97" s="132"/>
      <c r="R97" s="132"/>
    </row>
    <row r="98" spans="1:18">
      <c r="A98" s="132"/>
      <c r="B98" s="132"/>
      <c r="C98" s="132"/>
      <c r="D98" s="132"/>
      <c r="E98" s="132"/>
      <c r="F98" s="132"/>
      <c r="G98" s="132"/>
      <c r="H98" s="132"/>
      <c r="I98" s="132"/>
      <c r="J98" s="132"/>
      <c r="K98" s="132"/>
      <c r="L98" s="132"/>
      <c r="M98" s="132"/>
      <c r="N98" s="132"/>
      <c r="O98" s="132"/>
      <c r="P98" s="132"/>
      <c r="Q98" s="132"/>
      <c r="R98" s="132"/>
    </row>
    <row r="99" spans="1:18">
      <c r="A99" s="132"/>
      <c r="B99" s="132"/>
      <c r="C99" s="132"/>
      <c r="D99" s="132"/>
      <c r="E99" s="132"/>
      <c r="F99" s="132"/>
      <c r="G99" s="132"/>
      <c r="H99" s="132"/>
      <c r="I99" s="132"/>
      <c r="J99" s="132"/>
      <c r="K99" s="132"/>
      <c r="L99" s="132"/>
      <c r="M99" s="132"/>
      <c r="N99" s="132"/>
      <c r="O99" s="132"/>
      <c r="P99" s="132"/>
      <c r="Q99" s="132"/>
      <c r="R99" s="132"/>
    </row>
    <row r="100" spans="1:18">
      <c r="A100" s="132"/>
      <c r="B100" s="132"/>
      <c r="C100" s="132"/>
      <c r="D100" s="132"/>
      <c r="E100" s="132"/>
      <c r="F100" s="132"/>
      <c r="G100" s="132"/>
      <c r="H100" s="132"/>
      <c r="I100" s="132"/>
      <c r="J100" s="132"/>
      <c r="K100" s="132"/>
      <c r="L100" s="132"/>
      <c r="M100" s="132"/>
      <c r="N100" s="132"/>
      <c r="O100" s="132"/>
      <c r="P100" s="132"/>
      <c r="Q100" s="132"/>
      <c r="R100" s="132"/>
    </row>
    <row r="101" spans="1:18">
      <c r="A101" s="132"/>
      <c r="B101" s="132"/>
      <c r="C101" s="132"/>
      <c r="D101" s="132"/>
      <c r="E101" s="132"/>
      <c r="F101" s="132"/>
      <c r="G101" s="132"/>
      <c r="H101" s="132"/>
      <c r="I101" s="132"/>
      <c r="J101" s="132"/>
      <c r="K101" s="132"/>
      <c r="L101" s="132"/>
      <c r="M101" s="132"/>
      <c r="N101" s="132"/>
      <c r="O101" s="132"/>
      <c r="P101" s="132"/>
      <c r="Q101" s="132"/>
      <c r="R101" s="132"/>
    </row>
    <row r="102" spans="1:18">
      <c r="A102" s="132"/>
      <c r="B102" s="132"/>
      <c r="C102" s="132"/>
      <c r="D102" s="132"/>
      <c r="E102" s="132"/>
      <c r="F102" s="132"/>
      <c r="G102" s="132"/>
      <c r="H102" s="132"/>
      <c r="I102" s="132"/>
      <c r="J102" s="132"/>
      <c r="K102" s="132"/>
      <c r="L102" s="132"/>
      <c r="M102" s="132"/>
      <c r="N102" s="132"/>
      <c r="O102" s="132"/>
      <c r="P102" s="132"/>
      <c r="Q102" s="132"/>
      <c r="R102" s="132"/>
    </row>
    <row r="103" spans="1:18">
      <c r="A103" s="132"/>
      <c r="B103" s="132"/>
      <c r="C103" s="132"/>
      <c r="D103" s="132"/>
      <c r="E103" s="132"/>
      <c r="F103" s="132"/>
      <c r="G103" s="132"/>
      <c r="H103" s="132"/>
      <c r="I103" s="132"/>
      <c r="J103" s="132"/>
      <c r="K103" s="132"/>
      <c r="L103" s="132"/>
      <c r="M103" s="132"/>
      <c r="N103" s="132"/>
      <c r="O103" s="132"/>
      <c r="P103" s="132"/>
      <c r="Q103" s="132"/>
      <c r="R103" s="132"/>
    </row>
    <row r="104" spans="1:18">
      <c r="A104" s="132"/>
      <c r="B104" s="132"/>
      <c r="C104" s="132"/>
      <c r="D104" s="132"/>
      <c r="E104" s="132"/>
      <c r="F104" s="132"/>
      <c r="G104" s="132"/>
      <c r="H104" s="132"/>
      <c r="I104" s="132"/>
      <c r="J104" s="132"/>
      <c r="K104" s="132"/>
      <c r="L104" s="132"/>
      <c r="M104" s="132"/>
      <c r="N104" s="132"/>
      <c r="O104" s="132"/>
      <c r="P104" s="132"/>
      <c r="Q104" s="132"/>
      <c r="R104" s="132"/>
    </row>
    <row r="105" spans="1:18">
      <c r="A105" s="132"/>
      <c r="B105" s="132"/>
      <c r="C105" s="132"/>
      <c r="D105" s="132"/>
      <c r="E105" s="132"/>
      <c r="F105" s="132"/>
      <c r="G105" s="132"/>
      <c r="H105" s="132"/>
      <c r="I105" s="132"/>
      <c r="J105" s="132"/>
      <c r="K105" s="132"/>
      <c r="L105" s="132"/>
      <c r="M105" s="132"/>
      <c r="N105" s="132"/>
      <c r="O105" s="132"/>
      <c r="P105" s="132"/>
      <c r="Q105" s="132"/>
      <c r="R105" s="132"/>
    </row>
    <row r="106" spans="1:18">
      <c r="A106" s="132"/>
      <c r="B106" s="132"/>
      <c r="C106" s="132"/>
      <c r="D106" s="132"/>
      <c r="E106" s="132"/>
      <c r="F106" s="132"/>
      <c r="G106" s="132"/>
      <c r="H106" s="132"/>
      <c r="I106" s="132"/>
      <c r="J106" s="132"/>
      <c r="K106" s="132"/>
      <c r="L106" s="132"/>
      <c r="M106" s="132"/>
      <c r="N106" s="132"/>
      <c r="O106" s="132"/>
      <c r="P106" s="132"/>
      <c r="Q106" s="132"/>
      <c r="R106" s="132"/>
    </row>
    <row r="107" spans="1:18">
      <c r="A107" s="132"/>
      <c r="B107" s="132"/>
      <c r="C107" s="132"/>
      <c r="D107" s="132"/>
      <c r="E107" s="132"/>
      <c r="F107" s="132"/>
      <c r="G107" s="132"/>
      <c r="H107" s="132"/>
      <c r="I107" s="132"/>
      <c r="J107" s="132"/>
      <c r="K107" s="132"/>
      <c r="L107" s="132"/>
      <c r="M107" s="132"/>
      <c r="N107" s="132"/>
      <c r="O107" s="132"/>
      <c r="P107" s="132"/>
      <c r="Q107" s="132"/>
      <c r="R107" s="132"/>
    </row>
    <row r="108" spans="1:18">
      <c r="A108" s="132"/>
      <c r="B108" s="132"/>
      <c r="C108" s="132"/>
      <c r="D108" s="132"/>
      <c r="E108" s="132"/>
      <c r="F108" s="132"/>
      <c r="G108" s="132"/>
      <c r="H108" s="132"/>
      <c r="I108" s="132"/>
      <c r="J108" s="132"/>
      <c r="K108" s="132"/>
      <c r="L108" s="132"/>
      <c r="M108" s="132"/>
      <c r="N108" s="132"/>
      <c r="O108" s="132"/>
      <c r="P108" s="132"/>
      <c r="Q108" s="132"/>
      <c r="R108" s="132"/>
    </row>
    <row r="109" spans="1:18">
      <c r="A109" s="132"/>
      <c r="B109" s="132"/>
      <c r="C109" s="132"/>
      <c r="D109" s="132"/>
      <c r="E109" s="132"/>
      <c r="F109" s="132"/>
      <c r="G109" s="132"/>
      <c r="H109" s="132"/>
      <c r="I109" s="132"/>
      <c r="J109" s="132"/>
      <c r="K109" s="132"/>
      <c r="L109" s="132"/>
      <c r="M109" s="132"/>
      <c r="N109" s="132"/>
      <c r="O109" s="132"/>
      <c r="P109" s="132"/>
      <c r="Q109" s="132"/>
      <c r="R109" s="132"/>
    </row>
    <row r="110" spans="1:18">
      <c r="A110" s="132"/>
      <c r="B110" s="132"/>
      <c r="C110" s="132"/>
      <c r="D110" s="132"/>
      <c r="E110" s="132"/>
      <c r="F110" s="132"/>
      <c r="G110" s="132"/>
      <c r="H110" s="132"/>
      <c r="I110" s="132"/>
      <c r="J110" s="132"/>
      <c r="K110" s="132"/>
      <c r="L110" s="132"/>
      <c r="M110" s="132"/>
      <c r="N110" s="132"/>
      <c r="O110" s="132"/>
      <c r="P110" s="132"/>
      <c r="Q110" s="132"/>
      <c r="R110" s="132"/>
    </row>
    <row r="111" spans="1:18">
      <c r="A111" s="132"/>
      <c r="B111" s="132"/>
      <c r="C111" s="132"/>
      <c r="D111" s="132"/>
      <c r="E111" s="132"/>
      <c r="F111" s="132"/>
      <c r="G111" s="132"/>
      <c r="H111" s="132"/>
      <c r="I111" s="132"/>
      <c r="J111" s="132"/>
      <c r="K111" s="132"/>
      <c r="L111" s="132"/>
      <c r="M111" s="132"/>
      <c r="N111" s="132"/>
      <c r="O111" s="132"/>
      <c r="P111" s="132"/>
      <c r="Q111" s="132"/>
      <c r="R111" s="132"/>
    </row>
    <row r="112" spans="1:18">
      <c r="A112" s="132"/>
      <c r="B112" s="132"/>
      <c r="C112" s="132"/>
      <c r="D112" s="132"/>
      <c r="E112" s="132"/>
      <c r="F112" s="132"/>
      <c r="G112" s="132"/>
      <c r="H112" s="132"/>
      <c r="I112" s="132"/>
      <c r="J112" s="132"/>
      <c r="K112" s="132"/>
      <c r="L112" s="132"/>
      <c r="M112" s="132"/>
      <c r="N112" s="132"/>
      <c r="O112" s="132"/>
      <c r="P112" s="132"/>
      <c r="Q112" s="132"/>
      <c r="R112" s="132"/>
    </row>
    <row r="113" spans="1:18">
      <c r="A113" s="132"/>
      <c r="B113" s="132"/>
      <c r="C113" s="132"/>
      <c r="D113" s="132"/>
      <c r="E113" s="132"/>
      <c r="F113" s="132"/>
      <c r="G113" s="132"/>
      <c r="H113" s="132"/>
      <c r="I113" s="132"/>
      <c r="J113" s="132"/>
      <c r="K113" s="132"/>
      <c r="L113" s="132"/>
      <c r="M113" s="132"/>
      <c r="N113" s="132"/>
      <c r="O113" s="132"/>
      <c r="P113" s="132"/>
      <c r="Q113" s="132"/>
      <c r="R113" s="132"/>
    </row>
    <row r="114" spans="1:18">
      <c r="A114" s="132"/>
      <c r="B114" s="132"/>
      <c r="C114" s="132"/>
      <c r="D114" s="132"/>
      <c r="E114" s="132"/>
      <c r="F114" s="132"/>
      <c r="G114" s="132"/>
      <c r="H114" s="132"/>
      <c r="I114" s="132"/>
      <c r="J114" s="132"/>
      <c r="K114" s="132"/>
      <c r="L114" s="132"/>
      <c r="M114" s="132"/>
      <c r="N114" s="132"/>
      <c r="O114" s="132"/>
      <c r="P114" s="132"/>
      <c r="Q114" s="132"/>
      <c r="R114" s="132"/>
    </row>
    <row r="115" spans="1:18">
      <c r="A115" s="132"/>
      <c r="B115" s="132"/>
      <c r="C115" s="132"/>
      <c r="D115" s="132"/>
      <c r="E115" s="132"/>
      <c r="F115" s="132"/>
      <c r="G115" s="132"/>
      <c r="H115" s="132"/>
      <c r="I115" s="132"/>
      <c r="J115" s="132"/>
      <c r="K115" s="132"/>
      <c r="L115" s="132"/>
      <c r="M115" s="132"/>
      <c r="N115" s="132"/>
      <c r="O115" s="132"/>
      <c r="P115" s="132"/>
      <c r="Q115" s="132"/>
      <c r="R115" s="132"/>
    </row>
    <row r="116" spans="1:18">
      <c r="A116" s="132"/>
      <c r="B116" s="132"/>
      <c r="C116" s="132"/>
      <c r="D116" s="132"/>
      <c r="E116" s="132"/>
      <c r="F116" s="132"/>
      <c r="G116" s="132"/>
      <c r="H116" s="132"/>
      <c r="I116" s="132"/>
      <c r="J116" s="132"/>
      <c r="K116" s="132"/>
      <c r="L116" s="132"/>
      <c r="M116" s="132"/>
      <c r="N116" s="132"/>
      <c r="O116" s="132"/>
      <c r="P116" s="132"/>
      <c r="Q116" s="132"/>
      <c r="R116" s="132"/>
    </row>
    <row r="117" spans="1:18">
      <c r="A117" s="132"/>
      <c r="B117" s="132"/>
      <c r="C117" s="132"/>
      <c r="D117" s="132"/>
      <c r="E117" s="132"/>
      <c r="F117" s="132"/>
      <c r="G117" s="132"/>
      <c r="H117" s="132"/>
      <c r="I117" s="132"/>
      <c r="J117" s="132"/>
      <c r="K117" s="132"/>
      <c r="L117" s="132"/>
      <c r="M117" s="132"/>
      <c r="N117" s="132"/>
      <c r="O117" s="132"/>
      <c r="P117" s="132"/>
      <c r="Q117" s="132"/>
      <c r="R117" s="132"/>
    </row>
    <row r="118" spans="1:18">
      <c r="A118" s="132"/>
      <c r="B118" s="132"/>
      <c r="C118" s="132"/>
      <c r="D118" s="132"/>
      <c r="E118" s="132"/>
      <c r="F118" s="132"/>
      <c r="G118" s="132"/>
      <c r="H118" s="132"/>
      <c r="I118" s="132"/>
      <c r="J118" s="132"/>
      <c r="K118" s="132"/>
      <c r="L118" s="132"/>
      <c r="M118" s="132"/>
      <c r="N118" s="132"/>
      <c r="O118" s="132"/>
      <c r="P118" s="132"/>
      <c r="Q118" s="132"/>
      <c r="R118" s="132"/>
    </row>
    <row r="119" spans="1:18">
      <c r="A119" s="132"/>
      <c r="B119" s="132"/>
      <c r="C119" s="132"/>
      <c r="D119" s="132"/>
      <c r="E119" s="132"/>
      <c r="F119" s="132"/>
      <c r="G119" s="132"/>
      <c r="H119" s="132"/>
      <c r="I119" s="132"/>
      <c r="J119" s="132"/>
      <c r="K119" s="132"/>
      <c r="L119" s="132"/>
      <c r="M119" s="132"/>
      <c r="N119" s="132"/>
      <c r="O119" s="132"/>
      <c r="P119" s="132"/>
      <c r="Q119" s="132"/>
      <c r="R119" s="132"/>
    </row>
    <row r="120" spans="1:18">
      <c r="A120" s="132"/>
      <c r="B120" s="132"/>
      <c r="C120" s="132"/>
      <c r="D120" s="132"/>
      <c r="E120" s="132"/>
      <c r="F120" s="132"/>
      <c r="G120" s="132"/>
      <c r="H120" s="132"/>
      <c r="I120" s="132"/>
      <c r="J120" s="132"/>
      <c r="K120" s="132"/>
      <c r="L120" s="132"/>
      <c r="M120" s="132"/>
      <c r="N120" s="132"/>
      <c r="O120" s="132"/>
      <c r="P120" s="132"/>
      <c r="Q120" s="132"/>
      <c r="R120" s="132"/>
    </row>
    <row r="121" spans="1:18">
      <c r="A121" s="132"/>
      <c r="B121" s="132"/>
      <c r="C121" s="132"/>
      <c r="D121" s="132"/>
      <c r="E121" s="132"/>
      <c r="F121" s="132"/>
      <c r="G121" s="132"/>
      <c r="H121" s="132"/>
      <c r="I121" s="132"/>
      <c r="J121" s="132"/>
      <c r="K121" s="132"/>
      <c r="L121" s="132"/>
      <c r="M121" s="132"/>
      <c r="N121" s="132"/>
      <c r="O121" s="132"/>
      <c r="P121" s="132"/>
      <c r="Q121" s="132"/>
      <c r="R121" s="132"/>
    </row>
    <row r="122" spans="1:18">
      <c r="A122" s="132"/>
      <c r="B122" s="132"/>
      <c r="C122" s="132"/>
      <c r="D122" s="132"/>
      <c r="E122" s="132"/>
      <c r="F122" s="132"/>
      <c r="G122" s="132"/>
      <c r="H122" s="132"/>
      <c r="I122" s="132"/>
      <c r="J122" s="132"/>
      <c r="K122" s="132"/>
      <c r="L122" s="132"/>
      <c r="M122" s="132"/>
      <c r="N122" s="132"/>
      <c r="O122" s="132"/>
      <c r="P122" s="132"/>
      <c r="Q122" s="132"/>
      <c r="R122" s="132"/>
    </row>
    <row r="123" spans="1:18">
      <c r="A123" s="132"/>
      <c r="B123" s="132"/>
      <c r="C123" s="132"/>
      <c r="D123" s="132"/>
      <c r="E123" s="132"/>
      <c r="F123" s="132"/>
      <c r="G123" s="132"/>
      <c r="H123" s="132"/>
      <c r="I123" s="132"/>
      <c r="J123" s="132"/>
      <c r="K123" s="132"/>
      <c r="L123" s="132"/>
      <c r="M123" s="132"/>
      <c r="N123" s="132"/>
      <c r="O123" s="132"/>
      <c r="P123" s="132"/>
      <c r="Q123" s="132"/>
      <c r="R123" s="132"/>
    </row>
    <row r="124" spans="1:18">
      <c r="A124" s="132"/>
      <c r="B124" s="132"/>
      <c r="C124" s="132"/>
      <c r="D124" s="132"/>
      <c r="E124" s="132"/>
      <c r="F124" s="132"/>
      <c r="G124" s="132"/>
      <c r="H124" s="132"/>
      <c r="I124" s="132"/>
      <c r="J124" s="132"/>
      <c r="K124" s="132"/>
      <c r="L124" s="132"/>
      <c r="M124" s="132"/>
      <c r="N124" s="132"/>
      <c r="O124" s="132"/>
      <c r="P124" s="132"/>
      <c r="Q124" s="132"/>
      <c r="R124" s="132"/>
    </row>
    <row r="125" spans="1:18">
      <c r="A125" s="132"/>
      <c r="B125" s="132"/>
      <c r="C125" s="132"/>
      <c r="D125" s="132"/>
      <c r="E125" s="132"/>
      <c r="F125" s="132"/>
      <c r="G125" s="132"/>
      <c r="H125" s="132"/>
      <c r="I125" s="132"/>
      <c r="J125" s="132"/>
      <c r="K125" s="132"/>
      <c r="L125" s="132"/>
      <c r="M125" s="132"/>
      <c r="N125" s="132"/>
      <c r="O125" s="132"/>
      <c r="P125" s="132"/>
      <c r="Q125" s="132"/>
      <c r="R125" s="132"/>
    </row>
    <row r="126" spans="1:18">
      <c r="A126" s="132"/>
      <c r="B126" s="132"/>
      <c r="C126" s="132"/>
      <c r="D126" s="132"/>
      <c r="E126" s="132"/>
      <c r="F126" s="132"/>
      <c r="G126" s="132"/>
      <c r="H126" s="132"/>
      <c r="I126" s="132"/>
      <c r="J126" s="132"/>
      <c r="K126" s="132"/>
      <c r="L126" s="132"/>
      <c r="M126" s="132"/>
      <c r="N126" s="132"/>
      <c r="O126" s="132"/>
      <c r="P126" s="132"/>
      <c r="Q126" s="132"/>
      <c r="R126" s="132"/>
    </row>
    <row r="127" spans="1:18">
      <c r="A127" s="132"/>
      <c r="B127" s="132"/>
      <c r="C127" s="132"/>
      <c r="D127" s="132"/>
      <c r="E127" s="132"/>
      <c r="F127" s="132"/>
      <c r="G127" s="132"/>
      <c r="H127" s="132"/>
      <c r="I127" s="132"/>
      <c r="J127" s="132"/>
      <c r="K127" s="132"/>
      <c r="L127" s="132"/>
      <c r="M127" s="132"/>
      <c r="N127" s="132"/>
      <c r="O127" s="132"/>
      <c r="P127" s="132"/>
      <c r="Q127" s="132"/>
      <c r="R127" s="132"/>
    </row>
    <row r="128" spans="1:18">
      <c r="A128" s="132"/>
      <c r="B128" s="132"/>
      <c r="C128" s="132"/>
      <c r="D128" s="132"/>
      <c r="E128" s="132"/>
      <c r="F128" s="132"/>
      <c r="G128" s="132"/>
      <c r="H128" s="132"/>
      <c r="I128" s="132"/>
      <c r="J128" s="132"/>
      <c r="K128" s="132"/>
      <c r="L128" s="132"/>
      <c r="M128" s="132"/>
      <c r="N128" s="132"/>
      <c r="O128" s="132"/>
      <c r="P128" s="132"/>
      <c r="Q128" s="132"/>
      <c r="R128" s="132"/>
    </row>
    <row r="129" spans="1:18">
      <c r="A129" s="132"/>
      <c r="B129" s="132"/>
      <c r="C129" s="132"/>
      <c r="D129" s="132"/>
      <c r="E129" s="132"/>
      <c r="F129" s="132"/>
      <c r="G129" s="132"/>
      <c r="H129" s="132"/>
      <c r="I129" s="132"/>
      <c r="J129" s="132"/>
      <c r="K129" s="132"/>
      <c r="L129" s="132"/>
      <c r="M129" s="132"/>
      <c r="N129" s="132"/>
      <c r="O129" s="132"/>
      <c r="P129" s="132"/>
      <c r="Q129" s="132"/>
      <c r="R129" s="132"/>
    </row>
    <row r="130" spans="1:18">
      <c r="A130" s="132"/>
      <c r="B130" s="132"/>
      <c r="C130" s="132"/>
      <c r="D130" s="132"/>
      <c r="E130" s="132"/>
      <c r="F130" s="132"/>
      <c r="G130" s="132"/>
      <c r="H130" s="132"/>
      <c r="I130" s="132"/>
      <c r="J130" s="132"/>
      <c r="K130" s="132"/>
      <c r="L130" s="132"/>
      <c r="M130" s="132"/>
      <c r="N130" s="132"/>
      <c r="O130" s="132"/>
      <c r="P130" s="132"/>
      <c r="Q130" s="132"/>
      <c r="R130" s="132"/>
    </row>
    <row r="131" spans="1:18">
      <c r="A131" s="132"/>
      <c r="B131" s="132"/>
      <c r="C131" s="132"/>
      <c r="D131" s="132"/>
      <c r="E131" s="132"/>
      <c r="F131" s="132"/>
      <c r="G131" s="132"/>
      <c r="H131" s="132"/>
      <c r="I131" s="132"/>
      <c r="J131" s="132"/>
      <c r="K131" s="132"/>
      <c r="L131" s="132"/>
      <c r="M131" s="132"/>
      <c r="N131" s="132"/>
      <c r="O131" s="132"/>
      <c r="P131" s="132"/>
      <c r="Q131" s="132"/>
      <c r="R131" s="132"/>
    </row>
    <row r="132" spans="1:18">
      <c r="A132" s="132"/>
      <c r="B132" s="132"/>
      <c r="C132" s="132"/>
      <c r="D132" s="132"/>
      <c r="E132" s="132"/>
      <c r="F132" s="132"/>
      <c r="G132" s="132"/>
      <c r="H132" s="132"/>
      <c r="I132" s="132"/>
      <c r="J132" s="132"/>
      <c r="K132" s="132"/>
      <c r="L132" s="132"/>
      <c r="M132" s="132"/>
      <c r="N132" s="132"/>
      <c r="O132" s="132"/>
      <c r="P132" s="132"/>
      <c r="Q132" s="132"/>
      <c r="R132" s="132"/>
    </row>
    <row r="133" spans="1:18">
      <c r="A133" s="132"/>
      <c r="B133" s="132"/>
      <c r="C133" s="132"/>
      <c r="D133" s="132"/>
      <c r="E133" s="132"/>
      <c r="F133" s="132"/>
      <c r="G133" s="132"/>
      <c r="H133" s="132"/>
      <c r="I133" s="132"/>
      <c r="J133" s="132"/>
      <c r="K133" s="132"/>
      <c r="L133" s="132"/>
      <c r="M133" s="132"/>
      <c r="N133" s="132"/>
      <c r="O133" s="132"/>
      <c r="P133" s="132"/>
      <c r="Q133" s="132"/>
      <c r="R133" s="132"/>
    </row>
    <row r="134" spans="1:18">
      <c r="A134" s="132"/>
      <c r="B134" s="132"/>
      <c r="C134" s="132"/>
      <c r="D134" s="132"/>
      <c r="E134" s="132"/>
      <c r="F134" s="132"/>
      <c r="G134" s="132"/>
      <c r="H134" s="132"/>
      <c r="I134" s="132"/>
      <c r="J134" s="132"/>
      <c r="K134" s="132"/>
      <c r="L134" s="132"/>
      <c r="M134" s="132"/>
      <c r="N134" s="132"/>
      <c r="O134" s="132"/>
      <c r="P134" s="132"/>
      <c r="Q134" s="132"/>
      <c r="R134" s="132"/>
    </row>
    <row r="135" spans="1:18">
      <c r="A135" s="132"/>
      <c r="B135" s="132"/>
      <c r="C135" s="132"/>
      <c r="D135" s="132"/>
      <c r="E135" s="132"/>
      <c r="F135" s="132"/>
      <c r="G135" s="132"/>
      <c r="H135" s="132"/>
      <c r="I135" s="132"/>
      <c r="J135" s="132"/>
      <c r="K135" s="132"/>
      <c r="L135" s="132"/>
      <c r="M135" s="132"/>
      <c r="N135" s="132"/>
      <c r="O135" s="132"/>
      <c r="P135" s="132"/>
      <c r="Q135" s="132"/>
      <c r="R135" s="132"/>
    </row>
    <row r="136" spans="1:18">
      <c r="A136" s="132"/>
      <c r="B136" s="132"/>
      <c r="C136" s="132"/>
      <c r="D136" s="132"/>
      <c r="E136" s="132"/>
      <c r="F136" s="132"/>
      <c r="G136" s="132"/>
      <c r="H136" s="132"/>
      <c r="I136" s="132"/>
      <c r="J136" s="132"/>
      <c r="K136" s="132"/>
      <c r="L136" s="132"/>
      <c r="M136" s="132"/>
      <c r="N136" s="132"/>
      <c r="O136" s="132"/>
      <c r="P136" s="132"/>
      <c r="Q136" s="132"/>
      <c r="R136" s="132"/>
    </row>
    <row r="137" spans="1:18">
      <c r="A137" s="132"/>
      <c r="B137" s="132"/>
      <c r="C137" s="132"/>
      <c r="D137" s="132"/>
      <c r="E137" s="132"/>
      <c r="F137" s="132"/>
      <c r="G137" s="132"/>
      <c r="H137" s="132"/>
      <c r="I137" s="132"/>
      <c r="J137" s="132"/>
      <c r="K137" s="132"/>
      <c r="L137" s="132"/>
      <c r="M137" s="132"/>
      <c r="N137" s="132"/>
      <c r="O137" s="132"/>
      <c r="P137" s="132"/>
      <c r="Q137" s="132"/>
      <c r="R137" s="132"/>
    </row>
    <row r="138" spans="1:18">
      <c r="A138" s="132"/>
      <c r="B138" s="132"/>
      <c r="C138" s="132"/>
      <c r="D138" s="132"/>
      <c r="E138" s="132"/>
      <c r="F138" s="132"/>
      <c r="G138" s="132"/>
      <c r="H138" s="132"/>
      <c r="I138" s="132"/>
      <c r="J138" s="132"/>
      <c r="K138" s="132"/>
      <c r="L138" s="132"/>
      <c r="M138" s="132"/>
      <c r="N138" s="132"/>
      <c r="O138" s="132"/>
      <c r="P138" s="132"/>
      <c r="Q138" s="132"/>
      <c r="R138" s="132"/>
    </row>
    <row r="139" spans="1:18">
      <c r="A139" s="132"/>
      <c r="B139" s="132"/>
      <c r="C139" s="132"/>
      <c r="D139" s="132"/>
      <c r="E139" s="132"/>
      <c r="F139" s="132"/>
      <c r="G139" s="132"/>
      <c r="H139" s="132"/>
      <c r="I139" s="132"/>
      <c r="J139" s="132"/>
      <c r="K139" s="132"/>
      <c r="L139" s="132"/>
      <c r="M139" s="132"/>
      <c r="N139" s="132"/>
      <c r="O139" s="132"/>
      <c r="P139" s="132"/>
      <c r="Q139" s="132"/>
      <c r="R139" s="132"/>
    </row>
    <row r="140" spans="1:18">
      <c r="A140" s="132"/>
      <c r="B140" s="132"/>
      <c r="C140" s="132"/>
      <c r="D140" s="132"/>
      <c r="E140" s="132"/>
      <c r="F140" s="132"/>
      <c r="G140" s="132"/>
      <c r="H140" s="132"/>
      <c r="I140" s="132"/>
      <c r="J140" s="132"/>
      <c r="K140" s="132"/>
      <c r="L140" s="132"/>
      <c r="M140" s="132"/>
      <c r="N140" s="132"/>
      <c r="O140" s="132"/>
      <c r="P140" s="132"/>
      <c r="Q140" s="132"/>
      <c r="R140" s="132"/>
    </row>
    <row r="141" spans="1:18">
      <c r="A141" s="132"/>
      <c r="B141" s="132"/>
      <c r="C141" s="132"/>
      <c r="D141" s="132"/>
      <c r="E141" s="132"/>
      <c r="F141" s="132"/>
      <c r="G141" s="132"/>
      <c r="H141" s="132"/>
      <c r="I141" s="132"/>
      <c r="J141" s="132"/>
      <c r="K141" s="132"/>
      <c r="L141" s="132"/>
      <c r="M141" s="132"/>
      <c r="N141" s="132"/>
      <c r="O141" s="132"/>
      <c r="P141" s="132"/>
      <c r="Q141" s="132"/>
      <c r="R141" s="132"/>
    </row>
    <row r="142" spans="1:18">
      <c r="A142" s="132"/>
      <c r="B142" s="132"/>
      <c r="C142" s="132"/>
      <c r="D142" s="132"/>
      <c r="E142" s="132"/>
      <c r="F142" s="132"/>
      <c r="G142" s="132"/>
      <c r="H142" s="132"/>
      <c r="I142" s="132"/>
      <c r="J142" s="132"/>
      <c r="K142" s="132"/>
      <c r="L142" s="132"/>
      <c r="M142" s="132"/>
      <c r="N142" s="132"/>
      <c r="O142" s="132"/>
      <c r="P142" s="132"/>
      <c r="Q142" s="132"/>
      <c r="R142" s="132"/>
    </row>
    <row r="143" spans="1:18">
      <c r="A143" s="132"/>
      <c r="B143" s="132"/>
      <c r="C143" s="132"/>
      <c r="D143" s="132"/>
      <c r="E143" s="132"/>
      <c r="F143" s="132"/>
      <c r="G143" s="132"/>
      <c r="H143" s="132"/>
      <c r="I143" s="132"/>
      <c r="J143" s="132"/>
      <c r="K143" s="132"/>
      <c r="L143" s="132"/>
      <c r="M143" s="132"/>
      <c r="N143" s="132"/>
      <c r="O143" s="132"/>
      <c r="P143" s="132"/>
      <c r="Q143" s="132"/>
      <c r="R143" s="132"/>
    </row>
    <row r="144" spans="1:18">
      <c r="A144" s="132"/>
      <c r="B144" s="132"/>
      <c r="C144" s="132"/>
      <c r="D144" s="132"/>
      <c r="E144" s="132"/>
      <c r="F144" s="132"/>
      <c r="G144" s="132"/>
      <c r="H144" s="132"/>
      <c r="I144" s="132"/>
      <c r="J144" s="132"/>
      <c r="K144" s="132"/>
      <c r="L144" s="132"/>
      <c r="M144" s="132"/>
      <c r="N144" s="132"/>
      <c r="O144" s="132"/>
      <c r="P144" s="132"/>
      <c r="Q144" s="132"/>
      <c r="R144" s="132"/>
    </row>
    <row r="145" spans="1:18">
      <c r="A145" s="132"/>
      <c r="B145" s="132"/>
      <c r="C145" s="132"/>
      <c r="D145" s="132"/>
      <c r="E145" s="132"/>
      <c r="F145" s="132"/>
      <c r="G145" s="132"/>
      <c r="H145" s="132"/>
      <c r="I145" s="132"/>
      <c r="J145" s="132"/>
      <c r="K145" s="132"/>
      <c r="L145" s="132"/>
      <c r="M145" s="132"/>
      <c r="N145" s="132"/>
      <c r="O145" s="132"/>
      <c r="P145" s="132"/>
      <c r="Q145" s="132"/>
      <c r="R145" s="132"/>
    </row>
    <row r="146" spans="1:18">
      <c r="A146" s="132"/>
      <c r="B146" s="132"/>
      <c r="C146" s="132"/>
      <c r="D146" s="132"/>
      <c r="E146" s="132"/>
      <c r="F146" s="132"/>
      <c r="G146" s="132"/>
      <c r="H146" s="132"/>
      <c r="I146" s="132"/>
      <c r="J146" s="132"/>
      <c r="K146" s="132"/>
      <c r="L146" s="132"/>
      <c r="M146" s="132"/>
      <c r="N146" s="132"/>
      <c r="O146" s="132"/>
      <c r="P146" s="132"/>
      <c r="Q146" s="132"/>
      <c r="R146" s="132"/>
    </row>
    <row r="147" spans="1:18">
      <c r="A147" s="132"/>
      <c r="B147" s="132"/>
      <c r="C147" s="132"/>
      <c r="D147" s="132"/>
      <c r="E147" s="132"/>
      <c r="F147" s="132"/>
      <c r="G147" s="132"/>
      <c r="H147" s="132"/>
      <c r="I147" s="132"/>
      <c r="J147" s="132"/>
      <c r="K147" s="132"/>
      <c r="L147" s="132"/>
      <c r="M147" s="132"/>
      <c r="N147" s="132"/>
      <c r="O147" s="132"/>
      <c r="P147" s="132"/>
      <c r="Q147" s="132"/>
      <c r="R147" s="132"/>
    </row>
    <row r="148" spans="1:18">
      <c r="A148" s="132"/>
      <c r="B148" s="132"/>
      <c r="C148" s="132"/>
      <c r="D148" s="132"/>
      <c r="E148" s="132"/>
      <c r="F148" s="132"/>
      <c r="G148" s="132"/>
      <c r="H148" s="132"/>
      <c r="I148" s="132"/>
      <c r="J148" s="132"/>
      <c r="K148" s="132"/>
      <c r="L148" s="132"/>
      <c r="M148" s="132"/>
      <c r="N148" s="132"/>
      <c r="O148" s="132"/>
      <c r="P148" s="132"/>
      <c r="Q148" s="132"/>
      <c r="R148" s="132"/>
    </row>
    <row r="149" spans="1:18">
      <c r="A149" s="132"/>
      <c r="B149" s="132"/>
      <c r="C149" s="132"/>
      <c r="D149" s="132"/>
      <c r="E149" s="132"/>
      <c r="F149" s="132"/>
      <c r="G149" s="132"/>
      <c r="H149" s="132"/>
      <c r="I149" s="132"/>
      <c r="J149" s="132"/>
      <c r="K149" s="132"/>
      <c r="L149" s="132"/>
      <c r="M149" s="132"/>
      <c r="N149" s="132"/>
      <c r="O149" s="132"/>
      <c r="P149" s="132"/>
      <c r="Q149" s="132"/>
      <c r="R149" s="132"/>
    </row>
    <row r="150" spans="1:18">
      <c r="A150" s="132"/>
      <c r="B150" s="132"/>
      <c r="C150" s="132"/>
      <c r="D150" s="132"/>
      <c r="E150" s="132"/>
      <c r="F150" s="132"/>
      <c r="G150" s="132"/>
      <c r="H150" s="132"/>
      <c r="I150" s="132"/>
      <c r="J150" s="132"/>
      <c r="K150" s="132"/>
      <c r="L150" s="132"/>
      <c r="M150" s="132"/>
      <c r="N150" s="132"/>
      <c r="O150" s="132"/>
      <c r="P150" s="132"/>
      <c r="Q150" s="132"/>
      <c r="R150" s="132"/>
    </row>
    <row r="151" spans="1:18">
      <c r="A151" s="132"/>
      <c r="B151" s="132"/>
      <c r="C151" s="132"/>
      <c r="D151" s="132"/>
      <c r="E151" s="132"/>
      <c r="F151" s="132"/>
      <c r="G151" s="132"/>
      <c r="H151" s="132"/>
      <c r="I151" s="132"/>
      <c r="J151" s="132"/>
      <c r="K151" s="132"/>
      <c r="L151" s="132"/>
      <c r="M151" s="132"/>
      <c r="N151" s="132"/>
      <c r="O151" s="132"/>
      <c r="P151" s="132"/>
      <c r="Q151" s="132"/>
      <c r="R151" s="132"/>
    </row>
    <row r="152" spans="1:18">
      <c r="A152" s="132"/>
      <c r="B152" s="132"/>
      <c r="C152" s="132"/>
      <c r="D152" s="132"/>
      <c r="E152" s="132"/>
      <c r="F152" s="132"/>
      <c r="G152" s="132"/>
      <c r="H152" s="132"/>
      <c r="I152" s="132"/>
      <c r="J152" s="132"/>
      <c r="K152" s="132"/>
      <c r="L152" s="132"/>
      <c r="M152" s="132"/>
      <c r="N152" s="132"/>
      <c r="O152" s="132"/>
      <c r="P152" s="132"/>
      <c r="Q152" s="132"/>
      <c r="R152" s="132"/>
    </row>
    <row r="153" spans="1:18">
      <c r="A153" s="132"/>
      <c r="B153" s="132"/>
      <c r="C153" s="132"/>
      <c r="D153" s="132"/>
      <c r="E153" s="132"/>
      <c r="F153" s="132"/>
      <c r="G153" s="132"/>
      <c r="H153" s="132"/>
      <c r="I153" s="132"/>
      <c r="J153" s="132"/>
      <c r="K153" s="132"/>
      <c r="L153" s="132"/>
      <c r="M153" s="132"/>
      <c r="N153" s="132"/>
      <c r="O153" s="132"/>
      <c r="P153" s="132"/>
      <c r="Q153" s="132"/>
      <c r="R153" s="132"/>
    </row>
    <row r="154" spans="1:18">
      <c r="A154" s="132"/>
      <c r="B154" s="132"/>
      <c r="C154" s="132"/>
      <c r="D154" s="132"/>
      <c r="E154" s="132"/>
      <c r="F154" s="132"/>
      <c r="G154" s="132"/>
      <c r="H154" s="132"/>
      <c r="I154" s="132"/>
      <c r="J154" s="132"/>
      <c r="K154" s="132"/>
      <c r="L154" s="132"/>
      <c r="M154" s="132"/>
      <c r="N154" s="132"/>
      <c r="O154" s="132"/>
      <c r="P154" s="132"/>
      <c r="Q154" s="132"/>
      <c r="R154" s="132"/>
    </row>
    <row r="155" spans="1:18">
      <c r="A155" s="132"/>
      <c r="B155" s="132"/>
      <c r="C155" s="132"/>
      <c r="D155" s="132"/>
      <c r="E155" s="132"/>
      <c r="F155" s="132"/>
      <c r="G155" s="132"/>
      <c r="H155" s="132"/>
      <c r="I155" s="132"/>
      <c r="J155" s="132"/>
      <c r="K155" s="132"/>
      <c r="L155" s="132"/>
      <c r="M155" s="132"/>
      <c r="N155" s="132"/>
      <c r="O155" s="132"/>
      <c r="P155" s="132"/>
      <c r="Q155" s="132"/>
      <c r="R155" s="132"/>
    </row>
    <row r="156" spans="1:18">
      <c r="A156" s="132"/>
      <c r="B156" s="132"/>
      <c r="C156" s="132"/>
      <c r="D156" s="132"/>
      <c r="E156" s="132"/>
      <c r="F156" s="132"/>
      <c r="G156" s="132"/>
      <c r="H156" s="132"/>
      <c r="I156" s="132"/>
      <c r="J156" s="132"/>
      <c r="K156" s="132"/>
      <c r="L156" s="132"/>
      <c r="M156" s="132"/>
      <c r="N156" s="132"/>
      <c r="O156" s="132"/>
      <c r="P156" s="132"/>
      <c r="Q156" s="132"/>
      <c r="R156" s="132"/>
    </row>
    <row r="157" spans="1:18">
      <c r="A157" s="132"/>
      <c r="B157" s="132"/>
      <c r="C157" s="132"/>
      <c r="D157" s="132"/>
      <c r="E157" s="132"/>
      <c r="F157" s="132"/>
      <c r="G157" s="132"/>
      <c r="H157" s="132"/>
      <c r="I157" s="132"/>
      <c r="J157" s="132"/>
      <c r="K157" s="132"/>
      <c r="L157" s="132"/>
      <c r="M157" s="132"/>
      <c r="N157" s="132"/>
      <c r="O157" s="132"/>
      <c r="P157" s="132"/>
      <c r="Q157" s="132"/>
      <c r="R157" s="132"/>
    </row>
    <row r="158" spans="1:18">
      <c r="A158" s="132"/>
      <c r="B158" s="132"/>
      <c r="C158" s="132"/>
      <c r="D158" s="132"/>
      <c r="E158" s="132"/>
      <c r="F158" s="132"/>
      <c r="G158" s="132"/>
      <c r="H158" s="132"/>
      <c r="I158" s="132"/>
      <c r="J158" s="132"/>
      <c r="K158" s="132"/>
      <c r="L158" s="132"/>
      <c r="M158" s="132"/>
      <c r="N158" s="132"/>
      <c r="O158" s="132"/>
      <c r="P158" s="132"/>
      <c r="Q158" s="132"/>
      <c r="R158" s="132"/>
    </row>
    <row r="159" spans="1:18">
      <c r="A159" s="132"/>
      <c r="B159" s="132"/>
      <c r="C159" s="132"/>
      <c r="D159" s="132"/>
      <c r="E159" s="132"/>
      <c r="F159" s="132"/>
      <c r="G159" s="132"/>
      <c r="H159" s="132"/>
      <c r="I159" s="132"/>
      <c r="J159" s="132"/>
      <c r="K159" s="132"/>
      <c r="L159" s="132"/>
      <c r="M159" s="132"/>
      <c r="N159" s="132"/>
      <c r="O159" s="132"/>
      <c r="P159" s="132"/>
      <c r="Q159" s="132"/>
      <c r="R159" s="132"/>
    </row>
    <row r="160" spans="1:18">
      <c r="A160" s="132"/>
      <c r="B160" s="132"/>
      <c r="C160" s="132"/>
      <c r="D160" s="132"/>
      <c r="E160" s="132"/>
      <c r="F160" s="132"/>
      <c r="G160" s="132"/>
      <c r="H160" s="132"/>
      <c r="I160" s="132"/>
      <c r="J160" s="132"/>
      <c r="K160" s="132"/>
      <c r="L160" s="132"/>
      <c r="M160" s="132"/>
      <c r="N160" s="132"/>
      <c r="O160" s="132"/>
      <c r="P160" s="132"/>
      <c r="Q160" s="132"/>
      <c r="R160" s="132"/>
    </row>
    <row r="161" spans="1:18">
      <c r="A161" s="132"/>
      <c r="B161" s="132"/>
      <c r="C161" s="132"/>
      <c r="D161" s="132"/>
      <c r="E161" s="132"/>
      <c r="F161" s="132"/>
      <c r="G161" s="132"/>
      <c r="H161" s="132"/>
      <c r="I161" s="132"/>
      <c r="J161" s="132"/>
      <c r="K161" s="132"/>
      <c r="L161" s="132"/>
      <c r="M161" s="132"/>
      <c r="N161" s="132"/>
      <c r="O161" s="132"/>
      <c r="P161" s="132"/>
      <c r="Q161" s="132"/>
      <c r="R161" s="132"/>
    </row>
    <row r="162" spans="1:18">
      <c r="A162" s="132"/>
      <c r="B162" s="132"/>
      <c r="C162" s="132"/>
      <c r="D162" s="132"/>
      <c r="E162" s="132"/>
      <c r="F162" s="132"/>
      <c r="G162" s="132"/>
      <c r="H162" s="132"/>
      <c r="I162" s="132"/>
      <c r="J162" s="132"/>
      <c r="K162" s="132"/>
      <c r="L162" s="132"/>
      <c r="M162" s="132"/>
      <c r="N162" s="132"/>
      <c r="O162" s="132"/>
      <c r="P162" s="132"/>
      <c r="Q162" s="132"/>
      <c r="R162" s="132"/>
    </row>
    <row r="163" spans="1:18">
      <c r="A163" s="132"/>
      <c r="B163" s="132"/>
      <c r="C163" s="132"/>
      <c r="D163" s="132"/>
      <c r="E163" s="132"/>
      <c r="F163" s="132"/>
      <c r="G163" s="132"/>
      <c r="H163" s="132"/>
      <c r="I163" s="132"/>
      <c r="J163" s="132"/>
      <c r="K163" s="132"/>
      <c r="L163" s="132"/>
      <c r="M163" s="132"/>
      <c r="N163" s="132"/>
      <c r="O163" s="132"/>
      <c r="P163" s="132"/>
      <c r="Q163" s="132"/>
      <c r="R163" s="132"/>
    </row>
    <row r="164" spans="1:18">
      <c r="A164" s="132"/>
      <c r="B164" s="132"/>
      <c r="C164" s="132"/>
      <c r="D164" s="132"/>
      <c r="E164" s="132"/>
      <c r="F164" s="132"/>
      <c r="G164" s="132"/>
      <c r="H164" s="132"/>
      <c r="I164" s="132"/>
      <c r="J164" s="132"/>
      <c r="K164" s="132"/>
      <c r="L164" s="132"/>
      <c r="M164" s="132"/>
      <c r="N164" s="132"/>
      <c r="O164" s="132"/>
      <c r="P164" s="132"/>
      <c r="Q164" s="132"/>
      <c r="R164" s="132"/>
    </row>
    <row r="165" spans="1:18">
      <c r="A165" s="132"/>
      <c r="B165" s="132"/>
      <c r="C165" s="132"/>
      <c r="D165" s="132"/>
      <c r="E165" s="132"/>
      <c r="F165" s="132"/>
      <c r="G165" s="132"/>
      <c r="H165" s="132"/>
      <c r="I165" s="132"/>
      <c r="J165" s="132"/>
      <c r="K165" s="132"/>
      <c r="L165" s="132"/>
      <c r="M165" s="132"/>
      <c r="N165" s="132"/>
      <c r="O165" s="132"/>
      <c r="P165" s="132"/>
      <c r="Q165" s="132"/>
      <c r="R165" s="132"/>
    </row>
    <row r="166" spans="1:18">
      <c r="A166" s="132"/>
      <c r="B166" s="132"/>
      <c r="C166" s="132"/>
      <c r="D166" s="132"/>
      <c r="E166" s="132"/>
      <c r="F166" s="132"/>
      <c r="G166" s="132"/>
      <c r="H166" s="132"/>
      <c r="I166" s="132"/>
      <c r="J166" s="132"/>
      <c r="K166" s="132"/>
      <c r="L166" s="132"/>
      <c r="M166" s="132"/>
      <c r="N166" s="132"/>
      <c r="O166" s="132"/>
      <c r="P166" s="132"/>
      <c r="Q166" s="132"/>
      <c r="R166" s="132"/>
    </row>
    <row r="167" spans="1:18">
      <c r="A167" s="132"/>
      <c r="B167" s="132"/>
      <c r="C167" s="132"/>
      <c r="D167" s="132"/>
      <c r="E167" s="132"/>
      <c r="F167" s="132"/>
      <c r="G167" s="132"/>
      <c r="H167" s="132"/>
      <c r="I167" s="132"/>
      <c r="J167" s="132"/>
      <c r="K167" s="132"/>
      <c r="L167" s="132"/>
      <c r="M167" s="132"/>
      <c r="N167" s="132"/>
      <c r="O167" s="132"/>
      <c r="P167" s="132"/>
      <c r="Q167" s="132"/>
      <c r="R167" s="132"/>
    </row>
    <row r="168" spans="1:18">
      <c r="A168" s="132"/>
      <c r="B168" s="132"/>
      <c r="C168" s="132"/>
      <c r="D168" s="132"/>
      <c r="E168" s="132"/>
      <c r="F168" s="132"/>
      <c r="G168" s="132"/>
      <c r="H168" s="132"/>
      <c r="I168" s="132"/>
      <c r="J168" s="132"/>
      <c r="K168" s="132"/>
      <c r="L168" s="132"/>
      <c r="M168" s="132"/>
      <c r="N168" s="132"/>
      <c r="O168" s="132"/>
      <c r="P168" s="132"/>
      <c r="Q168" s="132"/>
      <c r="R168" s="132"/>
    </row>
    <row r="169" spans="1:18">
      <c r="A169" s="132"/>
      <c r="B169" s="132"/>
      <c r="C169" s="132"/>
      <c r="D169" s="132"/>
      <c r="E169" s="132"/>
      <c r="F169" s="132"/>
      <c r="G169" s="132"/>
      <c r="H169" s="132"/>
      <c r="I169" s="132"/>
      <c r="J169" s="132"/>
      <c r="K169" s="132"/>
      <c r="L169" s="132"/>
      <c r="M169" s="132"/>
      <c r="N169" s="132"/>
      <c r="O169" s="132"/>
      <c r="P169" s="132"/>
      <c r="Q169" s="132"/>
      <c r="R169" s="132"/>
    </row>
    <row r="170" spans="1:18">
      <c r="A170" s="132"/>
      <c r="B170" s="132"/>
      <c r="C170" s="132"/>
      <c r="D170" s="132"/>
      <c r="E170" s="132"/>
      <c r="F170" s="132"/>
      <c r="G170" s="132"/>
      <c r="H170" s="132"/>
      <c r="I170" s="132"/>
      <c r="J170" s="132"/>
      <c r="K170" s="132"/>
      <c r="L170" s="132"/>
      <c r="M170" s="132"/>
      <c r="N170" s="132"/>
      <c r="O170" s="132"/>
      <c r="P170" s="132"/>
      <c r="Q170" s="132"/>
      <c r="R170" s="132"/>
    </row>
    <row r="171" spans="1:18">
      <c r="A171" s="132"/>
      <c r="B171" s="132"/>
      <c r="C171" s="132"/>
      <c r="D171" s="132"/>
      <c r="E171" s="132"/>
      <c r="F171" s="132"/>
      <c r="G171" s="132"/>
      <c r="H171" s="132"/>
      <c r="I171" s="132"/>
      <c r="J171" s="132"/>
      <c r="K171" s="132"/>
      <c r="L171" s="132"/>
      <c r="M171" s="132"/>
      <c r="N171" s="132"/>
      <c r="O171" s="132"/>
      <c r="P171" s="132"/>
      <c r="Q171" s="132"/>
      <c r="R171" s="132"/>
    </row>
    <row r="172" spans="1:18">
      <c r="A172" s="132"/>
      <c r="B172" s="132"/>
      <c r="C172" s="132"/>
      <c r="D172" s="132"/>
      <c r="E172" s="132"/>
      <c r="F172" s="132"/>
      <c r="G172" s="132"/>
      <c r="H172" s="132"/>
      <c r="I172" s="132"/>
      <c r="J172" s="132"/>
      <c r="K172" s="132"/>
      <c r="L172" s="132"/>
      <c r="M172" s="132"/>
      <c r="N172" s="132"/>
      <c r="O172" s="132"/>
      <c r="P172" s="132"/>
      <c r="Q172" s="132"/>
      <c r="R172" s="132"/>
    </row>
    <row r="173" spans="1:18">
      <c r="A173" s="132"/>
      <c r="B173" s="132"/>
      <c r="C173" s="132"/>
      <c r="D173" s="132"/>
      <c r="E173" s="132"/>
      <c r="F173" s="132"/>
      <c r="G173" s="132"/>
      <c r="H173" s="132"/>
      <c r="I173" s="132"/>
      <c r="J173" s="132"/>
      <c r="K173" s="132"/>
      <c r="L173" s="132"/>
      <c r="M173" s="132"/>
      <c r="N173" s="132"/>
      <c r="O173" s="132"/>
      <c r="P173" s="132"/>
      <c r="Q173" s="132"/>
      <c r="R173" s="132"/>
    </row>
    <row r="174" spans="1:18">
      <c r="A174" s="132"/>
      <c r="B174" s="132"/>
      <c r="C174" s="132"/>
      <c r="D174" s="132"/>
      <c r="E174" s="132"/>
      <c r="F174" s="132"/>
      <c r="G174" s="132"/>
      <c r="H174" s="132"/>
      <c r="I174" s="132"/>
      <c r="J174" s="132"/>
      <c r="K174" s="132"/>
      <c r="L174" s="132"/>
      <c r="M174" s="132"/>
      <c r="N174" s="132"/>
      <c r="O174" s="132"/>
      <c r="P174" s="132"/>
      <c r="Q174" s="132"/>
      <c r="R174" s="132"/>
    </row>
    <row r="175" spans="1:18">
      <c r="A175" s="132"/>
      <c r="B175" s="132"/>
      <c r="C175" s="132"/>
      <c r="D175" s="132"/>
      <c r="E175" s="132"/>
      <c r="F175" s="132"/>
      <c r="G175" s="132"/>
      <c r="H175" s="132"/>
      <c r="I175" s="132"/>
      <c r="J175" s="132"/>
      <c r="K175" s="132"/>
      <c r="L175" s="132"/>
      <c r="M175" s="132"/>
      <c r="N175" s="132"/>
      <c r="O175" s="132"/>
      <c r="P175" s="132"/>
      <c r="Q175" s="132"/>
      <c r="R175" s="132"/>
    </row>
    <row r="176" spans="1:18">
      <c r="A176" s="132"/>
      <c r="B176" s="132"/>
      <c r="C176" s="132"/>
      <c r="D176" s="132"/>
      <c r="E176" s="132"/>
      <c r="F176" s="132"/>
      <c r="G176" s="132"/>
      <c r="H176" s="132"/>
      <c r="I176" s="132"/>
      <c r="J176" s="132"/>
      <c r="K176" s="132"/>
      <c r="L176" s="132"/>
      <c r="M176" s="132"/>
      <c r="N176" s="132"/>
      <c r="O176" s="132"/>
      <c r="P176" s="132"/>
      <c r="Q176" s="132"/>
      <c r="R176" s="132"/>
    </row>
    <row r="177" spans="1:18">
      <c r="A177" s="132"/>
      <c r="B177" s="132"/>
      <c r="C177" s="132"/>
      <c r="D177" s="132"/>
      <c r="E177" s="132"/>
      <c r="F177" s="132"/>
      <c r="G177" s="132"/>
      <c r="H177" s="132"/>
      <c r="I177" s="132"/>
      <c r="J177" s="132"/>
      <c r="K177" s="132"/>
      <c r="L177" s="132"/>
      <c r="M177" s="132"/>
      <c r="N177" s="132"/>
      <c r="O177" s="132"/>
      <c r="P177" s="132"/>
      <c r="Q177" s="132"/>
      <c r="R177" s="132"/>
    </row>
    <row r="178" spans="1:18">
      <c r="A178" s="132"/>
      <c r="B178" s="132"/>
      <c r="C178" s="132"/>
      <c r="D178" s="132"/>
      <c r="E178" s="132"/>
      <c r="F178" s="132"/>
      <c r="G178" s="132"/>
      <c r="H178" s="132"/>
      <c r="I178" s="132"/>
      <c r="J178" s="132"/>
      <c r="K178" s="132"/>
      <c r="L178" s="132"/>
      <c r="M178" s="132"/>
      <c r="N178" s="132"/>
      <c r="O178" s="132"/>
      <c r="P178" s="132"/>
      <c r="Q178" s="132"/>
      <c r="R178" s="132"/>
    </row>
    <row r="179" spans="1:18">
      <c r="A179" s="132"/>
      <c r="B179" s="132"/>
      <c r="C179" s="132"/>
      <c r="D179" s="132"/>
      <c r="E179" s="132"/>
      <c r="F179" s="132"/>
      <c r="G179" s="132"/>
      <c r="H179" s="132"/>
      <c r="I179" s="132"/>
      <c r="J179" s="132"/>
      <c r="K179" s="132"/>
      <c r="L179" s="132"/>
      <c r="M179" s="132"/>
      <c r="N179" s="132"/>
      <c r="O179" s="132"/>
      <c r="P179" s="132"/>
      <c r="Q179" s="132"/>
      <c r="R179" s="132"/>
    </row>
    <row r="180" spans="1:18">
      <c r="A180" s="132"/>
      <c r="B180" s="132"/>
      <c r="C180" s="132"/>
      <c r="D180" s="132"/>
      <c r="E180" s="132"/>
      <c r="F180" s="132"/>
      <c r="G180" s="132"/>
      <c r="H180" s="132"/>
      <c r="I180" s="132"/>
      <c r="J180" s="132"/>
      <c r="K180" s="132"/>
      <c r="L180" s="132"/>
      <c r="M180" s="132"/>
      <c r="N180" s="132"/>
      <c r="O180" s="132"/>
      <c r="P180" s="132"/>
      <c r="Q180" s="132"/>
      <c r="R180" s="132"/>
    </row>
    <row r="181" spans="1:18">
      <c r="A181" s="132"/>
      <c r="B181" s="132"/>
      <c r="C181" s="132"/>
      <c r="D181" s="132"/>
      <c r="E181" s="132"/>
      <c r="F181" s="132"/>
      <c r="G181" s="132"/>
      <c r="H181" s="132"/>
      <c r="I181" s="132"/>
      <c r="J181" s="132"/>
      <c r="K181" s="132"/>
      <c r="L181" s="132"/>
      <c r="M181" s="132"/>
      <c r="N181" s="132"/>
      <c r="O181" s="132"/>
      <c r="P181" s="132"/>
      <c r="Q181" s="132"/>
      <c r="R181" s="132"/>
    </row>
    <row r="182" spans="1:18">
      <c r="A182" s="132"/>
      <c r="B182" s="132"/>
      <c r="C182" s="132"/>
      <c r="D182" s="132"/>
      <c r="E182" s="132"/>
      <c r="F182" s="132"/>
      <c r="G182" s="132"/>
      <c r="H182" s="132"/>
      <c r="I182" s="132"/>
      <c r="J182" s="132"/>
      <c r="K182" s="132"/>
      <c r="L182" s="132"/>
      <c r="M182" s="132"/>
      <c r="N182" s="132"/>
      <c r="O182" s="132"/>
      <c r="P182" s="132"/>
      <c r="Q182" s="132"/>
      <c r="R182" s="132"/>
    </row>
    <row r="183" spans="1:18">
      <c r="A183" s="132"/>
      <c r="B183" s="132"/>
      <c r="C183" s="132"/>
      <c r="D183" s="132"/>
      <c r="E183" s="132"/>
      <c r="F183" s="132"/>
      <c r="G183" s="132"/>
      <c r="H183" s="132"/>
      <c r="I183" s="132"/>
      <c r="J183" s="132"/>
      <c r="K183" s="132"/>
      <c r="L183" s="132"/>
      <c r="M183" s="132"/>
      <c r="N183" s="132"/>
      <c r="O183" s="132"/>
      <c r="P183" s="132"/>
      <c r="Q183" s="132"/>
      <c r="R183" s="132"/>
    </row>
    <row r="184" spans="1:18">
      <c r="A184" s="132"/>
      <c r="B184" s="132"/>
      <c r="C184" s="132"/>
      <c r="D184" s="132"/>
      <c r="E184" s="132"/>
      <c r="F184" s="132"/>
      <c r="G184" s="132"/>
      <c r="H184" s="132"/>
      <c r="I184" s="132"/>
      <c r="J184" s="132"/>
      <c r="K184" s="132"/>
      <c r="L184" s="132"/>
      <c r="M184" s="132"/>
      <c r="N184" s="132"/>
      <c r="O184" s="132"/>
      <c r="P184" s="132"/>
      <c r="Q184" s="132"/>
      <c r="R184" s="132"/>
    </row>
    <row r="185" spans="1:18">
      <c r="A185" s="132"/>
      <c r="B185" s="132"/>
      <c r="C185" s="132"/>
      <c r="D185" s="132"/>
      <c r="E185" s="132"/>
      <c r="F185" s="132"/>
      <c r="G185" s="132"/>
      <c r="H185" s="132"/>
      <c r="I185" s="132"/>
      <c r="J185" s="132"/>
      <c r="K185" s="132"/>
      <c r="L185" s="132"/>
      <c r="M185" s="132"/>
      <c r="N185" s="132"/>
      <c r="O185" s="132"/>
      <c r="P185" s="132"/>
      <c r="Q185" s="132"/>
      <c r="R185" s="132"/>
    </row>
    <row r="186" spans="1:18">
      <c r="A186" s="132"/>
      <c r="B186" s="132"/>
      <c r="C186" s="132"/>
      <c r="D186" s="132"/>
      <c r="E186" s="132"/>
      <c r="F186" s="132"/>
      <c r="G186" s="132"/>
      <c r="H186" s="132"/>
      <c r="I186" s="132"/>
      <c r="J186" s="132"/>
      <c r="K186" s="132"/>
      <c r="L186" s="132"/>
      <c r="M186" s="132"/>
      <c r="N186" s="132"/>
      <c r="O186" s="132"/>
      <c r="P186" s="132"/>
      <c r="Q186" s="132"/>
      <c r="R186" s="132"/>
    </row>
    <row r="187" spans="1:18">
      <c r="A187" s="132"/>
      <c r="B187" s="132"/>
      <c r="C187" s="132"/>
      <c r="D187" s="132"/>
      <c r="E187" s="132"/>
      <c r="F187" s="132"/>
      <c r="G187" s="132"/>
      <c r="H187" s="132"/>
      <c r="I187" s="132"/>
      <c r="J187" s="132"/>
      <c r="K187" s="132"/>
      <c r="L187" s="132"/>
      <c r="M187" s="132"/>
      <c r="N187" s="132"/>
      <c r="O187" s="132"/>
      <c r="P187" s="132"/>
      <c r="Q187" s="132"/>
      <c r="R187" s="132"/>
    </row>
    <row r="188" spans="1:18">
      <c r="A188" s="132"/>
      <c r="B188" s="132"/>
      <c r="C188" s="132"/>
      <c r="D188" s="132"/>
      <c r="E188" s="132"/>
      <c r="F188" s="132"/>
      <c r="G188" s="132"/>
      <c r="H188" s="132"/>
      <c r="I188" s="132"/>
      <c r="J188" s="132"/>
      <c r="K188" s="132"/>
      <c r="L188" s="132"/>
      <c r="M188" s="132"/>
      <c r="N188" s="132"/>
      <c r="O188" s="132"/>
      <c r="P188" s="132"/>
      <c r="Q188" s="132"/>
      <c r="R188" s="132"/>
    </row>
    <row r="189" spans="1:18">
      <c r="A189" s="132"/>
      <c r="B189" s="132"/>
      <c r="C189" s="132"/>
      <c r="D189" s="132"/>
      <c r="E189" s="132"/>
      <c r="F189" s="132"/>
      <c r="G189" s="132"/>
      <c r="H189" s="132"/>
      <c r="I189" s="132"/>
      <c r="J189" s="132"/>
      <c r="K189" s="132"/>
      <c r="L189" s="132"/>
      <c r="M189" s="132"/>
      <c r="N189" s="132"/>
      <c r="O189" s="132"/>
      <c r="P189" s="132"/>
      <c r="Q189" s="132"/>
      <c r="R189" s="132"/>
    </row>
    <row r="190" spans="1:18">
      <c r="A190" s="132"/>
      <c r="B190" s="132"/>
      <c r="C190" s="132"/>
      <c r="D190" s="132"/>
      <c r="E190" s="132"/>
      <c r="F190" s="132"/>
      <c r="G190" s="132"/>
      <c r="H190" s="132"/>
      <c r="I190" s="132"/>
      <c r="J190" s="132"/>
      <c r="K190" s="132"/>
      <c r="L190" s="132"/>
      <c r="M190" s="132"/>
      <c r="N190" s="132"/>
      <c r="O190" s="132"/>
      <c r="P190" s="132"/>
      <c r="Q190" s="132"/>
      <c r="R190" s="132"/>
    </row>
    <row r="191" spans="1:18">
      <c r="A191" s="132"/>
      <c r="B191" s="132"/>
      <c r="C191" s="132"/>
      <c r="D191" s="132"/>
      <c r="E191" s="132"/>
      <c r="F191" s="132"/>
      <c r="G191" s="132"/>
      <c r="H191" s="132"/>
      <c r="I191" s="132"/>
      <c r="J191" s="132"/>
      <c r="K191" s="132"/>
      <c r="L191" s="132"/>
      <c r="M191" s="132"/>
      <c r="N191" s="132"/>
      <c r="O191" s="132"/>
      <c r="P191" s="132"/>
      <c r="Q191" s="132"/>
      <c r="R191" s="132"/>
    </row>
    <row r="192" spans="1:18">
      <c r="A192" s="132"/>
      <c r="B192" s="132"/>
      <c r="C192" s="132"/>
      <c r="D192" s="132"/>
      <c r="E192" s="132"/>
      <c r="F192" s="132"/>
      <c r="G192" s="132"/>
      <c r="H192" s="132"/>
      <c r="I192" s="132"/>
      <c r="J192" s="132"/>
      <c r="K192" s="132"/>
      <c r="L192" s="132"/>
      <c r="M192" s="132"/>
      <c r="N192" s="132"/>
      <c r="O192" s="132"/>
      <c r="P192" s="132"/>
      <c r="Q192" s="132"/>
      <c r="R192" s="132"/>
    </row>
    <row r="193" spans="1:18">
      <c r="A193" s="132"/>
      <c r="B193" s="132"/>
      <c r="C193" s="132"/>
      <c r="D193" s="132"/>
      <c r="E193" s="132"/>
      <c r="F193" s="132"/>
      <c r="G193" s="132"/>
      <c r="H193" s="132"/>
      <c r="I193" s="132"/>
      <c r="J193" s="132"/>
      <c r="K193" s="132"/>
      <c r="L193" s="132"/>
      <c r="M193" s="132"/>
      <c r="N193" s="132"/>
      <c r="O193" s="132"/>
      <c r="P193" s="132"/>
      <c r="Q193" s="132"/>
      <c r="R193" s="132"/>
    </row>
    <row r="194" spans="1:18">
      <c r="A194" s="132"/>
      <c r="B194" s="132"/>
      <c r="C194" s="132"/>
      <c r="D194" s="132"/>
      <c r="E194" s="132"/>
      <c r="F194" s="132"/>
      <c r="G194" s="132"/>
      <c r="H194" s="132"/>
      <c r="I194" s="132"/>
      <c r="J194" s="132"/>
      <c r="K194" s="132"/>
      <c r="L194" s="132"/>
      <c r="M194" s="132"/>
      <c r="N194" s="132"/>
      <c r="O194" s="132"/>
      <c r="P194" s="132"/>
      <c r="Q194" s="132"/>
      <c r="R194" s="132"/>
    </row>
    <row r="195" spans="1:18">
      <c r="A195" s="132"/>
      <c r="B195" s="132"/>
      <c r="C195" s="132"/>
      <c r="D195" s="132"/>
      <c r="E195" s="132"/>
      <c r="F195" s="132"/>
      <c r="G195" s="132"/>
      <c r="H195" s="132"/>
      <c r="I195" s="132"/>
      <c r="J195" s="132"/>
      <c r="K195" s="132"/>
      <c r="L195" s="132"/>
      <c r="M195" s="132"/>
      <c r="N195" s="132"/>
      <c r="O195" s="132"/>
      <c r="P195" s="132"/>
      <c r="Q195" s="132"/>
      <c r="R195" s="132"/>
    </row>
    <row r="196" spans="1:18">
      <c r="A196" s="132"/>
      <c r="B196" s="132"/>
      <c r="C196" s="132"/>
      <c r="D196" s="132"/>
      <c r="E196" s="132"/>
      <c r="F196" s="132"/>
      <c r="G196" s="132"/>
      <c r="H196" s="132"/>
      <c r="I196" s="132"/>
      <c r="J196" s="132"/>
      <c r="K196" s="132"/>
      <c r="L196" s="132"/>
      <c r="M196" s="132"/>
      <c r="N196" s="132"/>
      <c r="O196" s="132"/>
      <c r="P196" s="132"/>
      <c r="Q196" s="132"/>
      <c r="R196" s="132"/>
    </row>
    <row r="197" spans="1:18">
      <c r="A197" s="132"/>
      <c r="B197" s="132"/>
      <c r="C197" s="132"/>
      <c r="D197" s="132"/>
      <c r="E197" s="132"/>
      <c r="F197" s="132"/>
      <c r="G197" s="132"/>
      <c r="H197" s="132"/>
      <c r="I197" s="132"/>
      <c r="J197" s="132"/>
      <c r="K197" s="132"/>
      <c r="L197" s="132"/>
      <c r="M197" s="132"/>
      <c r="N197" s="132"/>
      <c r="O197" s="132"/>
      <c r="P197" s="132"/>
      <c r="Q197" s="132"/>
      <c r="R197" s="132"/>
    </row>
    <row r="198" spans="1:18">
      <c r="A198" s="132"/>
      <c r="B198" s="132"/>
      <c r="C198" s="132"/>
      <c r="D198" s="132"/>
      <c r="E198" s="132"/>
      <c r="F198" s="132"/>
      <c r="G198" s="132"/>
      <c r="H198" s="132"/>
      <c r="I198" s="132"/>
      <c r="J198" s="132"/>
      <c r="K198" s="132"/>
      <c r="L198" s="132"/>
      <c r="M198" s="132"/>
      <c r="N198" s="132"/>
      <c r="O198" s="132"/>
      <c r="P198" s="132"/>
      <c r="Q198" s="132"/>
      <c r="R198" s="132"/>
    </row>
    <row r="199" spans="1:18">
      <c r="A199" s="132"/>
      <c r="B199" s="132"/>
      <c r="C199" s="132"/>
      <c r="D199" s="132"/>
      <c r="E199" s="132"/>
      <c r="F199" s="132"/>
      <c r="G199" s="132"/>
      <c r="H199" s="132"/>
      <c r="I199" s="132"/>
      <c r="J199" s="132"/>
      <c r="K199" s="132"/>
      <c r="L199" s="132"/>
      <c r="M199" s="132"/>
      <c r="N199" s="132"/>
      <c r="O199" s="132"/>
      <c r="P199" s="132"/>
      <c r="Q199" s="132"/>
      <c r="R199" s="132"/>
    </row>
    <row r="200" spans="1:18">
      <c r="A200" s="132"/>
      <c r="B200" s="132"/>
      <c r="C200" s="132"/>
      <c r="D200" s="132"/>
      <c r="E200" s="132"/>
      <c r="F200" s="132"/>
      <c r="G200" s="132"/>
      <c r="H200" s="132"/>
      <c r="I200" s="132"/>
      <c r="J200" s="132"/>
      <c r="K200" s="132"/>
      <c r="L200" s="132"/>
      <c r="M200" s="132"/>
      <c r="N200" s="132"/>
      <c r="O200" s="132"/>
      <c r="P200" s="132"/>
      <c r="Q200" s="132"/>
      <c r="R200" s="132"/>
    </row>
    <row r="201" spans="1:18">
      <c r="A201" s="132"/>
      <c r="B201" s="132"/>
      <c r="C201" s="132"/>
      <c r="D201" s="132"/>
      <c r="E201" s="132"/>
      <c r="F201" s="132"/>
      <c r="G201" s="132"/>
      <c r="H201" s="132"/>
      <c r="I201" s="132"/>
      <c r="J201" s="132"/>
      <c r="K201" s="132"/>
      <c r="L201" s="132"/>
      <c r="M201" s="132"/>
      <c r="N201" s="132"/>
      <c r="O201" s="132"/>
      <c r="P201" s="132"/>
      <c r="Q201" s="132"/>
      <c r="R201" s="132"/>
    </row>
    <row r="202" spans="1:18">
      <c r="A202" s="132"/>
      <c r="B202" s="132"/>
      <c r="C202" s="132"/>
      <c r="D202" s="132"/>
      <c r="E202" s="132"/>
      <c r="F202" s="132"/>
      <c r="G202" s="132"/>
      <c r="H202" s="132"/>
      <c r="I202" s="132"/>
      <c r="J202" s="132"/>
      <c r="K202" s="132"/>
      <c r="L202" s="132"/>
      <c r="M202" s="132"/>
      <c r="N202" s="132"/>
      <c r="O202" s="132"/>
      <c r="P202" s="132"/>
      <c r="Q202" s="132"/>
      <c r="R202" s="132"/>
    </row>
    <row r="203" spans="1:18">
      <c r="A203" s="132"/>
      <c r="B203" s="132"/>
      <c r="C203" s="132"/>
      <c r="D203" s="132"/>
      <c r="E203" s="132"/>
      <c r="F203" s="132"/>
      <c r="G203" s="132"/>
      <c r="H203" s="132"/>
      <c r="I203" s="132"/>
      <c r="J203" s="132"/>
      <c r="K203" s="132"/>
      <c r="L203" s="132"/>
      <c r="M203" s="132"/>
      <c r="N203" s="132"/>
      <c r="O203" s="132"/>
      <c r="P203" s="132"/>
      <c r="Q203" s="132"/>
      <c r="R203" s="132"/>
    </row>
    <row r="204" spans="1:18">
      <c r="A204" s="132"/>
      <c r="B204" s="132"/>
      <c r="C204" s="132"/>
      <c r="D204" s="132"/>
      <c r="E204" s="132"/>
      <c r="F204" s="132"/>
      <c r="G204" s="132"/>
      <c r="H204" s="132"/>
      <c r="I204" s="132"/>
      <c r="J204" s="132"/>
      <c r="K204" s="132"/>
      <c r="L204" s="132"/>
      <c r="M204" s="132"/>
      <c r="N204" s="132"/>
      <c r="O204" s="132"/>
      <c r="P204" s="132"/>
      <c r="Q204" s="132"/>
      <c r="R204" s="132"/>
    </row>
    <row r="205" spans="1:18">
      <c r="A205" s="132"/>
      <c r="B205" s="132"/>
      <c r="C205" s="132"/>
      <c r="D205" s="132"/>
      <c r="E205" s="132"/>
      <c r="F205" s="132"/>
      <c r="G205" s="132"/>
      <c r="H205" s="132"/>
      <c r="I205" s="132"/>
      <c r="J205" s="132"/>
      <c r="K205" s="132"/>
      <c r="L205" s="132"/>
      <c r="M205" s="132"/>
      <c r="N205" s="132"/>
      <c r="O205" s="132"/>
      <c r="P205" s="132"/>
      <c r="Q205" s="132"/>
      <c r="R205" s="132"/>
    </row>
    <row r="206" spans="1:18">
      <c r="A206" s="132"/>
      <c r="B206" s="132"/>
      <c r="C206" s="132"/>
      <c r="D206" s="132"/>
      <c r="E206" s="132"/>
      <c r="F206" s="132"/>
      <c r="G206" s="132"/>
      <c r="H206" s="132"/>
      <c r="I206" s="132"/>
      <c r="J206" s="132"/>
      <c r="K206" s="132"/>
      <c r="L206" s="132"/>
      <c r="M206" s="132"/>
      <c r="N206" s="132"/>
      <c r="O206" s="132"/>
      <c r="P206" s="132"/>
      <c r="Q206" s="132"/>
      <c r="R206" s="132"/>
    </row>
    <row r="207" spans="1:18">
      <c r="A207" s="132"/>
      <c r="B207" s="132"/>
      <c r="C207" s="132"/>
      <c r="D207" s="132"/>
      <c r="E207" s="132"/>
      <c r="F207" s="132"/>
      <c r="G207" s="132"/>
      <c r="H207" s="132"/>
      <c r="I207" s="132"/>
      <c r="J207" s="132"/>
      <c r="K207" s="132"/>
      <c r="L207" s="132"/>
      <c r="M207" s="132"/>
      <c r="N207" s="132"/>
      <c r="O207" s="132"/>
      <c r="P207" s="132"/>
      <c r="Q207" s="132"/>
      <c r="R207" s="132"/>
    </row>
    <row r="208" spans="1:18">
      <c r="A208" s="132"/>
      <c r="B208" s="132"/>
      <c r="C208" s="132"/>
      <c r="D208" s="132"/>
      <c r="E208" s="132"/>
      <c r="F208" s="132"/>
      <c r="G208" s="132"/>
      <c r="H208" s="132"/>
      <c r="I208" s="132"/>
      <c r="J208" s="132"/>
      <c r="K208" s="132"/>
      <c r="L208" s="132"/>
      <c r="M208" s="132"/>
      <c r="N208" s="132"/>
      <c r="O208" s="132"/>
      <c r="P208" s="132"/>
      <c r="Q208" s="132"/>
      <c r="R208" s="132"/>
    </row>
    <row r="209" spans="1:18">
      <c r="A209" s="132"/>
      <c r="B209" s="132"/>
      <c r="C209" s="132"/>
      <c r="D209" s="132"/>
      <c r="E209" s="132"/>
      <c r="F209" s="132"/>
      <c r="G209" s="132"/>
      <c r="H209" s="132"/>
      <c r="I209" s="132"/>
      <c r="J209" s="132"/>
      <c r="K209" s="132"/>
      <c r="L209" s="132"/>
      <c r="M209" s="132"/>
      <c r="N209" s="132"/>
      <c r="O209" s="132"/>
      <c r="P209" s="132"/>
      <c r="Q209" s="132"/>
      <c r="R209" s="132"/>
    </row>
    <row r="210" spans="1:18">
      <c r="A210" s="132"/>
      <c r="B210" s="132"/>
      <c r="C210" s="132"/>
      <c r="D210" s="132"/>
      <c r="E210" s="132"/>
      <c r="F210" s="132"/>
      <c r="G210" s="132"/>
      <c r="H210" s="132"/>
      <c r="I210" s="132"/>
      <c r="J210" s="132"/>
      <c r="K210" s="132"/>
      <c r="L210" s="132"/>
      <c r="M210" s="132"/>
      <c r="N210" s="132"/>
      <c r="O210" s="132"/>
      <c r="P210" s="132"/>
      <c r="Q210" s="132"/>
      <c r="R210" s="132"/>
    </row>
    <row r="211" spans="1:18">
      <c r="A211" s="132"/>
      <c r="B211" s="132"/>
      <c r="C211" s="132"/>
      <c r="D211" s="132"/>
      <c r="E211" s="132"/>
      <c r="F211" s="132"/>
      <c r="G211" s="132"/>
      <c r="H211" s="132"/>
      <c r="I211" s="132"/>
      <c r="J211" s="132"/>
      <c r="K211" s="132"/>
      <c r="L211" s="132"/>
      <c r="M211" s="132"/>
      <c r="N211" s="132"/>
      <c r="O211" s="132"/>
      <c r="P211" s="132"/>
      <c r="Q211" s="132"/>
      <c r="R211" s="132"/>
    </row>
    <row r="212" spans="1:18">
      <c r="A212" s="132"/>
      <c r="B212" s="132"/>
      <c r="C212" s="132"/>
      <c r="D212" s="132"/>
      <c r="E212" s="132"/>
      <c r="F212" s="132"/>
      <c r="G212" s="132"/>
      <c r="H212" s="132"/>
      <c r="I212" s="132"/>
      <c r="J212" s="132"/>
      <c r="K212" s="132"/>
      <c r="L212" s="132"/>
      <c r="M212" s="132"/>
      <c r="N212" s="132"/>
      <c r="O212" s="132"/>
      <c r="P212" s="132"/>
      <c r="Q212" s="132"/>
      <c r="R212" s="132"/>
    </row>
    <row r="213" spans="1:18">
      <c r="A213" s="132"/>
      <c r="B213" s="132"/>
      <c r="C213" s="132"/>
      <c r="D213" s="132"/>
      <c r="E213" s="132"/>
      <c r="F213" s="132"/>
      <c r="G213" s="132"/>
      <c r="H213" s="132"/>
      <c r="I213" s="132"/>
      <c r="J213" s="132"/>
      <c r="K213" s="132"/>
      <c r="L213" s="132"/>
      <c r="M213" s="132"/>
      <c r="N213" s="132"/>
      <c r="O213" s="132"/>
      <c r="P213" s="132"/>
      <c r="Q213" s="132"/>
      <c r="R213" s="132"/>
    </row>
    <row r="214" spans="1:18">
      <c r="A214" s="132"/>
      <c r="B214" s="132"/>
      <c r="C214" s="132"/>
      <c r="D214" s="132"/>
      <c r="E214" s="132"/>
      <c r="F214" s="132"/>
      <c r="G214" s="132"/>
      <c r="H214" s="132"/>
      <c r="I214" s="132"/>
      <c r="J214" s="132"/>
      <c r="K214" s="132"/>
      <c r="L214" s="132"/>
      <c r="M214" s="132"/>
      <c r="N214" s="132"/>
      <c r="O214" s="132"/>
      <c r="P214" s="132"/>
      <c r="Q214" s="132"/>
      <c r="R214" s="132"/>
    </row>
    <row r="215" spans="1:18">
      <c r="A215" s="132"/>
      <c r="B215" s="132"/>
      <c r="C215" s="132"/>
      <c r="D215" s="132"/>
      <c r="E215" s="132"/>
      <c r="F215" s="132"/>
      <c r="G215" s="132"/>
      <c r="H215" s="132"/>
      <c r="I215" s="132"/>
      <c r="J215" s="132"/>
      <c r="K215" s="132"/>
      <c r="L215" s="132"/>
      <c r="M215" s="132"/>
      <c r="N215" s="132"/>
      <c r="O215" s="132"/>
      <c r="P215" s="132"/>
      <c r="Q215" s="132"/>
      <c r="R215" s="132"/>
    </row>
    <row r="216" spans="1:18">
      <c r="A216" s="132"/>
      <c r="B216" s="132"/>
      <c r="C216" s="132"/>
      <c r="D216" s="132"/>
      <c r="E216" s="132"/>
      <c r="F216" s="132"/>
      <c r="G216" s="132"/>
      <c r="H216" s="132"/>
      <c r="I216" s="132"/>
      <c r="J216" s="132"/>
      <c r="K216" s="132"/>
      <c r="L216" s="132"/>
      <c r="M216" s="132"/>
      <c r="N216" s="132"/>
      <c r="O216" s="132"/>
      <c r="P216" s="132"/>
      <c r="Q216" s="132"/>
      <c r="R216" s="132"/>
    </row>
    <row r="217" spans="1:18">
      <c r="A217" s="132"/>
      <c r="B217" s="132"/>
      <c r="C217" s="132"/>
      <c r="D217" s="132"/>
      <c r="E217" s="132"/>
      <c r="F217" s="132"/>
      <c r="G217" s="132"/>
      <c r="H217" s="132"/>
      <c r="I217" s="132"/>
      <c r="J217" s="132"/>
      <c r="K217" s="132"/>
      <c r="L217" s="132"/>
      <c r="M217" s="132"/>
      <c r="N217" s="132"/>
      <c r="O217" s="132"/>
      <c r="P217" s="132"/>
      <c r="Q217" s="132"/>
      <c r="R217" s="132"/>
    </row>
    <row r="218" spans="1:18">
      <c r="A218" s="132"/>
      <c r="B218" s="132"/>
      <c r="C218" s="132"/>
      <c r="D218" s="132"/>
      <c r="E218" s="132"/>
      <c r="F218" s="132"/>
      <c r="G218" s="132"/>
      <c r="H218" s="132"/>
      <c r="I218" s="132"/>
      <c r="J218" s="132"/>
      <c r="K218" s="132"/>
      <c r="L218" s="132"/>
      <c r="M218" s="132"/>
      <c r="N218" s="132"/>
      <c r="O218" s="132"/>
      <c r="P218" s="132"/>
      <c r="Q218" s="132"/>
      <c r="R218" s="132"/>
    </row>
    <row r="219" spans="1:18">
      <c r="A219" s="132"/>
      <c r="B219" s="132"/>
      <c r="C219" s="132"/>
      <c r="D219" s="132"/>
      <c r="E219" s="132"/>
      <c r="F219" s="132"/>
      <c r="G219" s="132"/>
      <c r="H219" s="132"/>
      <c r="I219" s="132"/>
      <c r="J219" s="132"/>
      <c r="K219" s="132"/>
      <c r="L219" s="132"/>
      <c r="M219" s="132"/>
      <c r="N219" s="132"/>
      <c r="O219" s="132"/>
      <c r="P219" s="132"/>
      <c r="Q219" s="132"/>
      <c r="R219" s="132"/>
    </row>
    <row r="220" spans="1:18">
      <c r="A220" s="132"/>
      <c r="B220" s="132"/>
      <c r="C220" s="132"/>
      <c r="D220" s="132"/>
      <c r="E220" s="132"/>
      <c r="F220" s="132"/>
      <c r="G220" s="132"/>
      <c r="H220" s="132"/>
      <c r="I220" s="132"/>
      <c r="J220" s="132"/>
      <c r="K220" s="132"/>
      <c r="L220" s="132"/>
      <c r="M220" s="132"/>
      <c r="N220" s="132"/>
      <c r="O220" s="132"/>
      <c r="P220" s="132"/>
      <c r="Q220" s="132"/>
      <c r="R220" s="132"/>
    </row>
    <row r="221" spans="1:18">
      <c r="A221" s="132"/>
      <c r="B221" s="132"/>
      <c r="C221" s="132"/>
      <c r="D221" s="132"/>
      <c r="E221" s="132"/>
      <c r="F221" s="132"/>
      <c r="G221" s="132"/>
      <c r="H221" s="132"/>
      <c r="I221" s="132"/>
      <c r="J221" s="132"/>
      <c r="K221" s="132"/>
      <c r="L221" s="132"/>
      <c r="M221" s="132"/>
      <c r="N221" s="132"/>
      <c r="O221" s="132"/>
      <c r="P221" s="132"/>
      <c r="Q221" s="132"/>
      <c r="R221" s="132"/>
    </row>
    <row r="222" spans="1:18">
      <c r="A222" s="132"/>
      <c r="B222" s="132"/>
      <c r="C222" s="132"/>
      <c r="D222" s="132"/>
      <c r="E222" s="132"/>
      <c r="F222" s="132"/>
      <c r="G222" s="132"/>
      <c r="H222" s="132"/>
      <c r="I222" s="132"/>
      <c r="J222" s="132"/>
      <c r="K222" s="132"/>
      <c r="L222" s="132"/>
      <c r="M222" s="132"/>
      <c r="N222" s="132"/>
      <c r="O222" s="132"/>
      <c r="P222" s="132"/>
      <c r="Q222" s="132"/>
      <c r="R222" s="132"/>
    </row>
    <row r="223" spans="1:18">
      <c r="A223" s="132"/>
      <c r="B223" s="132"/>
      <c r="C223" s="132"/>
      <c r="D223" s="132"/>
      <c r="E223" s="132"/>
      <c r="F223" s="132"/>
      <c r="G223" s="132"/>
      <c r="H223" s="132"/>
      <c r="I223" s="132"/>
      <c r="J223" s="132"/>
      <c r="K223" s="132"/>
      <c r="L223" s="132"/>
      <c r="M223" s="132"/>
      <c r="N223" s="132"/>
      <c r="O223" s="132"/>
      <c r="P223" s="132"/>
      <c r="Q223" s="132"/>
      <c r="R223" s="132"/>
    </row>
    <row r="224" spans="1:18">
      <c r="A224" s="132"/>
      <c r="B224" s="132"/>
      <c r="C224" s="132"/>
      <c r="D224" s="132"/>
      <c r="E224" s="132"/>
      <c r="F224" s="132"/>
      <c r="G224" s="132"/>
      <c r="H224" s="132"/>
      <c r="I224" s="132"/>
      <c r="J224" s="132"/>
      <c r="K224" s="132"/>
      <c r="L224" s="132"/>
      <c r="M224" s="132"/>
      <c r="N224" s="132"/>
      <c r="O224" s="132"/>
      <c r="P224" s="132"/>
      <c r="Q224" s="132"/>
      <c r="R224" s="132"/>
    </row>
    <row r="225" spans="1:18">
      <c r="A225" s="132"/>
      <c r="B225" s="132"/>
      <c r="C225" s="132"/>
      <c r="D225" s="132"/>
      <c r="E225" s="132"/>
      <c r="F225" s="132"/>
      <c r="G225" s="132"/>
      <c r="H225" s="132"/>
      <c r="I225" s="132"/>
      <c r="J225" s="132"/>
      <c r="K225" s="132"/>
      <c r="L225" s="132"/>
      <c r="M225" s="132"/>
      <c r="N225" s="132"/>
      <c r="O225" s="132"/>
      <c r="P225" s="132"/>
      <c r="Q225" s="132"/>
      <c r="R225" s="132"/>
    </row>
    <row r="226" spans="1:18">
      <c r="A226" s="132"/>
      <c r="B226" s="132"/>
      <c r="C226" s="132"/>
      <c r="D226" s="132"/>
      <c r="E226" s="132"/>
      <c r="F226" s="132"/>
      <c r="G226" s="132"/>
      <c r="H226" s="132"/>
      <c r="I226" s="132"/>
      <c r="J226" s="132"/>
      <c r="K226" s="132"/>
      <c r="L226" s="132"/>
      <c r="M226" s="132"/>
      <c r="N226" s="132"/>
      <c r="O226" s="132"/>
      <c r="P226" s="132"/>
      <c r="Q226" s="132"/>
      <c r="R226" s="132"/>
    </row>
    <row r="227" spans="1:18">
      <c r="A227" s="132"/>
      <c r="B227" s="132"/>
      <c r="C227" s="132"/>
      <c r="D227" s="132"/>
      <c r="E227" s="132"/>
      <c r="F227" s="132"/>
      <c r="G227" s="132"/>
      <c r="H227" s="132"/>
      <c r="I227" s="132"/>
      <c r="J227" s="132"/>
      <c r="K227" s="132"/>
      <c r="L227" s="132"/>
      <c r="M227" s="132"/>
      <c r="N227" s="132"/>
      <c r="O227" s="132"/>
      <c r="P227" s="132"/>
      <c r="Q227" s="132"/>
      <c r="R227" s="132"/>
    </row>
    <row r="228" spans="1:18">
      <c r="A228" s="132"/>
      <c r="B228" s="132"/>
      <c r="C228" s="132"/>
      <c r="D228" s="132"/>
      <c r="E228" s="132"/>
      <c r="F228" s="132"/>
      <c r="G228" s="132"/>
      <c r="H228" s="132"/>
      <c r="I228" s="132"/>
      <c r="J228" s="132"/>
      <c r="K228" s="132"/>
      <c r="L228" s="132"/>
      <c r="M228" s="132"/>
      <c r="N228" s="132"/>
      <c r="O228" s="132"/>
      <c r="P228" s="132"/>
      <c r="Q228" s="132"/>
      <c r="R228" s="132"/>
    </row>
    <row r="229" spans="1:18">
      <c r="A229" s="132"/>
      <c r="B229" s="132"/>
      <c r="C229" s="132"/>
      <c r="D229" s="132"/>
      <c r="E229" s="132"/>
      <c r="F229" s="132"/>
      <c r="G229" s="132"/>
      <c r="H229" s="132"/>
      <c r="I229" s="132"/>
      <c r="J229" s="132"/>
      <c r="K229" s="132"/>
      <c r="L229" s="132"/>
      <c r="M229" s="132"/>
      <c r="N229" s="132"/>
      <c r="O229" s="132"/>
      <c r="P229" s="132"/>
      <c r="Q229" s="132"/>
      <c r="R229" s="132"/>
    </row>
    <row r="230" spans="1:18">
      <c r="A230" s="132"/>
      <c r="B230" s="132"/>
      <c r="C230" s="132"/>
      <c r="D230" s="132"/>
      <c r="E230" s="132"/>
      <c r="F230" s="132"/>
      <c r="G230" s="132"/>
      <c r="H230" s="132"/>
      <c r="I230" s="132"/>
      <c r="J230" s="132"/>
      <c r="K230" s="132"/>
      <c r="L230" s="132"/>
      <c r="M230" s="132"/>
      <c r="N230" s="132"/>
      <c r="O230" s="132"/>
      <c r="P230" s="132"/>
      <c r="Q230" s="132"/>
      <c r="R230" s="132"/>
    </row>
    <row r="231" spans="1:18">
      <c r="A231" s="132"/>
      <c r="B231" s="132"/>
      <c r="C231" s="132"/>
      <c r="D231" s="132"/>
      <c r="E231" s="132"/>
      <c r="F231" s="132"/>
      <c r="G231" s="132"/>
      <c r="H231" s="132"/>
      <c r="I231" s="132"/>
      <c r="J231" s="132"/>
      <c r="K231" s="132"/>
      <c r="L231" s="132"/>
      <c r="M231" s="132"/>
      <c r="N231" s="132"/>
      <c r="O231" s="132"/>
      <c r="P231" s="132"/>
      <c r="Q231" s="132"/>
      <c r="R231" s="132"/>
    </row>
    <row r="232" spans="1:18">
      <c r="A232" s="132"/>
      <c r="B232" s="132"/>
      <c r="C232" s="132"/>
      <c r="D232" s="132"/>
      <c r="E232" s="132"/>
      <c r="F232" s="132"/>
      <c r="G232" s="132"/>
      <c r="H232" s="132"/>
      <c r="I232" s="132"/>
      <c r="J232" s="132"/>
      <c r="K232" s="132"/>
      <c r="L232" s="132"/>
      <c r="M232" s="132"/>
      <c r="N232" s="132"/>
      <c r="O232" s="132"/>
      <c r="P232" s="132"/>
      <c r="Q232" s="132"/>
      <c r="R232" s="132"/>
    </row>
    <row r="233" spans="1:18">
      <c r="A233" s="132"/>
      <c r="B233" s="132"/>
      <c r="C233" s="132"/>
      <c r="D233" s="132"/>
      <c r="E233" s="132"/>
      <c r="F233" s="132"/>
      <c r="G233" s="132"/>
      <c r="H233" s="132"/>
      <c r="I233" s="132"/>
      <c r="J233" s="132"/>
      <c r="K233" s="132"/>
      <c r="L233" s="132"/>
      <c r="M233" s="132"/>
      <c r="N233" s="132"/>
      <c r="O233" s="132"/>
      <c r="P233" s="132"/>
      <c r="Q233" s="132"/>
      <c r="R233" s="132"/>
    </row>
    <row r="234" spans="1:18">
      <c r="A234" s="132"/>
      <c r="B234" s="132"/>
      <c r="C234" s="132"/>
      <c r="D234" s="132"/>
      <c r="E234" s="132"/>
      <c r="F234" s="132"/>
      <c r="G234" s="132"/>
      <c r="H234" s="132"/>
      <c r="I234" s="132"/>
      <c r="J234" s="132"/>
      <c r="K234" s="132"/>
      <c r="L234" s="132"/>
      <c r="M234" s="132"/>
      <c r="N234" s="132"/>
      <c r="O234" s="132"/>
      <c r="P234" s="132"/>
      <c r="Q234" s="132"/>
      <c r="R234" s="132"/>
    </row>
    <row r="235" spans="1:18">
      <c r="A235" s="132"/>
      <c r="B235" s="132"/>
      <c r="C235" s="132"/>
      <c r="D235" s="132"/>
      <c r="E235" s="132"/>
      <c r="F235" s="132"/>
      <c r="G235" s="132"/>
      <c r="H235" s="132"/>
      <c r="I235" s="132"/>
      <c r="J235" s="132"/>
      <c r="K235" s="132"/>
      <c r="L235" s="132"/>
      <c r="M235" s="132"/>
      <c r="N235" s="132"/>
      <c r="O235" s="132"/>
      <c r="P235" s="132"/>
      <c r="Q235" s="132"/>
      <c r="R235" s="132"/>
    </row>
    <row r="236" spans="1:18">
      <c r="A236" s="132"/>
      <c r="B236" s="132"/>
      <c r="C236" s="132"/>
      <c r="D236" s="132"/>
      <c r="E236" s="132"/>
      <c r="F236" s="132"/>
      <c r="G236" s="132"/>
      <c r="H236" s="132"/>
      <c r="I236" s="132"/>
      <c r="J236" s="132"/>
      <c r="K236" s="132"/>
      <c r="L236" s="132"/>
      <c r="M236" s="132"/>
      <c r="N236" s="132"/>
      <c r="O236" s="132"/>
      <c r="P236" s="132"/>
      <c r="Q236" s="132"/>
      <c r="R236" s="132"/>
    </row>
    <row r="237" spans="1:18">
      <c r="A237" s="132"/>
      <c r="B237" s="132"/>
      <c r="C237" s="132"/>
      <c r="D237" s="132"/>
      <c r="E237" s="132"/>
      <c r="F237" s="132"/>
      <c r="G237" s="132"/>
      <c r="H237" s="132"/>
      <c r="I237" s="132"/>
      <c r="J237" s="132"/>
      <c r="K237" s="132"/>
      <c r="L237" s="132"/>
      <c r="M237" s="132"/>
      <c r="N237" s="132"/>
      <c r="O237" s="132"/>
      <c r="P237" s="132"/>
      <c r="Q237" s="132"/>
      <c r="R237" s="132"/>
    </row>
    <row r="238" spans="1:18">
      <c r="A238" s="132"/>
      <c r="B238" s="132"/>
      <c r="C238" s="132"/>
      <c r="D238" s="132"/>
      <c r="E238" s="132"/>
      <c r="F238" s="132"/>
      <c r="G238" s="132"/>
      <c r="H238" s="132"/>
      <c r="I238" s="132"/>
      <c r="J238" s="132"/>
      <c r="K238" s="132"/>
      <c r="L238" s="132"/>
      <c r="M238" s="132"/>
      <c r="N238" s="132"/>
      <c r="O238" s="132"/>
      <c r="P238" s="132"/>
      <c r="Q238" s="132"/>
      <c r="R238" s="132"/>
    </row>
    <row r="239" spans="1:18">
      <c r="A239" s="132"/>
      <c r="B239" s="132"/>
      <c r="C239" s="132"/>
      <c r="D239" s="132"/>
      <c r="E239" s="132"/>
      <c r="F239" s="132"/>
      <c r="G239" s="132"/>
      <c r="H239" s="132"/>
      <c r="I239" s="132"/>
      <c r="J239" s="132"/>
      <c r="K239" s="132"/>
      <c r="L239" s="132"/>
      <c r="M239" s="132"/>
      <c r="N239" s="132"/>
      <c r="O239" s="132"/>
      <c r="P239" s="132"/>
      <c r="Q239" s="132"/>
      <c r="R239" s="132"/>
    </row>
    <row r="240" spans="1:18">
      <c r="A240" s="132"/>
      <c r="B240" s="132"/>
      <c r="C240" s="132"/>
      <c r="D240" s="132"/>
      <c r="E240" s="132"/>
      <c r="F240" s="132"/>
      <c r="G240" s="132"/>
      <c r="H240" s="132"/>
      <c r="I240" s="132"/>
      <c r="J240" s="132"/>
      <c r="K240" s="132"/>
      <c r="L240" s="132"/>
      <c r="M240" s="132"/>
      <c r="N240" s="132"/>
      <c r="O240" s="132"/>
      <c r="P240" s="132"/>
      <c r="Q240" s="132"/>
      <c r="R240" s="132"/>
    </row>
    <row r="241" spans="1:18">
      <c r="A241" s="132"/>
      <c r="B241" s="132"/>
      <c r="C241" s="132"/>
      <c r="D241" s="132"/>
      <c r="E241" s="132"/>
      <c r="F241" s="132"/>
      <c r="G241" s="132"/>
      <c r="H241" s="132"/>
      <c r="I241" s="132"/>
      <c r="J241" s="132"/>
      <c r="K241" s="132"/>
      <c r="L241" s="132"/>
      <c r="M241" s="132"/>
      <c r="N241" s="132"/>
      <c r="O241" s="132"/>
      <c r="P241" s="132"/>
      <c r="Q241" s="132"/>
      <c r="R241" s="132"/>
    </row>
    <row r="242" spans="1:18">
      <c r="A242" s="132"/>
      <c r="B242" s="132"/>
      <c r="C242" s="132"/>
      <c r="D242" s="132"/>
      <c r="E242" s="132"/>
      <c r="F242" s="132"/>
      <c r="G242" s="132"/>
      <c r="H242" s="132"/>
      <c r="I242" s="132"/>
      <c r="J242" s="132"/>
      <c r="K242" s="132"/>
      <c r="L242" s="132"/>
      <c r="M242" s="132"/>
      <c r="N242" s="132"/>
      <c r="O242" s="132"/>
      <c r="P242" s="132"/>
      <c r="Q242" s="132"/>
      <c r="R242" s="132"/>
    </row>
    <row r="243" spans="1:18">
      <c r="A243" s="132"/>
      <c r="B243" s="132"/>
      <c r="C243" s="132"/>
      <c r="D243" s="132"/>
      <c r="E243" s="132"/>
      <c r="F243" s="132"/>
      <c r="G243" s="132"/>
      <c r="H243" s="132"/>
      <c r="I243" s="132"/>
      <c r="J243" s="132"/>
      <c r="K243" s="132"/>
      <c r="L243" s="132"/>
      <c r="M243" s="132"/>
      <c r="N243" s="132"/>
      <c r="O243" s="132"/>
      <c r="P243" s="132"/>
      <c r="Q243" s="132"/>
      <c r="R243" s="132"/>
    </row>
    <row r="244" spans="1:18">
      <c r="A244" s="132"/>
      <c r="B244" s="132"/>
      <c r="C244" s="132"/>
      <c r="D244" s="132"/>
      <c r="E244" s="132"/>
      <c r="F244" s="132"/>
      <c r="G244" s="132"/>
      <c r="H244" s="132"/>
      <c r="I244" s="132"/>
      <c r="J244" s="132"/>
      <c r="K244" s="132"/>
      <c r="L244" s="132"/>
      <c r="M244" s="132"/>
      <c r="N244" s="132"/>
      <c r="O244" s="132"/>
      <c r="P244" s="132"/>
      <c r="Q244" s="132"/>
      <c r="R244" s="132"/>
    </row>
    <row r="245" spans="1:18">
      <c r="A245" s="132"/>
      <c r="B245" s="132"/>
      <c r="C245" s="132"/>
      <c r="D245" s="132"/>
      <c r="E245" s="132"/>
      <c r="F245" s="132"/>
      <c r="G245" s="132"/>
      <c r="H245" s="132"/>
      <c r="I245" s="132"/>
      <c r="J245" s="132"/>
      <c r="K245" s="132"/>
      <c r="L245" s="132"/>
      <c r="M245" s="132"/>
      <c r="N245" s="132"/>
      <c r="O245" s="132"/>
      <c r="P245" s="132"/>
      <c r="Q245" s="132"/>
      <c r="R245" s="132"/>
    </row>
    <row r="246" spans="1:18">
      <c r="A246" s="132"/>
      <c r="B246" s="132"/>
      <c r="C246" s="132"/>
      <c r="D246" s="132"/>
      <c r="E246" s="132"/>
      <c r="F246" s="132"/>
      <c r="G246" s="132"/>
      <c r="H246" s="132"/>
      <c r="I246" s="132"/>
      <c r="J246" s="132"/>
      <c r="K246" s="132"/>
      <c r="L246" s="132"/>
      <c r="M246" s="132"/>
      <c r="N246" s="132"/>
      <c r="O246" s="132"/>
      <c r="P246" s="132"/>
      <c r="Q246" s="132"/>
      <c r="R246" s="132"/>
    </row>
    <row r="247" spans="1:18">
      <c r="A247" s="132"/>
      <c r="B247" s="132"/>
      <c r="C247" s="132"/>
      <c r="D247" s="132"/>
      <c r="E247" s="132"/>
      <c r="F247" s="132"/>
      <c r="G247" s="132"/>
      <c r="H247" s="132"/>
      <c r="I247" s="132"/>
      <c r="J247" s="132"/>
      <c r="K247" s="132"/>
      <c r="L247" s="132"/>
      <c r="M247" s="132"/>
      <c r="N247" s="132"/>
      <c r="O247" s="132"/>
      <c r="P247" s="132"/>
      <c r="Q247" s="132"/>
      <c r="R247" s="132"/>
    </row>
    <row r="248" spans="1:18">
      <c r="A248" s="132"/>
      <c r="B248" s="132"/>
      <c r="C248" s="132"/>
      <c r="D248" s="132"/>
      <c r="E248" s="132"/>
      <c r="F248" s="132"/>
      <c r="G248" s="132"/>
      <c r="H248" s="132"/>
      <c r="I248" s="132"/>
      <c r="J248" s="132"/>
      <c r="K248" s="132"/>
      <c r="L248" s="132"/>
      <c r="M248" s="132"/>
      <c r="N248" s="132"/>
      <c r="O248" s="132"/>
      <c r="P248" s="132"/>
      <c r="Q248" s="132"/>
      <c r="R248" s="132"/>
    </row>
    <row r="249" spans="1:18">
      <c r="A249" s="132"/>
      <c r="B249" s="132"/>
      <c r="C249" s="132"/>
      <c r="D249" s="132"/>
      <c r="E249" s="132"/>
      <c r="F249" s="132"/>
      <c r="G249" s="132"/>
      <c r="H249" s="132"/>
      <c r="I249" s="132"/>
      <c r="J249" s="132"/>
      <c r="K249" s="132"/>
      <c r="L249" s="132"/>
      <c r="M249" s="132"/>
      <c r="N249" s="132"/>
      <c r="O249" s="132"/>
      <c r="P249" s="132"/>
      <c r="Q249" s="132"/>
      <c r="R249" s="132"/>
    </row>
    <row r="250" spans="1:18">
      <c r="A250" s="132"/>
      <c r="B250" s="132"/>
      <c r="C250" s="132"/>
      <c r="D250" s="132"/>
      <c r="E250" s="132"/>
      <c r="F250" s="132"/>
      <c r="G250" s="132"/>
      <c r="H250" s="132"/>
      <c r="I250" s="132"/>
      <c r="J250" s="132"/>
      <c r="K250" s="132"/>
      <c r="L250" s="132"/>
      <c r="M250" s="132"/>
      <c r="N250" s="132"/>
      <c r="O250" s="132"/>
      <c r="P250" s="132"/>
      <c r="Q250" s="132"/>
      <c r="R250" s="132"/>
    </row>
    <row r="251" spans="1:18">
      <c r="A251" s="132"/>
      <c r="B251" s="132"/>
      <c r="C251" s="132"/>
      <c r="D251" s="132"/>
      <c r="E251" s="132"/>
      <c r="F251" s="132"/>
      <c r="G251" s="132"/>
      <c r="H251" s="132"/>
      <c r="I251" s="132"/>
      <c r="J251" s="132"/>
      <c r="K251" s="132"/>
      <c r="L251" s="132"/>
      <c r="M251" s="132"/>
      <c r="N251" s="132"/>
      <c r="O251" s="132"/>
      <c r="P251" s="132"/>
      <c r="Q251" s="132"/>
      <c r="R251" s="132"/>
    </row>
    <row r="252" spans="1:18">
      <c r="A252" s="132"/>
      <c r="B252" s="132"/>
      <c r="C252" s="132"/>
      <c r="D252" s="132"/>
      <c r="E252" s="132"/>
      <c r="F252" s="132"/>
      <c r="G252" s="132"/>
      <c r="H252" s="132"/>
      <c r="I252" s="132"/>
      <c r="J252" s="132"/>
      <c r="K252" s="132"/>
      <c r="L252" s="132"/>
      <c r="M252" s="132"/>
      <c r="N252" s="132"/>
      <c r="O252" s="132"/>
      <c r="P252" s="132"/>
      <c r="Q252" s="132"/>
      <c r="R252" s="132"/>
    </row>
    <row r="253" spans="1:18">
      <c r="A253" s="132"/>
      <c r="B253" s="132"/>
      <c r="C253" s="132"/>
      <c r="D253" s="132"/>
      <c r="E253" s="132"/>
      <c r="F253" s="132"/>
      <c r="G253" s="132"/>
      <c r="H253" s="132"/>
      <c r="I253" s="132"/>
      <c r="J253" s="132"/>
      <c r="K253" s="132"/>
      <c r="L253" s="132"/>
      <c r="M253" s="132"/>
      <c r="N253" s="132"/>
      <c r="O253" s="132"/>
      <c r="P253" s="132"/>
      <c r="Q253" s="132"/>
      <c r="R253" s="132"/>
    </row>
    <row r="254" spans="1:18">
      <c r="A254" s="132"/>
      <c r="B254" s="132"/>
      <c r="C254" s="132"/>
      <c r="D254" s="132"/>
      <c r="E254" s="132"/>
      <c r="F254" s="132"/>
      <c r="G254" s="132"/>
      <c r="H254" s="132"/>
      <c r="I254" s="132"/>
      <c r="J254" s="132"/>
      <c r="K254" s="132"/>
      <c r="L254" s="132"/>
      <c r="M254" s="132"/>
      <c r="N254" s="132"/>
      <c r="O254" s="132"/>
      <c r="P254" s="132"/>
      <c r="Q254" s="132"/>
      <c r="R254" s="132"/>
    </row>
    <row r="255" spans="1:18">
      <c r="A255" s="132"/>
      <c r="B255" s="132"/>
      <c r="C255" s="132"/>
      <c r="D255" s="132"/>
      <c r="E255" s="132"/>
      <c r="F255" s="132"/>
      <c r="G255" s="132"/>
      <c r="H255" s="132"/>
      <c r="I255" s="132"/>
      <c r="J255" s="132"/>
      <c r="K255" s="132"/>
      <c r="L255" s="132"/>
      <c r="M255" s="132"/>
      <c r="N255" s="132"/>
      <c r="O255" s="132"/>
      <c r="P255" s="132"/>
      <c r="Q255" s="132"/>
      <c r="R255" s="132"/>
    </row>
    <row r="256" spans="1:18">
      <c r="A256" s="132"/>
      <c r="B256" s="132"/>
      <c r="C256" s="132"/>
      <c r="D256" s="132"/>
      <c r="E256" s="132"/>
      <c r="F256" s="132"/>
      <c r="G256" s="132"/>
      <c r="H256" s="132"/>
      <c r="I256" s="132"/>
      <c r="J256" s="132"/>
      <c r="K256" s="132"/>
      <c r="L256" s="132"/>
      <c r="M256" s="132"/>
      <c r="N256" s="132"/>
      <c r="O256" s="132"/>
      <c r="P256" s="132"/>
      <c r="Q256" s="132"/>
      <c r="R256" s="132"/>
    </row>
    <row r="257" spans="1:18">
      <c r="A257" s="132"/>
      <c r="B257" s="132"/>
      <c r="C257" s="132"/>
      <c r="D257" s="132"/>
      <c r="E257" s="132"/>
      <c r="F257" s="132"/>
      <c r="G257" s="132"/>
      <c r="H257" s="132"/>
      <c r="I257" s="132"/>
      <c r="J257" s="132"/>
      <c r="K257" s="132"/>
      <c r="L257" s="132"/>
      <c r="M257" s="132"/>
      <c r="N257" s="132"/>
      <c r="O257" s="132"/>
      <c r="P257" s="132"/>
      <c r="Q257" s="132"/>
      <c r="R257" s="132"/>
    </row>
    <row r="258" spans="1:18">
      <c r="A258" s="132"/>
      <c r="B258" s="132"/>
      <c r="C258" s="132"/>
      <c r="D258" s="132"/>
      <c r="E258" s="132"/>
      <c r="F258" s="132"/>
      <c r="G258" s="132"/>
      <c r="H258" s="132"/>
      <c r="I258" s="132"/>
      <c r="J258" s="132"/>
      <c r="K258" s="132"/>
      <c r="L258" s="132"/>
      <c r="M258" s="132"/>
      <c r="N258" s="132"/>
      <c r="O258" s="132"/>
      <c r="P258" s="132"/>
      <c r="Q258" s="132"/>
      <c r="R258" s="132"/>
    </row>
    <row r="259" spans="1:18">
      <c r="A259" s="132"/>
      <c r="B259" s="132"/>
      <c r="C259" s="132"/>
      <c r="D259" s="132"/>
      <c r="E259" s="132"/>
      <c r="F259" s="132"/>
      <c r="G259" s="132"/>
      <c r="H259" s="132"/>
      <c r="I259" s="132"/>
      <c r="J259" s="132"/>
      <c r="K259" s="132"/>
      <c r="L259" s="132"/>
      <c r="M259" s="132"/>
      <c r="N259" s="132"/>
      <c r="O259" s="132"/>
      <c r="P259" s="132"/>
      <c r="Q259" s="132"/>
      <c r="R259" s="132"/>
    </row>
    <row r="260" spans="1:18">
      <c r="A260" s="132"/>
      <c r="B260" s="132"/>
      <c r="C260" s="132"/>
      <c r="D260" s="132"/>
      <c r="E260" s="132"/>
      <c r="F260" s="132"/>
      <c r="G260" s="132"/>
      <c r="H260" s="132"/>
      <c r="I260" s="132"/>
      <c r="J260" s="132"/>
      <c r="K260" s="132"/>
      <c r="L260" s="132"/>
      <c r="M260" s="132"/>
      <c r="N260" s="132"/>
      <c r="O260" s="132"/>
      <c r="P260" s="132"/>
      <c r="Q260" s="132"/>
      <c r="R260" s="132"/>
    </row>
    <row r="261" spans="1:18">
      <c r="A261" s="132"/>
      <c r="B261" s="132"/>
      <c r="C261" s="132"/>
      <c r="D261" s="132"/>
      <c r="E261" s="132"/>
      <c r="F261" s="132"/>
      <c r="G261" s="132"/>
      <c r="H261" s="132"/>
      <c r="I261" s="132"/>
      <c r="J261" s="132"/>
      <c r="K261" s="132"/>
      <c r="L261" s="132"/>
      <c r="M261" s="132"/>
      <c r="N261" s="132"/>
      <c r="O261" s="132"/>
      <c r="P261" s="132"/>
      <c r="Q261" s="132"/>
      <c r="R261" s="132"/>
    </row>
    <row r="262" spans="1:18">
      <c r="A262" s="132"/>
      <c r="B262" s="132"/>
      <c r="C262" s="132"/>
      <c r="D262" s="132"/>
      <c r="E262" s="132"/>
      <c r="F262" s="132"/>
      <c r="G262" s="132"/>
      <c r="H262" s="132"/>
      <c r="I262" s="132"/>
      <c r="J262" s="132"/>
      <c r="K262" s="132"/>
      <c r="L262" s="132"/>
      <c r="M262" s="132"/>
      <c r="N262" s="132"/>
      <c r="O262" s="132"/>
      <c r="P262" s="132"/>
      <c r="Q262" s="132"/>
      <c r="R262" s="132"/>
    </row>
    <row r="263" spans="1:18">
      <c r="A263" s="132"/>
      <c r="B263" s="132"/>
      <c r="C263" s="132"/>
      <c r="D263" s="132"/>
      <c r="E263" s="132"/>
      <c r="F263" s="132"/>
      <c r="G263" s="132"/>
      <c r="H263" s="132"/>
      <c r="I263" s="132"/>
      <c r="J263" s="132"/>
      <c r="K263" s="132"/>
      <c r="L263" s="132"/>
      <c r="M263" s="132"/>
      <c r="N263" s="132"/>
      <c r="O263" s="132"/>
      <c r="P263" s="132"/>
      <c r="Q263" s="132"/>
      <c r="R263" s="132"/>
    </row>
    <row r="264" spans="1:18">
      <c r="A264" s="132"/>
      <c r="B264" s="132"/>
      <c r="C264" s="132"/>
      <c r="D264" s="132"/>
      <c r="E264" s="132"/>
      <c r="F264" s="132"/>
      <c r="G264" s="132"/>
      <c r="H264" s="132"/>
      <c r="I264" s="132"/>
      <c r="J264" s="132"/>
      <c r="K264" s="132"/>
      <c r="L264" s="132"/>
      <c r="M264" s="132"/>
      <c r="N264" s="132"/>
      <c r="O264" s="132"/>
      <c r="P264" s="132"/>
      <c r="Q264" s="132"/>
      <c r="R264" s="132"/>
    </row>
    <row r="265" spans="1:18">
      <c r="A265" s="132"/>
      <c r="B265" s="132"/>
      <c r="C265" s="132"/>
      <c r="D265" s="132"/>
      <c r="E265" s="132"/>
      <c r="F265" s="132"/>
      <c r="G265" s="132"/>
      <c r="H265" s="132"/>
      <c r="I265" s="132"/>
      <c r="J265" s="132"/>
      <c r="K265" s="132"/>
      <c r="L265" s="132"/>
      <c r="M265" s="132"/>
      <c r="N265" s="132"/>
      <c r="O265" s="132"/>
      <c r="P265" s="132"/>
      <c r="Q265" s="132"/>
      <c r="R265" s="132"/>
    </row>
    <row r="266" spans="1:18">
      <c r="A266" s="132"/>
      <c r="B266" s="132"/>
      <c r="C266" s="132"/>
      <c r="D266" s="132"/>
      <c r="E266" s="132"/>
      <c r="F266" s="132"/>
      <c r="G266" s="132"/>
      <c r="H266" s="132"/>
      <c r="I266" s="132"/>
      <c r="J266" s="132"/>
      <c r="K266" s="132"/>
      <c r="L266" s="132"/>
      <c r="M266" s="132"/>
      <c r="N266" s="132"/>
      <c r="O266" s="132"/>
      <c r="P266" s="132"/>
      <c r="Q266" s="132"/>
      <c r="R266" s="132"/>
    </row>
    <row r="267" spans="1:18">
      <c r="A267" s="132"/>
      <c r="B267" s="132"/>
      <c r="C267" s="132"/>
      <c r="D267" s="132"/>
      <c r="E267" s="132"/>
      <c r="F267" s="132"/>
      <c r="G267" s="132"/>
      <c r="H267" s="132"/>
      <c r="I267" s="132"/>
      <c r="J267" s="132"/>
      <c r="K267" s="132"/>
      <c r="L267" s="132"/>
      <c r="M267" s="132"/>
      <c r="N267" s="132"/>
      <c r="O267" s="132"/>
      <c r="P267" s="132"/>
      <c r="Q267" s="132"/>
      <c r="R267" s="132"/>
    </row>
    <row r="268" spans="1:18">
      <c r="A268" s="132"/>
      <c r="B268" s="132"/>
      <c r="C268" s="132"/>
      <c r="D268" s="132"/>
      <c r="E268" s="132"/>
      <c r="F268" s="132"/>
      <c r="G268" s="132"/>
      <c r="H268" s="132"/>
      <c r="I268" s="132"/>
      <c r="J268" s="132"/>
      <c r="K268" s="132"/>
      <c r="L268" s="132"/>
      <c r="M268" s="132"/>
      <c r="N268" s="132"/>
      <c r="O268" s="132"/>
      <c r="P268" s="132"/>
      <c r="Q268" s="132"/>
      <c r="R268" s="132"/>
    </row>
    <row r="269" spans="1:18">
      <c r="A269" s="132"/>
      <c r="B269" s="132"/>
      <c r="C269" s="132"/>
      <c r="D269" s="132"/>
      <c r="E269" s="132"/>
      <c r="F269" s="132"/>
      <c r="G269" s="132"/>
      <c r="H269" s="132"/>
      <c r="I269" s="132"/>
      <c r="J269" s="132"/>
      <c r="K269" s="132"/>
      <c r="L269" s="132"/>
      <c r="M269" s="132"/>
      <c r="N269" s="132"/>
      <c r="O269" s="132"/>
      <c r="P269" s="132"/>
      <c r="Q269" s="132"/>
      <c r="R269" s="132"/>
    </row>
    <row r="270" spans="1:18">
      <c r="A270" s="132"/>
      <c r="B270" s="132"/>
      <c r="C270" s="132"/>
      <c r="D270" s="132"/>
      <c r="E270" s="132"/>
      <c r="F270" s="132"/>
      <c r="G270" s="132"/>
      <c r="H270" s="132"/>
      <c r="I270" s="132"/>
      <c r="J270" s="132"/>
      <c r="K270" s="132"/>
      <c r="L270" s="132"/>
      <c r="M270" s="132"/>
      <c r="N270" s="132"/>
      <c r="O270" s="132"/>
      <c r="P270" s="132"/>
      <c r="Q270" s="132"/>
      <c r="R270" s="132"/>
    </row>
    <row r="271" spans="1:18">
      <c r="A271" s="132"/>
      <c r="B271" s="132"/>
      <c r="C271" s="132"/>
      <c r="D271" s="132"/>
      <c r="E271" s="132"/>
      <c r="F271" s="132"/>
      <c r="G271" s="132"/>
      <c r="H271" s="132"/>
      <c r="I271" s="132"/>
      <c r="J271" s="132"/>
      <c r="K271" s="132"/>
      <c r="L271" s="132"/>
      <c r="M271" s="132"/>
      <c r="N271" s="132"/>
      <c r="O271" s="132"/>
      <c r="P271" s="132"/>
      <c r="Q271" s="132"/>
      <c r="R271" s="132"/>
    </row>
    <row r="272" spans="1:18">
      <c r="A272" s="132"/>
      <c r="B272" s="132"/>
      <c r="C272" s="132"/>
      <c r="D272" s="132"/>
      <c r="E272" s="132"/>
      <c r="F272" s="132"/>
      <c r="G272" s="132"/>
      <c r="H272" s="132"/>
      <c r="I272" s="132"/>
      <c r="J272" s="132"/>
      <c r="K272" s="132"/>
      <c r="L272" s="132"/>
      <c r="M272" s="132"/>
      <c r="N272" s="132"/>
      <c r="O272" s="132"/>
      <c r="P272" s="132"/>
      <c r="Q272" s="132"/>
      <c r="R272" s="132"/>
    </row>
    <row r="273" spans="1:18">
      <c r="A273" s="132"/>
      <c r="B273" s="132"/>
      <c r="C273" s="132"/>
      <c r="D273" s="132"/>
      <c r="E273" s="132"/>
      <c r="F273" s="132"/>
      <c r="G273" s="132"/>
      <c r="H273" s="132"/>
      <c r="I273" s="132"/>
      <c r="J273" s="132"/>
      <c r="K273" s="132"/>
      <c r="L273" s="132"/>
      <c r="M273" s="132"/>
      <c r="N273" s="132"/>
      <c r="O273" s="132"/>
      <c r="P273" s="132"/>
      <c r="Q273" s="132"/>
      <c r="R273" s="132"/>
    </row>
    <row r="274" spans="1:18">
      <c r="A274" s="132"/>
      <c r="B274" s="132"/>
      <c r="C274" s="132"/>
      <c r="D274" s="132"/>
      <c r="E274" s="132"/>
      <c r="F274" s="132"/>
      <c r="G274" s="132"/>
      <c r="H274" s="132"/>
      <c r="I274" s="132"/>
      <c r="J274" s="132"/>
      <c r="K274" s="132"/>
      <c r="L274" s="132"/>
      <c r="M274" s="132"/>
      <c r="N274" s="132"/>
      <c r="O274" s="132"/>
      <c r="P274" s="132"/>
      <c r="Q274" s="132"/>
      <c r="R274" s="132"/>
    </row>
    <row r="275" spans="1:18">
      <c r="A275" s="132"/>
      <c r="B275" s="132"/>
      <c r="C275" s="132"/>
      <c r="D275" s="132"/>
      <c r="E275" s="132"/>
      <c r="F275" s="132"/>
      <c r="G275" s="132"/>
      <c r="H275" s="132"/>
      <c r="I275" s="132"/>
      <c r="J275" s="132"/>
      <c r="K275" s="132"/>
      <c r="L275" s="132"/>
      <c r="M275" s="132"/>
      <c r="N275" s="132"/>
      <c r="O275" s="132"/>
      <c r="P275" s="132"/>
      <c r="Q275" s="132"/>
      <c r="R275" s="132"/>
    </row>
    <row r="276" spans="1:18">
      <c r="A276" s="132"/>
      <c r="B276" s="132"/>
      <c r="C276" s="132"/>
      <c r="D276" s="132"/>
      <c r="E276" s="132"/>
      <c r="F276" s="132"/>
      <c r="G276" s="132"/>
      <c r="H276" s="132"/>
      <c r="I276" s="132"/>
      <c r="J276" s="132"/>
      <c r="K276" s="132"/>
      <c r="L276" s="132"/>
      <c r="M276" s="132"/>
      <c r="N276" s="132"/>
      <c r="O276" s="132"/>
      <c r="P276" s="132"/>
      <c r="Q276" s="132"/>
      <c r="R276" s="132"/>
    </row>
    <row r="277" spans="1:18">
      <c r="A277" s="132"/>
      <c r="B277" s="132"/>
      <c r="C277" s="132"/>
      <c r="D277" s="132"/>
      <c r="E277" s="132"/>
      <c r="F277" s="132"/>
      <c r="G277" s="132"/>
      <c r="H277" s="132"/>
      <c r="I277" s="132"/>
      <c r="J277" s="132"/>
      <c r="K277" s="132"/>
      <c r="L277" s="132"/>
      <c r="M277" s="132"/>
      <c r="N277" s="132"/>
      <c r="O277" s="132"/>
      <c r="P277" s="132"/>
      <c r="Q277" s="132"/>
      <c r="R277" s="132"/>
    </row>
    <row r="278" spans="1:18">
      <c r="A278" s="132"/>
      <c r="B278" s="132"/>
      <c r="C278" s="132"/>
      <c r="D278" s="132"/>
      <c r="E278" s="132"/>
      <c r="F278" s="132"/>
      <c r="G278" s="132"/>
      <c r="H278" s="132"/>
      <c r="I278" s="132"/>
      <c r="J278" s="132"/>
      <c r="K278" s="132"/>
      <c r="L278" s="132"/>
      <c r="M278" s="132"/>
      <c r="N278" s="132"/>
      <c r="O278" s="132"/>
      <c r="P278" s="132"/>
      <c r="Q278" s="132"/>
      <c r="R278" s="132"/>
    </row>
    <row r="279" spans="1:18">
      <c r="A279" s="132"/>
      <c r="B279" s="132"/>
      <c r="C279" s="132"/>
      <c r="D279" s="132"/>
      <c r="E279" s="132"/>
      <c r="F279" s="132"/>
      <c r="G279" s="132"/>
      <c r="H279" s="132"/>
      <c r="I279" s="132"/>
      <c r="J279" s="132"/>
      <c r="K279" s="132"/>
      <c r="L279" s="132"/>
      <c r="M279" s="132"/>
      <c r="N279" s="132"/>
      <c r="O279" s="132"/>
      <c r="P279" s="132"/>
      <c r="Q279" s="132"/>
      <c r="R279" s="132"/>
    </row>
    <row r="280" spans="1:18">
      <c r="A280" s="132"/>
      <c r="B280" s="132"/>
      <c r="C280" s="132"/>
      <c r="D280" s="132"/>
      <c r="E280" s="132"/>
      <c r="F280" s="132"/>
      <c r="G280" s="132"/>
      <c r="H280" s="132"/>
      <c r="I280" s="132"/>
      <c r="J280" s="132"/>
      <c r="K280" s="132"/>
      <c r="L280" s="132"/>
      <c r="M280" s="132"/>
      <c r="N280" s="132"/>
      <c r="O280" s="132"/>
      <c r="P280" s="132"/>
      <c r="Q280" s="132"/>
      <c r="R280" s="132"/>
    </row>
    <row r="281" spans="1:18">
      <c r="A281" s="132"/>
      <c r="B281" s="132"/>
      <c r="C281" s="132"/>
      <c r="D281" s="132"/>
      <c r="E281" s="132"/>
      <c r="F281" s="132"/>
      <c r="G281" s="132"/>
      <c r="H281" s="132"/>
      <c r="I281" s="132"/>
      <c r="J281" s="132"/>
      <c r="K281" s="132"/>
      <c r="L281" s="132"/>
      <c r="M281" s="132"/>
      <c r="N281" s="132"/>
      <c r="O281" s="132"/>
      <c r="P281" s="132"/>
      <c r="Q281" s="132"/>
      <c r="R281" s="132"/>
    </row>
    <row r="282" spans="1:18">
      <c r="A282" s="132"/>
      <c r="B282" s="132"/>
      <c r="C282" s="132"/>
      <c r="D282" s="132"/>
      <c r="E282" s="132"/>
      <c r="F282" s="132"/>
      <c r="G282" s="132"/>
      <c r="H282" s="132"/>
      <c r="I282" s="132"/>
      <c r="J282" s="132"/>
      <c r="K282" s="132"/>
      <c r="L282" s="132"/>
      <c r="M282" s="132"/>
      <c r="N282" s="132"/>
      <c r="O282" s="132"/>
      <c r="P282" s="132"/>
      <c r="Q282" s="132"/>
      <c r="R282" s="132"/>
    </row>
    <row r="283" spans="1:18">
      <c r="A283" s="132"/>
      <c r="B283" s="132"/>
      <c r="C283" s="132"/>
      <c r="D283" s="132"/>
      <c r="E283" s="132"/>
      <c r="F283" s="132"/>
      <c r="G283" s="132"/>
      <c r="H283" s="132"/>
      <c r="I283" s="132"/>
      <c r="J283" s="132"/>
      <c r="K283" s="132"/>
      <c r="L283" s="132"/>
      <c r="M283" s="132"/>
      <c r="N283" s="132"/>
      <c r="O283" s="132"/>
      <c r="P283" s="132"/>
      <c r="Q283" s="132"/>
      <c r="R283" s="132"/>
    </row>
    <row r="284" spans="1:18">
      <c r="A284" s="132"/>
      <c r="B284" s="132"/>
      <c r="C284" s="132"/>
      <c r="D284" s="132"/>
      <c r="E284" s="132"/>
      <c r="F284" s="132"/>
      <c r="G284" s="132"/>
      <c r="H284" s="132"/>
      <c r="I284" s="132"/>
      <c r="J284" s="132"/>
      <c r="K284" s="132"/>
      <c r="L284" s="132"/>
      <c r="M284" s="132"/>
      <c r="N284" s="132"/>
      <c r="O284" s="132"/>
      <c r="P284" s="132"/>
      <c r="Q284" s="132"/>
      <c r="R284" s="132"/>
    </row>
    <row r="285" spans="1:18">
      <c r="A285" s="132"/>
      <c r="B285" s="132"/>
      <c r="C285" s="132"/>
      <c r="D285" s="132"/>
      <c r="E285" s="132"/>
      <c r="F285" s="132"/>
      <c r="G285" s="132"/>
      <c r="H285" s="132"/>
      <c r="I285" s="132"/>
      <c r="J285" s="132"/>
      <c r="K285" s="132"/>
      <c r="L285" s="132"/>
      <c r="M285" s="132"/>
      <c r="N285" s="132"/>
      <c r="O285" s="132"/>
      <c r="P285" s="132"/>
      <c r="Q285" s="132"/>
      <c r="R285" s="132"/>
    </row>
    <row r="286" spans="1:18">
      <c r="A286" s="132"/>
      <c r="B286" s="132"/>
      <c r="C286" s="132"/>
      <c r="D286" s="132"/>
      <c r="E286" s="132"/>
      <c r="F286" s="132"/>
      <c r="G286" s="132"/>
      <c r="H286" s="132"/>
      <c r="I286" s="132"/>
      <c r="J286" s="132"/>
      <c r="K286" s="132"/>
      <c r="L286" s="132"/>
      <c r="M286" s="132"/>
      <c r="N286" s="132"/>
      <c r="O286" s="132"/>
      <c r="P286" s="132"/>
      <c r="Q286" s="132"/>
      <c r="R286" s="132"/>
    </row>
    <row r="287" spans="1:18">
      <c r="A287" s="132"/>
      <c r="B287" s="132"/>
      <c r="C287" s="132"/>
      <c r="D287" s="132"/>
      <c r="E287" s="132"/>
      <c r="F287" s="132"/>
      <c r="G287" s="132"/>
      <c r="H287" s="132"/>
      <c r="I287" s="132"/>
      <c r="J287" s="132"/>
      <c r="K287" s="132"/>
      <c r="L287" s="132"/>
      <c r="M287" s="132"/>
      <c r="N287" s="132"/>
      <c r="O287" s="132"/>
      <c r="P287" s="132"/>
      <c r="Q287" s="132"/>
      <c r="R287" s="132"/>
    </row>
    <row r="288" spans="1:18">
      <c r="A288" s="132"/>
      <c r="B288" s="132"/>
      <c r="C288" s="132"/>
      <c r="D288" s="132"/>
      <c r="E288" s="132"/>
      <c r="F288" s="132"/>
      <c r="G288" s="132"/>
      <c r="H288" s="132"/>
      <c r="I288" s="132"/>
      <c r="J288" s="132"/>
      <c r="K288" s="132"/>
      <c r="L288" s="132"/>
      <c r="M288" s="132"/>
      <c r="N288" s="132"/>
      <c r="O288" s="132"/>
      <c r="P288" s="132"/>
      <c r="Q288" s="132"/>
      <c r="R288" s="132"/>
    </row>
    <row r="289" spans="1:18">
      <c r="A289" s="132"/>
      <c r="B289" s="132"/>
      <c r="C289" s="132"/>
      <c r="D289" s="132"/>
      <c r="E289" s="132"/>
      <c r="F289" s="132"/>
      <c r="G289" s="132"/>
      <c r="H289" s="132"/>
      <c r="I289" s="132"/>
      <c r="J289" s="132"/>
      <c r="K289" s="132"/>
      <c r="L289" s="132"/>
      <c r="M289" s="132"/>
      <c r="N289" s="132"/>
      <c r="O289" s="132"/>
      <c r="P289" s="132"/>
      <c r="Q289" s="132"/>
      <c r="R289" s="132"/>
    </row>
    <row r="290" spans="1:18">
      <c r="A290" s="132"/>
      <c r="B290" s="132"/>
      <c r="C290" s="132"/>
      <c r="D290" s="132"/>
      <c r="E290" s="132"/>
      <c r="F290" s="132"/>
      <c r="G290" s="132"/>
      <c r="H290" s="132"/>
      <c r="I290" s="132"/>
      <c r="J290" s="132"/>
      <c r="K290" s="132"/>
      <c r="L290" s="132"/>
      <c r="M290" s="132"/>
      <c r="N290" s="132"/>
      <c r="O290" s="132"/>
      <c r="P290" s="132"/>
      <c r="Q290" s="132"/>
      <c r="R290" s="132"/>
    </row>
    <row r="291" spans="1:18">
      <c r="A291" s="132"/>
      <c r="B291" s="132"/>
      <c r="C291" s="132"/>
      <c r="D291" s="132"/>
      <c r="E291" s="132"/>
      <c r="F291" s="132"/>
      <c r="G291" s="132"/>
      <c r="H291" s="132"/>
      <c r="I291" s="132"/>
      <c r="J291" s="132"/>
      <c r="K291" s="132"/>
      <c r="L291" s="132"/>
      <c r="M291" s="132"/>
      <c r="N291" s="132"/>
      <c r="O291" s="132"/>
      <c r="P291" s="132"/>
      <c r="Q291" s="132"/>
      <c r="R291" s="132"/>
    </row>
    <row r="292" spans="1:18">
      <c r="A292" s="132"/>
      <c r="B292" s="132"/>
      <c r="C292" s="132"/>
      <c r="D292" s="132"/>
      <c r="E292" s="132"/>
      <c r="F292" s="132"/>
      <c r="G292" s="132"/>
      <c r="H292" s="132"/>
      <c r="I292" s="132"/>
      <c r="J292" s="132"/>
      <c r="K292" s="132"/>
      <c r="L292" s="132"/>
      <c r="M292" s="132"/>
      <c r="N292" s="132"/>
      <c r="O292" s="132"/>
      <c r="P292" s="132"/>
      <c r="Q292" s="132"/>
      <c r="R292" s="132"/>
    </row>
    <row r="293" spans="1:18">
      <c r="A293" s="132"/>
      <c r="B293" s="132"/>
      <c r="C293" s="132"/>
      <c r="D293" s="132"/>
      <c r="E293" s="132"/>
      <c r="F293" s="132"/>
      <c r="G293" s="132"/>
      <c r="H293" s="132"/>
      <c r="I293" s="132"/>
      <c r="J293" s="132"/>
      <c r="K293" s="132"/>
      <c r="L293" s="132"/>
      <c r="M293" s="132"/>
      <c r="N293" s="132"/>
      <c r="O293" s="132"/>
      <c r="P293" s="132"/>
      <c r="Q293" s="132"/>
      <c r="R293" s="132"/>
    </row>
    <row r="294" spans="1:18">
      <c r="A294" s="132"/>
      <c r="B294" s="132"/>
      <c r="C294" s="132"/>
      <c r="D294" s="132"/>
      <c r="E294" s="132"/>
      <c r="F294" s="132"/>
      <c r="G294" s="132"/>
      <c r="H294" s="132"/>
      <c r="I294" s="132"/>
      <c r="J294" s="132"/>
      <c r="K294" s="132"/>
      <c r="L294" s="132"/>
      <c r="M294" s="132"/>
      <c r="N294" s="132"/>
      <c r="O294" s="132"/>
      <c r="P294" s="132"/>
      <c r="Q294" s="132"/>
      <c r="R294" s="132"/>
    </row>
    <row r="295" spans="1:18">
      <c r="A295" s="132"/>
      <c r="B295" s="132"/>
      <c r="C295" s="132"/>
      <c r="D295" s="132"/>
      <c r="E295" s="132"/>
      <c r="F295" s="132"/>
      <c r="G295" s="132"/>
      <c r="H295" s="132"/>
      <c r="I295" s="132"/>
      <c r="J295" s="132"/>
      <c r="K295" s="132"/>
      <c r="L295" s="132"/>
      <c r="M295" s="132"/>
      <c r="N295" s="132"/>
      <c r="O295" s="132"/>
      <c r="P295" s="132"/>
      <c r="Q295" s="132"/>
      <c r="R295" s="132"/>
    </row>
    <row r="296" spans="1:18">
      <c r="A296" s="132"/>
      <c r="B296" s="132"/>
      <c r="C296" s="132"/>
      <c r="D296" s="132"/>
      <c r="E296" s="132"/>
      <c r="F296" s="132"/>
      <c r="G296" s="132"/>
      <c r="H296" s="132"/>
      <c r="I296" s="132"/>
      <c r="J296" s="132"/>
      <c r="K296" s="132"/>
      <c r="L296" s="132"/>
      <c r="M296" s="132"/>
      <c r="N296" s="132"/>
      <c r="O296" s="132"/>
      <c r="P296" s="132"/>
      <c r="Q296" s="132"/>
      <c r="R296" s="132"/>
    </row>
    <row r="297" spans="1:18">
      <c r="A297" s="132"/>
      <c r="B297" s="132"/>
      <c r="C297" s="132"/>
      <c r="D297" s="132"/>
      <c r="E297" s="132"/>
      <c r="F297" s="132"/>
      <c r="G297" s="132"/>
      <c r="H297" s="132"/>
      <c r="I297" s="132"/>
      <c r="J297" s="132"/>
      <c r="K297" s="132"/>
      <c r="L297" s="132"/>
      <c r="M297" s="132"/>
      <c r="N297" s="132"/>
      <c r="O297" s="132"/>
      <c r="P297" s="132"/>
      <c r="Q297" s="132"/>
      <c r="R297" s="132"/>
    </row>
    <row r="298" spans="1:18">
      <c r="A298" s="132"/>
      <c r="B298" s="132"/>
      <c r="C298" s="132"/>
      <c r="D298" s="132"/>
      <c r="E298" s="132"/>
      <c r="F298" s="132"/>
      <c r="G298" s="132"/>
      <c r="H298" s="132"/>
      <c r="I298" s="132"/>
      <c r="J298" s="132"/>
      <c r="K298" s="132"/>
      <c r="L298" s="132"/>
      <c r="M298" s="132"/>
      <c r="N298" s="132"/>
      <c r="O298" s="132"/>
      <c r="P298" s="132"/>
      <c r="Q298" s="132"/>
      <c r="R298" s="132"/>
    </row>
    <row r="299" spans="1:18">
      <c r="A299" s="132"/>
      <c r="B299" s="132"/>
      <c r="C299" s="132"/>
      <c r="D299" s="132"/>
      <c r="E299" s="132"/>
      <c r="F299" s="132"/>
      <c r="G299" s="132"/>
      <c r="H299" s="132"/>
      <c r="I299" s="132"/>
      <c r="J299" s="132"/>
      <c r="K299" s="132"/>
      <c r="L299" s="132"/>
      <c r="M299" s="132"/>
      <c r="N299" s="132"/>
      <c r="O299" s="132"/>
      <c r="P299" s="132"/>
      <c r="Q299" s="132"/>
      <c r="R299" s="132"/>
    </row>
    <row r="300" spans="1:18">
      <c r="A300" s="132"/>
      <c r="B300" s="132"/>
      <c r="C300" s="132"/>
      <c r="D300" s="132"/>
      <c r="E300" s="132"/>
      <c r="F300" s="132"/>
      <c r="G300" s="132"/>
      <c r="H300" s="132"/>
      <c r="I300" s="132"/>
      <c r="J300" s="132"/>
      <c r="K300" s="132"/>
      <c r="L300" s="132"/>
      <c r="M300" s="132"/>
      <c r="N300" s="132"/>
      <c r="O300" s="132"/>
      <c r="P300" s="132"/>
      <c r="Q300" s="132"/>
      <c r="R300" s="132"/>
    </row>
    <row r="301" spans="1:18">
      <c r="A301" s="132"/>
      <c r="B301" s="132"/>
      <c r="C301" s="132"/>
      <c r="D301" s="132"/>
      <c r="E301" s="132"/>
      <c r="F301" s="132"/>
      <c r="G301" s="132"/>
      <c r="H301" s="132"/>
      <c r="I301" s="132"/>
      <c r="J301" s="132"/>
      <c r="K301" s="132"/>
      <c r="L301" s="132"/>
      <c r="M301" s="132"/>
      <c r="N301" s="132"/>
      <c r="O301" s="132"/>
      <c r="P301" s="132"/>
      <c r="Q301" s="132"/>
      <c r="R301" s="132"/>
    </row>
    <row r="302" spans="1:18">
      <c r="A302" s="132"/>
      <c r="B302" s="132"/>
      <c r="C302" s="132"/>
      <c r="D302" s="132"/>
      <c r="E302" s="132"/>
      <c r="F302" s="132"/>
      <c r="G302" s="132"/>
      <c r="H302" s="132"/>
      <c r="I302" s="132"/>
      <c r="J302" s="132"/>
      <c r="K302" s="132"/>
      <c r="L302" s="132"/>
      <c r="M302" s="132"/>
      <c r="N302" s="132"/>
      <c r="O302" s="132"/>
      <c r="P302" s="132"/>
      <c r="Q302" s="132"/>
      <c r="R302" s="132"/>
    </row>
    <row r="303" spans="1:18">
      <c r="A303" s="132"/>
      <c r="B303" s="132"/>
      <c r="C303" s="132"/>
      <c r="D303" s="132"/>
      <c r="E303" s="132"/>
      <c r="F303" s="132"/>
      <c r="G303" s="132"/>
      <c r="H303" s="132"/>
      <c r="I303" s="132"/>
      <c r="J303" s="132"/>
      <c r="K303" s="132"/>
      <c r="L303" s="132"/>
      <c r="M303" s="132"/>
      <c r="N303" s="132"/>
      <c r="O303" s="132"/>
      <c r="P303" s="132"/>
      <c r="Q303" s="132"/>
      <c r="R303" s="132"/>
    </row>
    <row r="304" spans="1:18">
      <c r="A304" s="132"/>
      <c r="B304" s="132"/>
      <c r="C304" s="132"/>
      <c r="D304" s="132"/>
      <c r="E304" s="132"/>
      <c r="F304" s="132"/>
      <c r="G304" s="132"/>
      <c r="H304" s="132"/>
      <c r="I304" s="132"/>
      <c r="J304" s="132"/>
      <c r="K304" s="132"/>
      <c r="L304" s="132"/>
      <c r="M304" s="132"/>
      <c r="N304" s="132"/>
      <c r="O304" s="132"/>
      <c r="P304" s="132"/>
      <c r="Q304" s="132"/>
      <c r="R304" s="132"/>
    </row>
    <row r="305" spans="1:18">
      <c r="A305" s="132"/>
      <c r="B305" s="132"/>
      <c r="C305" s="132"/>
      <c r="D305" s="132"/>
      <c r="E305" s="132"/>
      <c r="F305" s="132"/>
      <c r="G305" s="132"/>
      <c r="H305" s="132"/>
      <c r="I305" s="132"/>
      <c r="J305" s="132"/>
      <c r="K305" s="132"/>
      <c r="L305" s="132"/>
      <c r="M305" s="132"/>
      <c r="N305" s="132"/>
      <c r="O305" s="132"/>
      <c r="P305" s="132"/>
      <c r="Q305" s="132"/>
      <c r="R305" s="132"/>
    </row>
    <row r="306" spans="1:18">
      <c r="A306" s="132"/>
      <c r="B306" s="132"/>
      <c r="C306" s="132"/>
      <c r="D306" s="132"/>
      <c r="E306" s="132"/>
      <c r="F306" s="132"/>
      <c r="G306" s="132"/>
      <c r="H306" s="132"/>
      <c r="I306" s="132"/>
      <c r="J306" s="132"/>
      <c r="K306" s="132"/>
      <c r="L306" s="132"/>
      <c r="M306" s="132"/>
      <c r="N306" s="132"/>
      <c r="O306" s="132"/>
      <c r="P306" s="132"/>
      <c r="Q306" s="132"/>
      <c r="R306" s="132"/>
    </row>
    <row r="307" spans="1:18">
      <c r="A307" s="132"/>
      <c r="B307" s="132"/>
      <c r="C307" s="132"/>
      <c r="D307" s="132"/>
      <c r="E307" s="132"/>
      <c r="F307" s="132"/>
      <c r="G307" s="132"/>
      <c r="H307" s="132"/>
      <c r="I307" s="132"/>
      <c r="J307" s="132"/>
      <c r="K307" s="132"/>
      <c r="L307" s="132"/>
      <c r="M307" s="132"/>
      <c r="N307" s="132"/>
      <c r="O307" s="132"/>
      <c r="P307" s="132"/>
      <c r="Q307" s="132"/>
      <c r="R307" s="132"/>
    </row>
    <row r="308" spans="1:18">
      <c r="A308" s="132"/>
      <c r="B308" s="132"/>
      <c r="C308" s="132"/>
      <c r="D308" s="132"/>
      <c r="E308" s="132"/>
      <c r="F308" s="132"/>
      <c r="G308" s="132"/>
      <c r="H308" s="132"/>
      <c r="I308" s="132"/>
      <c r="J308" s="132"/>
      <c r="K308" s="132"/>
      <c r="L308" s="132"/>
      <c r="M308" s="132"/>
      <c r="N308" s="132"/>
      <c r="O308" s="132"/>
      <c r="P308" s="132"/>
      <c r="Q308" s="132"/>
      <c r="R308" s="132"/>
    </row>
    <row r="309" spans="1:18">
      <c r="A309" s="132"/>
      <c r="B309" s="132"/>
      <c r="C309" s="132"/>
      <c r="D309" s="132"/>
      <c r="E309" s="132"/>
      <c r="F309" s="132"/>
      <c r="G309" s="132"/>
      <c r="H309" s="132"/>
      <c r="I309" s="132"/>
      <c r="J309" s="132"/>
      <c r="K309" s="132"/>
      <c r="L309" s="132"/>
      <c r="M309" s="132"/>
      <c r="N309" s="132"/>
      <c r="O309" s="132"/>
      <c r="P309" s="132"/>
      <c r="Q309" s="132"/>
      <c r="R309" s="132"/>
    </row>
    <row r="310" spans="1:18">
      <c r="A310" s="132"/>
      <c r="B310" s="132"/>
      <c r="C310" s="132"/>
      <c r="D310" s="132"/>
      <c r="E310" s="132"/>
      <c r="F310" s="132"/>
      <c r="G310" s="132"/>
      <c r="H310" s="132"/>
      <c r="I310" s="132"/>
      <c r="J310" s="132"/>
      <c r="K310" s="132"/>
      <c r="L310" s="132"/>
      <c r="M310" s="132"/>
      <c r="N310" s="132"/>
      <c r="O310" s="132"/>
      <c r="P310" s="132"/>
      <c r="Q310" s="132"/>
      <c r="R310" s="132"/>
    </row>
    <row r="311" spans="1:18">
      <c r="A311" s="132"/>
      <c r="B311" s="132"/>
      <c r="C311" s="132"/>
      <c r="D311" s="132"/>
      <c r="E311" s="132"/>
      <c r="F311" s="132"/>
      <c r="G311" s="132"/>
      <c r="H311" s="132"/>
      <c r="I311" s="132"/>
      <c r="J311" s="132"/>
      <c r="K311" s="132"/>
      <c r="L311" s="132"/>
      <c r="M311" s="132"/>
      <c r="N311" s="132"/>
      <c r="O311" s="132"/>
      <c r="P311" s="132"/>
      <c r="Q311" s="132"/>
      <c r="R311" s="132"/>
    </row>
    <row r="312" spans="1:18">
      <c r="A312" s="132"/>
      <c r="B312" s="132"/>
      <c r="C312" s="132"/>
      <c r="D312" s="132"/>
      <c r="E312" s="132"/>
      <c r="F312" s="132"/>
      <c r="G312" s="132"/>
      <c r="H312" s="132"/>
      <c r="I312" s="132"/>
      <c r="J312" s="132"/>
      <c r="K312" s="132"/>
      <c r="L312" s="132"/>
      <c r="M312" s="132"/>
      <c r="N312" s="132"/>
      <c r="O312" s="132"/>
      <c r="P312" s="132"/>
      <c r="Q312" s="132"/>
      <c r="R312" s="132"/>
    </row>
    <row r="313" spans="1:18">
      <c r="A313" s="132"/>
      <c r="B313" s="132"/>
      <c r="C313" s="132"/>
      <c r="D313" s="132"/>
      <c r="E313" s="132"/>
      <c r="F313" s="132"/>
      <c r="G313" s="132"/>
      <c r="H313" s="132"/>
      <c r="I313" s="132"/>
      <c r="J313" s="132"/>
      <c r="K313" s="132"/>
      <c r="L313" s="132"/>
      <c r="M313" s="132"/>
      <c r="N313" s="132"/>
      <c r="O313" s="132"/>
      <c r="P313" s="132"/>
      <c r="Q313" s="132"/>
      <c r="R313" s="132"/>
    </row>
    <row r="314" spans="1:18">
      <c r="A314" s="132"/>
      <c r="B314" s="132"/>
      <c r="C314" s="132"/>
      <c r="D314" s="132"/>
      <c r="E314" s="132"/>
      <c r="F314" s="132"/>
      <c r="G314" s="132"/>
      <c r="H314" s="132"/>
      <c r="I314" s="132"/>
      <c r="J314" s="132"/>
      <c r="K314" s="132"/>
      <c r="L314" s="132"/>
      <c r="M314" s="132"/>
      <c r="N314" s="132"/>
      <c r="O314" s="132"/>
      <c r="P314" s="132"/>
      <c r="Q314" s="132"/>
      <c r="R314" s="132"/>
    </row>
    <row r="315" spans="1:18">
      <c r="A315" s="132"/>
      <c r="B315" s="132"/>
      <c r="C315" s="132"/>
      <c r="D315" s="132"/>
      <c r="E315" s="132"/>
      <c r="F315" s="132"/>
      <c r="G315" s="132"/>
      <c r="H315" s="132"/>
      <c r="I315" s="132"/>
      <c r="J315" s="132"/>
      <c r="K315" s="132"/>
      <c r="L315" s="132"/>
      <c r="M315" s="132"/>
      <c r="N315" s="132"/>
      <c r="O315" s="132"/>
      <c r="P315" s="132"/>
      <c r="Q315" s="132"/>
      <c r="R315" s="132"/>
    </row>
    <row r="316" spans="1:18">
      <c r="A316" s="132"/>
      <c r="B316" s="132"/>
      <c r="C316" s="132"/>
      <c r="D316" s="132"/>
      <c r="E316" s="132"/>
      <c r="F316" s="132"/>
      <c r="G316" s="132"/>
      <c r="H316" s="132"/>
      <c r="I316" s="132"/>
      <c r="J316" s="132"/>
      <c r="K316" s="132"/>
      <c r="L316" s="132"/>
      <c r="M316" s="132"/>
      <c r="N316" s="132"/>
      <c r="O316" s="132"/>
      <c r="P316" s="132"/>
      <c r="Q316" s="132"/>
      <c r="R316" s="132"/>
    </row>
    <row r="317" spans="1:18">
      <c r="A317" s="132"/>
      <c r="B317" s="132"/>
      <c r="C317" s="132"/>
      <c r="D317" s="132"/>
      <c r="E317" s="132"/>
      <c r="F317" s="132"/>
      <c r="G317" s="132"/>
      <c r="H317" s="132"/>
      <c r="I317" s="132"/>
      <c r="J317" s="132"/>
      <c r="K317" s="132"/>
      <c r="L317" s="132"/>
      <c r="M317" s="132"/>
      <c r="N317" s="132"/>
      <c r="O317" s="132"/>
      <c r="P317" s="132"/>
      <c r="Q317" s="132"/>
      <c r="R317" s="132"/>
    </row>
    <row r="318" spans="1:18">
      <c r="A318" s="132"/>
      <c r="B318" s="132"/>
      <c r="C318" s="132"/>
      <c r="D318" s="132"/>
      <c r="E318" s="132"/>
      <c r="F318" s="132"/>
      <c r="G318" s="132"/>
      <c r="H318" s="132"/>
      <c r="I318" s="132"/>
      <c r="J318" s="132"/>
      <c r="K318" s="132"/>
      <c r="L318" s="132"/>
      <c r="M318" s="132"/>
      <c r="N318" s="132"/>
      <c r="O318" s="132"/>
      <c r="P318" s="132"/>
      <c r="Q318" s="132"/>
      <c r="R318" s="132"/>
    </row>
    <row r="319" spans="1:18">
      <c r="A319" s="132"/>
      <c r="B319" s="132"/>
      <c r="C319" s="132"/>
      <c r="D319" s="132"/>
      <c r="E319" s="132"/>
      <c r="F319" s="132"/>
      <c r="G319" s="132"/>
      <c r="H319" s="132"/>
      <c r="I319" s="132"/>
      <c r="J319" s="132"/>
      <c r="K319" s="132"/>
      <c r="L319" s="132"/>
      <c r="M319" s="132"/>
      <c r="N319" s="132"/>
      <c r="O319" s="132"/>
      <c r="P319" s="132"/>
      <c r="Q319" s="132"/>
      <c r="R319" s="132"/>
    </row>
    <row r="320" spans="1:18">
      <c r="A320" s="132"/>
      <c r="B320" s="132"/>
      <c r="C320" s="132"/>
      <c r="D320" s="132"/>
      <c r="E320" s="132"/>
      <c r="F320" s="132"/>
      <c r="G320" s="132"/>
      <c r="H320" s="132"/>
      <c r="I320" s="132"/>
      <c r="J320" s="132"/>
      <c r="K320" s="132"/>
      <c r="L320" s="132"/>
      <c r="M320" s="132"/>
      <c r="N320" s="132"/>
      <c r="O320" s="132"/>
      <c r="P320" s="132"/>
      <c r="Q320" s="132"/>
      <c r="R320" s="132"/>
    </row>
    <row r="321" spans="1:18">
      <c r="A321" s="132"/>
      <c r="B321" s="132"/>
      <c r="C321" s="132"/>
      <c r="D321" s="132"/>
      <c r="E321" s="132"/>
      <c r="F321" s="132"/>
      <c r="G321" s="132"/>
      <c r="H321" s="132"/>
      <c r="I321" s="132"/>
      <c r="J321" s="132"/>
      <c r="K321" s="132"/>
      <c r="L321" s="132"/>
      <c r="M321" s="132"/>
      <c r="N321" s="132"/>
      <c r="O321" s="132"/>
      <c r="P321" s="132"/>
      <c r="Q321" s="132"/>
      <c r="R321" s="132"/>
    </row>
    <row r="322" spans="1:18">
      <c r="A322" s="132"/>
      <c r="B322" s="132"/>
      <c r="C322" s="132"/>
      <c r="D322" s="132"/>
      <c r="E322" s="132"/>
      <c r="F322" s="132"/>
      <c r="G322" s="132"/>
      <c r="H322" s="132"/>
      <c r="I322" s="132"/>
      <c r="J322" s="132"/>
      <c r="K322" s="132"/>
      <c r="L322" s="132"/>
      <c r="M322" s="132"/>
      <c r="N322" s="132"/>
      <c r="O322" s="132"/>
      <c r="P322" s="132"/>
      <c r="Q322" s="132"/>
      <c r="R322" s="132"/>
    </row>
    <row r="323" spans="1:18">
      <c r="A323" s="132"/>
      <c r="B323" s="132"/>
      <c r="C323" s="132"/>
      <c r="D323" s="132"/>
      <c r="E323" s="132"/>
      <c r="F323" s="132"/>
      <c r="G323" s="132"/>
      <c r="H323" s="132"/>
      <c r="I323" s="132"/>
      <c r="J323" s="132"/>
      <c r="K323" s="132"/>
      <c r="L323" s="132"/>
      <c r="M323" s="132"/>
      <c r="N323" s="132"/>
      <c r="O323" s="132"/>
      <c r="P323" s="132"/>
      <c r="Q323" s="132"/>
      <c r="R323" s="132"/>
    </row>
    <row r="324" spans="1:18">
      <c r="A324" s="132"/>
      <c r="B324" s="132"/>
      <c r="C324" s="132"/>
      <c r="D324" s="132"/>
      <c r="E324" s="132"/>
      <c r="F324" s="132"/>
      <c r="G324" s="132"/>
      <c r="H324" s="132"/>
      <c r="I324" s="132"/>
      <c r="J324" s="132"/>
      <c r="K324" s="132"/>
      <c r="L324" s="132"/>
      <c r="M324" s="132"/>
      <c r="N324" s="132"/>
      <c r="O324" s="132"/>
      <c r="P324" s="132"/>
      <c r="Q324" s="132"/>
      <c r="R324" s="132"/>
    </row>
    <row r="325" spans="1:18">
      <c r="A325" s="132"/>
      <c r="B325" s="132"/>
      <c r="C325" s="132"/>
      <c r="D325" s="132"/>
      <c r="E325" s="132"/>
      <c r="F325" s="132"/>
      <c r="G325" s="132"/>
      <c r="H325" s="132"/>
      <c r="I325" s="132"/>
      <c r="J325" s="132"/>
      <c r="K325" s="132"/>
      <c r="L325" s="132"/>
      <c r="M325" s="132"/>
      <c r="N325" s="132"/>
      <c r="O325" s="132"/>
      <c r="P325" s="132"/>
      <c r="Q325" s="132"/>
      <c r="R325" s="132"/>
    </row>
    <row r="326" spans="1:18">
      <c r="A326" s="132"/>
      <c r="B326" s="132"/>
      <c r="C326" s="132"/>
      <c r="D326" s="132"/>
      <c r="E326" s="132"/>
      <c r="F326" s="132"/>
      <c r="G326" s="132"/>
      <c r="H326" s="132"/>
      <c r="I326" s="132"/>
      <c r="J326" s="132"/>
      <c r="K326" s="132"/>
      <c r="L326" s="132"/>
      <c r="M326" s="132"/>
      <c r="N326" s="132"/>
      <c r="O326" s="132"/>
      <c r="P326" s="132"/>
      <c r="Q326" s="132"/>
      <c r="R326" s="132"/>
    </row>
    <row r="327" spans="1:18">
      <c r="A327" s="132"/>
      <c r="B327" s="132"/>
      <c r="C327" s="132"/>
      <c r="D327" s="132"/>
      <c r="E327" s="132"/>
      <c r="F327" s="132"/>
      <c r="G327" s="132"/>
      <c r="H327" s="132"/>
      <c r="I327" s="132"/>
      <c r="J327" s="132"/>
      <c r="K327" s="132"/>
      <c r="L327" s="132"/>
      <c r="M327" s="132"/>
      <c r="N327" s="132"/>
      <c r="O327" s="132"/>
      <c r="P327" s="132"/>
      <c r="Q327" s="132"/>
      <c r="R327" s="132"/>
    </row>
    <row r="328" spans="1:18">
      <c r="A328" s="132"/>
      <c r="B328" s="132"/>
      <c r="C328" s="132"/>
      <c r="D328" s="132"/>
      <c r="E328" s="132"/>
      <c r="F328" s="132"/>
      <c r="G328" s="132"/>
      <c r="H328" s="132"/>
      <c r="I328" s="132"/>
      <c r="J328" s="132"/>
      <c r="K328" s="132"/>
      <c r="L328" s="132"/>
      <c r="M328" s="132"/>
      <c r="N328" s="132"/>
      <c r="O328" s="132"/>
      <c r="P328" s="132"/>
      <c r="Q328" s="132"/>
      <c r="R328" s="132"/>
    </row>
    <row r="329" spans="1:18">
      <c r="A329" s="132"/>
      <c r="B329" s="132"/>
      <c r="C329" s="132"/>
      <c r="D329" s="132"/>
      <c r="E329" s="132"/>
      <c r="F329" s="132"/>
      <c r="G329" s="132"/>
      <c r="H329" s="132"/>
      <c r="I329" s="132"/>
      <c r="J329" s="132"/>
      <c r="K329" s="132"/>
      <c r="L329" s="132"/>
      <c r="M329" s="132"/>
      <c r="N329" s="132"/>
      <c r="O329" s="132"/>
      <c r="P329" s="132"/>
      <c r="Q329" s="132"/>
      <c r="R329" s="132"/>
    </row>
    <row r="330" spans="1:18">
      <c r="A330" s="132"/>
      <c r="B330" s="132"/>
      <c r="C330" s="132"/>
      <c r="D330" s="132"/>
      <c r="E330" s="132"/>
      <c r="F330" s="132"/>
      <c r="G330" s="132"/>
      <c r="H330" s="132"/>
      <c r="I330" s="132"/>
      <c r="J330" s="132"/>
      <c r="K330" s="132"/>
      <c r="L330" s="132"/>
      <c r="M330" s="132"/>
      <c r="N330" s="132"/>
      <c r="O330" s="132"/>
      <c r="P330" s="132"/>
      <c r="Q330" s="132"/>
      <c r="R330" s="132"/>
    </row>
    <row r="331" spans="1:18">
      <c r="A331" s="132"/>
      <c r="B331" s="132"/>
      <c r="C331" s="132"/>
      <c r="D331" s="132"/>
      <c r="E331" s="132"/>
      <c r="F331" s="132"/>
      <c r="G331" s="132"/>
      <c r="H331" s="132"/>
      <c r="I331" s="132"/>
      <c r="J331" s="132"/>
      <c r="K331" s="132"/>
      <c r="L331" s="132"/>
      <c r="M331" s="132"/>
      <c r="N331" s="132"/>
      <c r="O331" s="132"/>
      <c r="P331" s="132"/>
      <c r="Q331" s="132"/>
      <c r="R331" s="132"/>
    </row>
    <row r="332" spans="1:18">
      <c r="A332" s="132"/>
      <c r="B332" s="132"/>
      <c r="C332" s="132"/>
      <c r="D332" s="132"/>
      <c r="E332" s="132"/>
      <c r="F332" s="132"/>
      <c r="G332" s="132"/>
      <c r="H332" s="132"/>
      <c r="I332" s="132"/>
      <c r="J332" s="132"/>
      <c r="K332" s="132"/>
      <c r="L332" s="132"/>
      <c r="M332" s="132"/>
      <c r="N332" s="132"/>
      <c r="O332" s="132"/>
      <c r="P332" s="132"/>
      <c r="Q332" s="132"/>
      <c r="R332" s="132"/>
    </row>
    <row r="333" spans="1:18">
      <c r="A333" s="132"/>
      <c r="B333" s="132"/>
      <c r="C333" s="132"/>
      <c r="D333" s="132"/>
      <c r="E333" s="132"/>
      <c r="F333" s="132"/>
      <c r="G333" s="132"/>
      <c r="H333" s="132"/>
      <c r="I333" s="132"/>
      <c r="J333" s="132"/>
      <c r="K333" s="132"/>
      <c r="L333" s="132"/>
      <c r="M333" s="132"/>
      <c r="N333" s="132"/>
      <c r="O333" s="132"/>
      <c r="P333" s="132"/>
      <c r="Q333" s="132"/>
      <c r="R333" s="132"/>
    </row>
    <row r="334" spans="1:18">
      <c r="A334" s="132"/>
      <c r="B334" s="132"/>
      <c r="C334" s="132"/>
      <c r="D334" s="132"/>
      <c r="E334" s="132"/>
      <c r="F334" s="132"/>
      <c r="G334" s="132"/>
      <c r="H334" s="132"/>
      <c r="I334" s="132"/>
      <c r="J334" s="132"/>
      <c r="K334" s="132"/>
      <c r="L334" s="132"/>
      <c r="M334" s="132"/>
      <c r="N334" s="132"/>
      <c r="O334" s="132"/>
      <c r="P334" s="132"/>
      <c r="Q334" s="132"/>
      <c r="R334" s="132"/>
    </row>
    <row r="335" spans="1:18">
      <c r="A335" s="132"/>
      <c r="B335" s="132"/>
      <c r="C335" s="132"/>
      <c r="D335" s="132"/>
      <c r="E335" s="132"/>
      <c r="F335" s="132"/>
      <c r="G335" s="132"/>
      <c r="H335" s="132"/>
      <c r="I335" s="132"/>
      <c r="J335" s="132"/>
      <c r="K335" s="132"/>
      <c r="L335" s="132"/>
      <c r="M335" s="132"/>
      <c r="N335" s="132"/>
      <c r="O335" s="132"/>
      <c r="P335" s="132"/>
      <c r="Q335" s="132"/>
      <c r="R335" s="132"/>
    </row>
    <row r="336" spans="1:18">
      <c r="A336" s="132"/>
      <c r="B336" s="132"/>
      <c r="C336" s="132"/>
      <c r="D336" s="132"/>
      <c r="E336" s="132"/>
      <c r="F336" s="132"/>
      <c r="G336" s="132"/>
      <c r="H336" s="132"/>
      <c r="I336" s="132"/>
      <c r="J336" s="132"/>
      <c r="K336" s="132"/>
      <c r="L336" s="132"/>
      <c r="M336" s="132"/>
      <c r="N336" s="132"/>
      <c r="O336" s="132"/>
      <c r="P336" s="132"/>
      <c r="Q336" s="132"/>
      <c r="R336" s="132"/>
    </row>
    <row r="337" spans="1:18">
      <c r="A337" s="132"/>
      <c r="B337" s="132"/>
      <c r="C337" s="132"/>
      <c r="D337" s="132"/>
      <c r="E337" s="132"/>
      <c r="F337" s="132"/>
      <c r="G337" s="132"/>
      <c r="H337" s="132"/>
      <c r="I337" s="132"/>
      <c r="J337" s="132"/>
      <c r="K337" s="132"/>
      <c r="L337" s="132"/>
      <c r="M337" s="132"/>
      <c r="N337" s="132"/>
      <c r="O337" s="132"/>
      <c r="P337" s="132"/>
      <c r="Q337" s="132"/>
      <c r="R337" s="132"/>
    </row>
    <row r="338" spans="1:18">
      <c r="A338" s="132"/>
      <c r="B338" s="132"/>
      <c r="C338" s="132"/>
      <c r="D338" s="132"/>
      <c r="E338" s="132"/>
      <c r="F338" s="132"/>
      <c r="G338" s="132"/>
      <c r="H338" s="132"/>
      <c r="I338" s="132"/>
      <c r="J338" s="132"/>
      <c r="K338" s="132"/>
      <c r="L338" s="132"/>
      <c r="M338" s="132"/>
      <c r="N338" s="132"/>
      <c r="O338" s="132"/>
      <c r="P338" s="132"/>
      <c r="Q338" s="132"/>
      <c r="R338" s="132"/>
    </row>
    <row r="339" spans="1:18">
      <c r="A339" s="132"/>
      <c r="B339" s="132"/>
      <c r="C339" s="132"/>
      <c r="D339" s="132"/>
      <c r="E339" s="132"/>
      <c r="F339" s="132"/>
      <c r="G339" s="132"/>
      <c r="H339" s="132"/>
      <c r="I339" s="132"/>
      <c r="J339" s="132"/>
      <c r="K339" s="132"/>
      <c r="L339" s="132"/>
      <c r="M339" s="132"/>
      <c r="N339" s="132"/>
      <c r="O339" s="132"/>
      <c r="P339" s="132"/>
      <c r="Q339" s="132"/>
      <c r="R339" s="132"/>
    </row>
    <row r="340" spans="1:18">
      <c r="A340" s="132"/>
      <c r="B340" s="132"/>
      <c r="C340" s="132"/>
      <c r="D340" s="132"/>
      <c r="E340" s="132"/>
      <c r="F340" s="132"/>
      <c r="G340" s="132"/>
      <c r="H340" s="132"/>
      <c r="I340" s="132"/>
      <c r="J340" s="132"/>
      <c r="K340" s="132"/>
      <c r="L340" s="132"/>
      <c r="M340" s="132"/>
      <c r="N340" s="132"/>
      <c r="O340" s="132"/>
      <c r="P340" s="132"/>
      <c r="Q340" s="132"/>
      <c r="R340" s="132"/>
    </row>
    <row r="341" spans="1:18">
      <c r="A341" s="132"/>
      <c r="B341" s="132"/>
      <c r="C341" s="132"/>
      <c r="D341" s="132"/>
      <c r="E341" s="132"/>
      <c r="F341" s="132"/>
      <c r="G341" s="132"/>
      <c r="H341" s="132"/>
      <c r="I341" s="132"/>
      <c r="J341" s="132"/>
      <c r="K341" s="132"/>
      <c r="L341" s="132"/>
      <c r="M341" s="132"/>
      <c r="N341" s="132"/>
      <c r="O341" s="132"/>
      <c r="P341" s="132"/>
      <c r="Q341" s="132"/>
      <c r="R341" s="132"/>
    </row>
    <row r="342" spans="1:18">
      <c r="A342" s="132"/>
      <c r="B342" s="132"/>
      <c r="C342" s="132"/>
      <c r="D342" s="132"/>
      <c r="E342" s="132"/>
      <c r="F342" s="132"/>
      <c r="G342" s="132"/>
      <c r="H342" s="132"/>
      <c r="I342" s="132"/>
      <c r="J342" s="132"/>
      <c r="K342" s="132"/>
      <c r="L342" s="132"/>
      <c r="M342" s="132"/>
      <c r="N342" s="132"/>
      <c r="O342" s="132"/>
      <c r="P342" s="132"/>
      <c r="Q342" s="132"/>
      <c r="R342" s="132"/>
    </row>
    <row r="343" spans="1:18">
      <c r="A343" s="132"/>
      <c r="B343" s="132"/>
      <c r="C343" s="132"/>
      <c r="D343" s="132"/>
      <c r="E343" s="132"/>
      <c r="F343" s="132"/>
      <c r="G343" s="132"/>
      <c r="H343" s="132"/>
      <c r="I343" s="132"/>
      <c r="J343" s="132"/>
      <c r="K343" s="132"/>
      <c r="L343" s="132"/>
      <c r="M343" s="132"/>
      <c r="N343" s="132"/>
      <c r="O343" s="132"/>
      <c r="P343" s="132"/>
      <c r="Q343" s="132"/>
      <c r="R343" s="132"/>
    </row>
    <row r="344" spans="1:18">
      <c r="A344" s="132"/>
      <c r="B344" s="132"/>
      <c r="C344" s="132"/>
      <c r="D344" s="132"/>
      <c r="E344" s="132"/>
      <c r="F344" s="132"/>
      <c r="G344" s="132"/>
      <c r="H344" s="132"/>
      <c r="I344" s="132"/>
      <c r="J344" s="132"/>
      <c r="K344" s="132"/>
      <c r="L344" s="132"/>
      <c r="M344" s="132"/>
      <c r="N344" s="132"/>
      <c r="O344" s="132"/>
      <c r="P344" s="132"/>
      <c r="Q344" s="132"/>
      <c r="R344" s="132"/>
    </row>
    <row r="345" spans="1:18">
      <c r="A345" s="132"/>
      <c r="B345" s="132"/>
      <c r="C345" s="132"/>
      <c r="D345" s="132"/>
      <c r="E345" s="132"/>
      <c r="F345" s="132"/>
      <c r="G345" s="132"/>
      <c r="H345" s="132"/>
      <c r="I345" s="132"/>
      <c r="J345" s="132"/>
      <c r="K345" s="132"/>
      <c r="L345" s="132"/>
      <c r="M345" s="132"/>
      <c r="N345" s="132"/>
      <c r="O345" s="132"/>
      <c r="P345" s="132"/>
      <c r="Q345" s="132"/>
      <c r="R345" s="132"/>
    </row>
    <row r="346" spans="1:18">
      <c r="A346" s="132"/>
      <c r="B346" s="132"/>
      <c r="C346" s="132"/>
      <c r="D346" s="132"/>
      <c r="E346" s="132"/>
      <c r="F346" s="132"/>
      <c r="G346" s="132"/>
      <c r="H346" s="132"/>
      <c r="I346" s="132"/>
      <c r="J346" s="132"/>
      <c r="K346" s="132"/>
      <c r="L346" s="132"/>
      <c r="M346" s="132"/>
      <c r="N346" s="132"/>
      <c r="O346" s="132"/>
      <c r="P346" s="132"/>
      <c r="Q346" s="132"/>
      <c r="R346" s="132"/>
    </row>
    <row r="347" spans="1:18">
      <c r="A347" s="132"/>
      <c r="B347" s="132"/>
      <c r="C347" s="132"/>
      <c r="D347" s="132"/>
      <c r="E347" s="132"/>
      <c r="F347" s="132"/>
      <c r="G347" s="132"/>
      <c r="H347" s="132"/>
      <c r="I347" s="132"/>
      <c r="J347" s="132"/>
      <c r="K347" s="132"/>
      <c r="L347" s="132"/>
      <c r="M347" s="132"/>
      <c r="N347" s="132"/>
      <c r="O347" s="132"/>
      <c r="P347" s="132"/>
      <c r="Q347" s="132"/>
      <c r="R347" s="132"/>
    </row>
    <row r="348" spans="1:18">
      <c r="A348" s="132"/>
      <c r="B348" s="132"/>
      <c r="C348" s="132"/>
      <c r="D348" s="132"/>
      <c r="E348" s="132"/>
      <c r="F348" s="132"/>
      <c r="G348" s="132"/>
      <c r="H348" s="132"/>
      <c r="I348" s="132"/>
      <c r="J348" s="132"/>
      <c r="K348" s="132"/>
      <c r="L348" s="132"/>
      <c r="M348" s="132"/>
      <c r="N348" s="132"/>
      <c r="O348" s="132"/>
      <c r="P348" s="132"/>
      <c r="Q348" s="132"/>
      <c r="R348" s="132"/>
    </row>
    <row r="349" spans="1:18">
      <c r="A349" s="132"/>
      <c r="B349" s="132"/>
      <c r="C349" s="132"/>
      <c r="D349" s="132"/>
      <c r="E349" s="132"/>
      <c r="F349" s="132"/>
      <c r="G349" s="132"/>
      <c r="H349" s="132"/>
      <c r="I349" s="132"/>
      <c r="J349" s="132"/>
      <c r="K349" s="132"/>
      <c r="L349" s="132"/>
      <c r="M349" s="132"/>
      <c r="N349" s="132"/>
      <c r="O349" s="132"/>
      <c r="P349" s="132"/>
      <c r="Q349" s="132"/>
      <c r="R349" s="132"/>
    </row>
    <row r="350" spans="1:18">
      <c r="A350" s="132"/>
      <c r="B350" s="132"/>
      <c r="C350" s="132"/>
      <c r="D350" s="132"/>
      <c r="E350" s="132"/>
      <c r="F350" s="132"/>
      <c r="G350" s="132"/>
      <c r="H350" s="132"/>
      <c r="I350" s="132"/>
      <c r="J350" s="132"/>
      <c r="K350" s="132"/>
      <c r="L350" s="132"/>
      <c r="M350" s="132"/>
      <c r="N350" s="132"/>
      <c r="O350" s="132"/>
      <c r="P350" s="132"/>
      <c r="Q350" s="132"/>
      <c r="R350" s="132"/>
    </row>
    <row r="351" spans="1:18">
      <c r="A351" s="132"/>
      <c r="B351" s="132"/>
      <c r="C351" s="132"/>
      <c r="D351" s="132"/>
      <c r="E351" s="132"/>
      <c r="F351" s="132"/>
      <c r="G351" s="132"/>
      <c r="H351" s="132"/>
      <c r="I351" s="132"/>
      <c r="J351" s="132"/>
      <c r="K351" s="132"/>
      <c r="L351" s="132"/>
      <c r="M351" s="132"/>
      <c r="N351" s="132"/>
      <c r="O351" s="132"/>
      <c r="P351" s="132"/>
      <c r="Q351" s="132"/>
      <c r="R351" s="132"/>
    </row>
    <row r="352" spans="1:18">
      <c r="A352" s="132"/>
      <c r="B352" s="132"/>
      <c r="C352" s="132"/>
      <c r="D352" s="132"/>
      <c r="E352" s="132"/>
      <c r="F352" s="132"/>
      <c r="G352" s="132"/>
      <c r="H352" s="132"/>
      <c r="I352" s="132"/>
      <c r="J352" s="132"/>
      <c r="K352" s="132"/>
      <c r="L352" s="132"/>
      <c r="M352" s="132"/>
      <c r="N352" s="132"/>
      <c r="O352" s="132"/>
      <c r="P352" s="132"/>
      <c r="Q352" s="132"/>
      <c r="R352" s="132"/>
    </row>
    <row r="353" spans="1:18">
      <c r="A353" s="132"/>
      <c r="B353" s="132"/>
      <c r="C353" s="132"/>
      <c r="D353" s="132"/>
      <c r="E353" s="132"/>
      <c r="F353" s="132"/>
      <c r="G353" s="132"/>
      <c r="H353" s="132"/>
      <c r="I353" s="132"/>
      <c r="J353" s="132"/>
      <c r="K353" s="132"/>
      <c r="L353" s="132"/>
      <c r="M353" s="132"/>
      <c r="N353" s="132"/>
      <c r="O353" s="132"/>
      <c r="P353" s="132"/>
      <c r="Q353" s="132"/>
      <c r="R353" s="132"/>
    </row>
    <row r="354" spans="1:18">
      <c r="A354" s="132"/>
      <c r="B354" s="132"/>
      <c r="C354" s="132"/>
      <c r="D354" s="132"/>
      <c r="E354" s="132"/>
      <c r="F354" s="132"/>
      <c r="G354" s="132"/>
      <c r="H354" s="132"/>
      <c r="I354" s="132"/>
      <c r="J354" s="132"/>
      <c r="K354" s="132"/>
      <c r="L354" s="132"/>
      <c r="M354" s="132"/>
      <c r="N354" s="132"/>
      <c r="O354" s="132"/>
      <c r="P354" s="132"/>
      <c r="Q354" s="132"/>
      <c r="R354" s="132"/>
    </row>
    <row r="355" spans="1:18">
      <c r="A355" s="132"/>
      <c r="B355" s="132"/>
      <c r="C355" s="132"/>
      <c r="D355" s="132"/>
      <c r="E355" s="132"/>
      <c r="F355" s="132"/>
      <c r="G355" s="132"/>
      <c r="H355" s="132"/>
      <c r="I355" s="132"/>
      <c r="J355" s="132"/>
      <c r="K355" s="132"/>
      <c r="L355" s="132"/>
      <c r="M355" s="132"/>
      <c r="N355" s="132"/>
      <c r="O355" s="132"/>
      <c r="P355" s="132"/>
      <c r="Q355" s="132"/>
      <c r="R355" s="132"/>
    </row>
    <row r="356" spans="1:18">
      <c r="A356" s="132"/>
      <c r="B356" s="132"/>
      <c r="C356" s="132"/>
      <c r="D356" s="132"/>
      <c r="E356" s="132"/>
      <c r="F356" s="132"/>
      <c r="G356" s="132"/>
      <c r="H356" s="132"/>
      <c r="I356" s="132"/>
      <c r="J356" s="132"/>
      <c r="K356" s="132"/>
      <c r="L356" s="132"/>
      <c r="M356" s="132"/>
      <c r="N356" s="132"/>
      <c r="O356" s="132"/>
      <c r="P356" s="132"/>
      <c r="Q356" s="132"/>
      <c r="R356" s="132"/>
    </row>
    <row r="357" spans="1:18">
      <c r="A357" s="132"/>
      <c r="B357" s="132"/>
      <c r="C357" s="132"/>
      <c r="D357" s="132"/>
      <c r="E357" s="132"/>
      <c r="F357" s="132"/>
      <c r="G357" s="132"/>
      <c r="H357" s="132"/>
      <c r="I357" s="132"/>
      <c r="J357" s="132"/>
      <c r="K357" s="132"/>
      <c r="L357" s="132"/>
      <c r="M357" s="132"/>
      <c r="N357" s="132"/>
      <c r="O357" s="132"/>
      <c r="P357" s="132"/>
      <c r="Q357" s="132"/>
      <c r="R357" s="132"/>
    </row>
    <row r="358" spans="1:18">
      <c r="A358" s="132"/>
      <c r="B358" s="132"/>
      <c r="C358" s="132"/>
      <c r="D358" s="132"/>
      <c r="E358" s="132"/>
      <c r="F358" s="132"/>
      <c r="G358" s="132"/>
      <c r="H358" s="132"/>
      <c r="I358" s="132"/>
      <c r="J358" s="132"/>
      <c r="K358" s="132"/>
      <c r="L358" s="132"/>
      <c r="M358" s="132"/>
      <c r="N358" s="132"/>
      <c r="O358" s="132"/>
      <c r="P358" s="132"/>
      <c r="Q358" s="132"/>
      <c r="R358" s="132"/>
    </row>
    <row r="359" spans="1:18">
      <c r="A359" s="132"/>
      <c r="B359" s="132"/>
      <c r="C359" s="132"/>
      <c r="D359" s="132"/>
      <c r="E359" s="132"/>
      <c r="F359" s="132"/>
      <c r="G359" s="132"/>
      <c r="H359" s="132"/>
      <c r="I359" s="132"/>
      <c r="J359" s="132"/>
      <c r="K359" s="132"/>
      <c r="L359" s="132"/>
      <c r="M359" s="132"/>
      <c r="N359" s="132"/>
      <c r="O359" s="132"/>
      <c r="P359" s="132"/>
      <c r="Q359" s="132"/>
      <c r="R359" s="132"/>
    </row>
    <row r="360" spans="1:18">
      <c r="A360" s="132"/>
      <c r="B360" s="132"/>
      <c r="C360" s="132"/>
      <c r="D360" s="132"/>
      <c r="E360" s="132"/>
      <c r="F360" s="132"/>
      <c r="G360" s="132"/>
      <c r="H360" s="132"/>
      <c r="I360" s="132"/>
      <c r="J360" s="132"/>
      <c r="K360" s="132"/>
      <c r="L360" s="132"/>
      <c r="M360" s="132"/>
      <c r="N360" s="132"/>
      <c r="O360" s="132"/>
      <c r="P360" s="132"/>
      <c r="Q360" s="132"/>
      <c r="R360" s="132"/>
    </row>
    <row r="361" spans="1:18">
      <c r="A361" s="132"/>
      <c r="B361" s="132"/>
      <c r="C361" s="132"/>
      <c r="D361" s="132"/>
      <c r="E361" s="132"/>
      <c r="F361" s="132"/>
      <c r="G361" s="132"/>
      <c r="H361" s="132"/>
      <c r="I361" s="132"/>
      <c r="J361" s="132"/>
      <c r="K361" s="132"/>
      <c r="L361" s="132"/>
      <c r="M361" s="132"/>
      <c r="N361" s="132"/>
      <c r="O361" s="132"/>
      <c r="P361" s="132"/>
      <c r="Q361" s="132"/>
      <c r="R361" s="132"/>
    </row>
    <row r="362" spans="1:18">
      <c r="A362" s="132"/>
      <c r="B362" s="132"/>
      <c r="C362" s="132"/>
      <c r="D362" s="132"/>
      <c r="E362" s="132"/>
      <c r="F362" s="132"/>
      <c r="G362" s="132"/>
      <c r="H362" s="132"/>
      <c r="I362" s="132"/>
      <c r="J362" s="132"/>
      <c r="K362" s="132"/>
      <c r="L362" s="132"/>
      <c r="M362" s="132"/>
      <c r="N362" s="132"/>
      <c r="O362" s="132"/>
      <c r="P362" s="132"/>
      <c r="Q362" s="132"/>
      <c r="R362" s="132"/>
    </row>
    <row r="363" spans="1:18">
      <c r="A363" s="132"/>
      <c r="B363" s="132"/>
      <c r="C363" s="132"/>
      <c r="D363" s="132"/>
      <c r="E363" s="132"/>
      <c r="F363" s="132"/>
      <c r="G363" s="132"/>
      <c r="H363" s="132"/>
      <c r="I363" s="132"/>
      <c r="J363" s="132"/>
      <c r="K363" s="132"/>
      <c r="L363" s="132"/>
      <c r="M363" s="132"/>
      <c r="N363" s="132"/>
      <c r="O363" s="132"/>
      <c r="P363" s="132"/>
      <c r="Q363" s="132"/>
      <c r="R363" s="132"/>
    </row>
    <row r="364" spans="1:18">
      <c r="A364" s="132"/>
      <c r="B364" s="132"/>
      <c r="C364" s="132"/>
      <c r="D364" s="132"/>
      <c r="E364" s="132"/>
      <c r="F364" s="132"/>
      <c r="G364" s="132"/>
      <c r="H364" s="132"/>
      <c r="I364" s="132"/>
      <c r="J364" s="132"/>
      <c r="K364" s="132"/>
      <c r="L364" s="132"/>
      <c r="M364" s="132"/>
      <c r="N364" s="132"/>
      <c r="O364" s="132"/>
      <c r="P364" s="132"/>
      <c r="Q364" s="132"/>
      <c r="R364" s="132"/>
    </row>
    <row r="365" spans="1:18">
      <c r="A365" s="132"/>
      <c r="B365" s="132"/>
      <c r="C365" s="132"/>
      <c r="D365" s="132"/>
      <c r="E365" s="132"/>
      <c r="F365" s="132"/>
      <c r="G365" s="132"/>
      <c r="H365" s="132"/>
      <c r="I365" s="132"/>
      <c r="J365" s="132"/>
      <c r="K365" s="132"/>
      <c r="L365" s="132"/>
      <c r="M365" s="132"/>
      <c r="N365" s="132"/>
      <c r="O365" s="132"/>
      <c r="P365" s="132"/>
      <c r="Q365" s="132"/>
      <c r="R365" s="132"/>
    </row>
    <row r="366" spans="1:18">
      <c r="A366" s="132"/>
      <c r="B366" s="132"/>
      <c r="C366" s="132"/>
      <c r="D366" s="132"/>
      <c r="E366" s="132"/>
      <c r="F366" s="132"/>
      <c r="G366" s="132"/>
      <c r="H366" s="132"/>
      <c r="I366" s="132"/>
      <c r="J366" s="132"/>
      <c r="K366" s="132"/>
      <c r="L366" s="132"/>
      <c r="M366" s="132"/>
      <c r="N366" s="132"/>
      <c r="O366" s="132"/>
      <c r="P366" s="132"/>
      <c r="Q366" s="132"/>
      <c r="R366" s="132"/>
    </row>
    <row r="367" spans="1:18">
      <c r="A367" s="132"/>
      <c r="B367" s="132"/>
      <c r="C367" s="132"/>
      <c r="D367" s="132"/>
      <c r="E367" s="132"/>
      <c r="F367" s="132"/>
      <c r="G367" s="132"/>
      <c r="H367" s="132"/>
      <c r="I367" s="132"/>
      <c r="J367" s="132"/>
      <c r="K367" s="132"/>
      <c r="L367" s="132"/>
      <c r="M367" s="132"/>
      <c r="N367" s="132"/>
      <c r="O367" s="132"/>
      <c r="P367" s="132"/>
      <c r="Q367" s="132"/>
      <c r="R367" s="132"/>
    </row>
    <row r="368" spans="1:18">
      <c r="A368" s="132"/>
      <c r="B368" s="132"/>
      <c r="C368" s="132"/>
      <c r="D368" s="132"/>
      <c r="E368" s="132"/>
      <c r="F368" s="132"/>
      <c r="G368" s="132"/>
      <c r="H368" s="132"/>
      <c r="I368" s="132"/>
      <c r="J368" s="132"/>
      <c r="K368" s="132"/>
      <c r="L368" s="132"/>
      <c r="M368" s="132"/>
      <c r="N368" s="132"/>
      <c r="O368" s="132"/>
      <c r="P368" s="132"/>
      <c r="Q368" s="132"/>
      <c r="R368" s="132"/>
    </row>
    <row r="369" spans="1:18">
      <c r="A369" s="132"/>
      <c r="B369" s="132"/>
      <c r="C369" s="132"/>
      <c r="D369" s="132"/>
      <c r="E369" s="132"/>
      <c r="F369" s="132"/>
      <c r="G369" s="132"/>
      <c r="H369" s="132"/>
      <c r="I369" s="132"/>
      <c r="J369" s="132"/>
      <c r="K369" s="132"/>
      <c r="L369" s="132"/>
      <c r="M369" s="132"/>
      <c r="N369" s="132"/>
      <c r="O369" s="132"/>
      <c r="P369" s="132"/>
      <c r="Q369" s="132"/>
      <c r="R369" s="132"/>
    </row>
    <row r="370" spans="1:18">
      <c r="A370" s="132"/>
      <c r="B370" s="132"/>
      <c r="C370" s="132"/>
      <c r="D370" s="132"/>
      <c r="E370" s="132"/>
      <c r="F370" s="132"/>
      <c r="G370" s="132"/>
      <c r="H370" s="132"/>
      <c r="I370" s="132"/>
      <c r="J370" s="132"/>
      <c r="K370" s="132"/>
      <c r="L370" s="132"/>
      <c r="M370" s="132"/>
      <c r="N370" s="132"/>
      <c r="O370" s="132"/>
      <c r="P370" s="132"/>
      <c r="Q370" s="132"/>
      <c r="R370" s="132"/>
    </row>
    <row r="371" spans="1:18">
      <c r="A371" s="132"/>
      <c r="B371" s="132"/>
      <c r="C371" s="132"/>
      <c r="D371" s="132"/>
      <c r="E371" s="132"/>
      <c r="F371" s="132"/>
      <c r="G371" s="132"/>
      <c r="H371" s="132"/>
      <c r="I371" s="132"/>
      <c r="J371" s="132"/>
      <c r="K371" s="132"/>
      <c r="L371" s="132"/>
      <c r="M371" s="132"/>
      <c r="N371" s="132"/>
      <c r="O371" s="132"/>
      <c r="P371" s="132"/>
      <c r="Q371" s="132"/>
      <c r="R371" s="132"/>
    </row>
    <row r="372" spans="1:18">
      <c r="A372" s="132"/>
      <c r="B372" s="132"/>
      <c r="C372" s="132"/>
      <c r="D372" s="132"/>
      <c r="E372" s="132"/>
      <c r="F372" s="132"/>
      <c r="G372" s="132"/>
      <c r="H372" s="132"/>
      <c r="I372" s="132"/>
      <c r="J372" s="132"/>
      <c r="K372" s="132"/>
      <c r="L372" s="132"/>
      <c r="M372" s="132"/>
      <c r="N372" s="132"/>
      <c r="O372" s="132"/>
      <c r="P372" s="132"/>
      <c r="Q372" s="132"/>
      <c r="R372" s="132"/>
    </row>
    <row r="373" spans="1:18">
      <c r="A373" s="132"/>
      <c r="B373" s="132"/>
      <c r="C373" s="132"/>
      <c r="D373" s="132"/>
      <c r="E373" s="132"/>
      <c r="F373" s="132"/>
      <c r="G373" s="132"/>
      <c r="H373" s="132"/>
      <c r="I373" s="132"/>
      <c r="J373" s="132"/>
      <c r="K373" s="132"/>
      <c r="L373" s="132"/>
      <c r="M373" s="132"/>
      <c r="N373" s="132"/>
      <c r="O373" s="132"/>
      <c r="P373" s="132"/>
      <c r="Q373" s="132"/>
      <c r="R373" s="132"/>
    </row>
    <row r="374" spans="1:18">
      <c r="A374" s="132"/>
      <c r="B374" s="132"/>
      <c r="C374" s="132"/>
      <c r="D374" s="132"/>
      <c r="E374" s="132"/>
      <c r="F374" s="132"/>
      <c r="G374" s="132"/>
      <c r="H374" s="132"/>
      <c r="I374" s="132"/>
      <c r="J374" s="132"/>
      <c r="K374" s="132"/>
      <c r="L374" s="132"/>
      <c r="M374" s="132"/>
      <c r="N374" s="132"/>
      <c r="O374" s="132"/>
      <c r="P374" s="132"/>
      <c r="Q374" s="132"/>
      <c r="R374" s="132"/>
    </row>
    <row r="375" spans="1:18">
      <c r="A375" s="132"/>
      <c r="B375" s="132"/>
      <c r="C375" s="132"/>
      <c r="D375" s="132"/>
      <c r="E375" s="132"/>
      <c r="F375" s="132"/>
      <c r="G375" s="132"/>
      <c r="H375" s="132"/>
      <c r="I375" s="132"/>
      <c r="J375" s="132"/>
      <c r="K375" s="132"/>
      <c r="L375" s="132"/>
      <c r="M375" s="132"/>
      <c r="N375" s="132"/>
      <c r="O375" s="132"/>
      <c r="P375" s="132"/>
      <c r="Q375" s="132"/>
      <c r="R375" s="132"/>
    </row>
    <row r="376" spans="1:18">
      <c r="A376" s="132"/>
      <c r="B376" s="132"/>
      <c r="C376" s="132"/>
      <c r="D376" s="132"/>
      <c r="E376" s="132"/>
      <c r="F376" s="132"/>
      <c r="G376" s="132"/>
      <c r="H376" s="132"/>
      <c r="I376" s="132"/>
      <c r="J376" s="132"/>
      <c r="K376" s="132"/>
      <c r="L376" s="132"/>
      <c r="M376" s="132"/>
      <c r="N376" s="132"/>
      <c r="O376" s="132"/>
      <c r="P376" s="132"/>
      <c r="Q376" s="132"/>
      <c r="R376" s="132"/>
    </row>
    <row r="377" spans="1:18">
      <c r="A377" s="132"/>
      <c r="B377" s="132"/>
      <c r="C377" s="132"/>
      <c r="D377" s="132"/>
      <c r="E377" s="132"/>
      <c r="F377" s="132"/>
      <c r="G377" s="132"/>
      <c r="H377" s="132"/>
      <c r="I377" s="132"/>
      <c r="J377" s="132"/>
      <c r="K377" s="132"/>
      <c r="L377" s="132"/>
      <c r="M377" s="132"/>
      <c r="N377" s="132"/>
      <c r="O377" s="132"/>
      <c r="P377" s="132"/>
      <c r="Q377" s="132"/>
      <c r="R377" s="132"/>
    </row>
    <row r="378" spans="1:18">
      <c r="A378" s="132"/>
      <c r="B378" s="132"/>
      <c r="C378" s="132"/>
      <c r="D378" s="132"/>
      <c r="E378" s="132"/>
      <c r="F378" s="132"/>
      <c r="G378" s="132"/>
      <c r="H378" s="132"/>
      <c r="I378" s="132"/>
      <c r="J378" s="132"/>
      <c r="K378" s="132"/>
      <c r="L378" s="132"/>
      <c r="M378" s="132"/>
      <c r="N378" s="132"/>
      <c r="O378" s="132"/>
      <c r="P378" s="132"/>
      <c r="Q378" s="132"/>
      <c r="R378" s="132"/>
    </row>
    <row r="379" spans="1:18">
      <c r="A379" s="132"/>
      <c r="B379" s="132"/>
      <c r="C379" s="132"/>
      <c r="D379" s="132"/>
      <c r="E379" s="132"/>
      <c r="F379" s="132"/>
      <c r="G379" s="132"/>
      <c r="H379" s="132"/>
      <c r="I379" s="132"/>
      <c r="J379" s="132"/>
      <c r="K379" s="132"/>
      <c r="L379" s="132"/>
      <c r="M379" s="132"/>
      <c r="N379" s="132"/>
      <c r="O379" s="132"/>
      <c r="P379" s="132"/>
      <c r="Q379" s="132"/>
      <c r="R379" s="132"/>
    </row>
    <row r="380" spans="1:18">
      <c r="A380" s="132"/>
      <c r="B380" s="132"/>
      <c r="C380" s="132"/>
      <c r="D380" s="132"/>
      <c r="E380" s="132"/>
      <c r="F380" s="132"/>
      <c r="G380" s="132"/>
      <c r="H380" s="132"/>
      <c r="I380" s="132"/>
      <c r="J380" s="132"/>
      <c r="K380" s="132"/>
      <c r="L380" s="132"/>
      <c r="M380" s="132"/>
      <c r="N380" s="132"/>
      <c r="O380" s="132"/>
      <c r="P380" s="132"/>
      <c r="Q380" s="132"/>
      <c r="R380" s="132"/>
    </row>
    <row r="381" spans="1:18">
      <c r="A381" s="132"/>
      <c r="B381" s="132"/>
      <c r="C381" s="132"/>
      <c r="D381" s="132"/>
      <c r="E381" s="132"/>
      <c r="F381" s="132"/>
      <c r="G381" s="132"/>
      <c r="H381" s="132"/>
      <c r="I381" s="132"/>
      <c r="J381" s="132"/>
      <c r="K381" s="132"/>
      <c r="L381" s="132"/>
      <c r="M381" s="132"/>
      <c r="N381" s="132"/>
      <c r="O381" s="132"/>
      <c r="P381" s="132"/>
      <c r="Q381" s="132"/>
      <c r="R381" s="132"/>
    </row>
    <row r="382" spans="1:18">
      <c r="A382" s="132"/>
      <c r="B382" s="132"/>
      <c r="C382" s="132"/>
      <c r="D382" s="132"/>
      <c r="E382" s="132"/>
      <c r="F382" s="132"/>
      <c r="G382" s="132"/>
      <c r="H382" s="132"/>
      <c r="I382" s="132"/>
      <c r="J382" s="132"/>
      <c r="K382" s="132"/>
      <c r="L382" s="132"/>
      <c r="M382" s="132"/>
      <c r="N382" s="132"/>
      <c r="O382" s="132"/>
      <c r="P382" s="132"/>
      <c r="Q382" s="132"/>
      <c r="R382" s="132"/>
    </row>
    <row r="383" spans="1:18">
      <c r="A383" s="132"/>
      <c r="B383" s="132"/>
      <c r="C383" s="132"/>
      <c r="D383" s="132"/>
      <c r="E383" s="132"/>
      <c r="F383" s="132"/>
      <c r="G383" s="132"/>
      <c r="H383" s="132"/>
      <c r="I383" s="132"/>
      <c r="J383" s="132"/>
      <c r="K383" s="132"/>
      <c r="L383" s="132"/>
      <c r="M383" s="132"/>
      <c r="N383" s="132"/>
      <c r="O383" s="132"/>
      <c r="P383" s="132"/>
      <c r="Q383" s="132"/>
      <c r="R383" s="132"/>
    </row>
    <row r="384" spans="1:18">
      <c r="A384" s="132"/>
      <c r="B384" s="132"/>
      <c r="C384" s="132"/>
      <c r="D384" s="132"/>
      <c r="E384" s="132"/>
      <c r="F384" s="132"/>
      <c r="G384" s="132"/>
      <c r="H384" s="132"/>
      <c r="I384" s="132"/>
      <c r="J384" s="132"/>
      <c r="K384" s="132"/>
      <c r="L384" s="132"/>
      <c r="M384" s="132"/>
      <c r="N384" s="132"/>
      <c r="O384" s="132"/>
      <c r="P384" s="132"/>
      <c r="Q384" s="132"/>
      <c r="R384" s="132"/>
    </row>
    <row r="385" spans="1:18">
      <c r="A385" s="132"/>
      <c r="B385" s="132"/>
      <c r="C385" s="132"/>
      <c r="D385" s="132"/>
      <c r="E385" s="132"/>
      <c r="F385" s="132"/>
      <c r="G385" s="132"/>
      <c r="H385" s="132"/>
      <c r="I385" s="132"/>
      <c r="J385" s="132"/>
      <c r="K385" s="132"/>
      <c r="L385" s="132"/>
      <c r="M385" s="132"/>
      <c r="N385" s="132"/>
      <c r="O385" s="132"/>
      <c r="P385" s="132"/>
      <c r="Q385" s="132"/>
      <c r="R385" s="132"/>
    </row>
    <row r="386" spans="1:18">
      <c r="A386" s="132"/>
      <c r="B386" s="132"/>
      <c r="C386" s="132"/>
      <c r="D386" s="132"/>
      <c r="E386" s="132"/>
      <c r="F386" s="132"/>
      <c r="G386" s="132"/>
      <c r="H386" s="132"/>
      <c r="I386" s="132"/>
      <c r="J386" s="132"/>
      <c r="K386" s="132"/>
      <c r="L386" s="132"/>
      <c r="M386" s="132"/>
      <c r="N386" s="132"/>
      <c r="O386" s="132"/>
      <c r="P386" s="132"/>
      <c r="Q386" s="132"/>
      <c r="R386" s="132"/>
    </row>
    <row r="387" spans="1:18">
      <c r="A387" s="132"/>
      <c r="B387" s="132"/>
      <c r="C387" s="132"/>
      <c r="D387" s="132"/>
      <c r="E387" s="132"/>
      <c r="F387" s="132"/>
      <c r="G387" s="132"/>
      <c r="H387" s="132"/>
      <c r="I387" s="132"/>
      <c r="J387" s="132"/>
      <c r="K387" s="132"/>
      <c r="L387" s="132"/>
      <c r="M387" s="132"/>
      <c r="N387" s="132"/>
      <c r="O387" s="132"/>
      <c r="P387" s="132"/>
      <c r="Q387" s="132"/>
      <c r="R387" s="132"/>
    </row>
    <row r="388" spans="1:18">
      <c r="A388" s="132"/>
      <c r="B388" s="132"/>
      <c r="C388" s="132"/>
      <c r="D388" s="132"/>
      <c r="E388" s="132"/>
      <c r="F388" s="132"/>
      <c r="G388" s="132"/>
      <c r="H388" s="132"/>
      <c r="I388" s="132"/>
      <c r="J388" s="132"/>
      <c r="K388" s="132"/>
      <c r="L388" s="132"/>
      <c r="M388" s="132"/>
      <c r="N388" s="132"/>
      <c r="O388" s="132"/>
      <c r="P388" s="132"/>
      <c r="Q388" s="132"/>
      <c r="R388" s="132"/>
    </row>
    <row r="389" spans="1:18">
      <c r="A389" s="132"/>
      <c r="B389" s="132"/>
      <c r="C389" s="132"/>
      <c r="D389" s="132"/>
      <c r="E389" s="132"/>
      <c r="F389" s="132"/>
      <c r="G389" s="132"/>
      <c r="H389" s="132"/>
      <c r="I389" s="132"/>
      <c r="J389" s="132"/>
      <c r="K389" s="132"/>
      <c r="L389" s="132"/>
      <c r="M389" s="132"/>
      <c r="N389" s="132"/>
      <c r="O389" s="132"/>
      <c r="P389" s="132"/>
      <c r="Q389" s="132"/>
      <c r="R389" s="132"/>
    </row>
    <row r="390" spans="1:18">
      <c r="A390" s="132"/>
      <c r="B390" s="132"/>
      <c r="C390" s="132"/>
      <c r="D390" s="132"/>
      <c r="E390" s="132"/>
      <c r="F390" s="132"/>
      <c r="G390" s="132"/>
      <c r="H390" s="132"/>
      <c r="I390" s="132"/>
      <c r="J390" s="132"/>
      <c r="K390" s="132"/>
      <c r="L390" s="132"/>
      <c r="M390" s="132"/>
      <c r="N390" s="132"/>
      <c r="O390" s="132"/>
      <c r="P390" s="132"/>
      <c r="Q390" s="132"/>
      <c r="R390" s="132"/>
    </row>
    <row r="391" spans="1:18">
      <c r="A391" s="132"/>
      <c r="B391" s="132"/>
      <c r="C391" s="132"/>
      <c r="D391" s="132"/>
      <c r="E391" s="132"/>
      <c r="F391" s="132"/>
      <c r="G391" s="132"/>
      <c r="H391" s="132"/>
      <c r="I391" s="132"/>
      <c r="J391" s="132"/>
      <c r="K391" s="132"/>
      <c r="L391" s="132"/>
      <c r="M391" s="132"/>
      <c r="N391" s="132"/>
      <c r="O391" s="132"/>
      <c r="P391" s="132"/>
      <c r="Q391" s="132"/>
      <c r="R391" s="132"/>
    </row>
    <row r="392" spans="1:18">
      <c r="A392" s="132"/>
      <c r="B392" s="132"/>
      <c r="C392" s="132"/>
      <c r="D392" s="132"/>
      <c r="E392" s="132"/>
      <c r="F392" s="132"/>
      <c r="G392" s="132"/>
      <c r="H392" s="132"/>
      <c r="I392" s="132"/>
      <c r="J392" s="132"/>
      <c r="K392" s="132"/>
      <c r="L392" s="132"/>
      <c r="M392" s="132"/>
      <c r="N392" s="132"/>
      <c r="O392" s="132"/>
      <c r="P392" s="132"/>
      <c r="Q392" s="132"/>
      <c r="R392" s="132"/>
    </row>
    <row r="393" spans="1:18">
      <c r="A393" s="132"/>
      <c r="B393" s="132"/>
      <c r="C393" s="132"/>
      <c r="D393" s="132"/>
      <c r="E393" s="132"/>
      <c r="F393" s="132"/>
      <c r="G393" s="132"/>
      <c r="H393" s="132"/>
      <c r="I393" s="132"/>
      <c r="J393" s="132"/>
      <c r="K393" s="132"/>
      <c r="L393" s="132"/>
      <c r="M393" s="132"/>
      <c r="N393" s="132"/>
      <c r="O393" s="132"/>
      <c r="P393" s="132"/>
      <c r="Q393" s="132"/>
      <c r="R393" s="132"/>
    </row>
    <row r="394" spans="1:18">
      <c r="A394" s="132"/>
      <c r="B394" s="132"/>
      <c r="C394" s="132"/>
      <c r="D394" s="132"/>
      <c r="E394" s="132"/>
      <c r="F394" s="132"/>
      <c r="G394" s="132"/>
      <c r="H394" s="132"/>
      <c r="I394" s="132"/>
      <c r="J394" s="132"/>
      <c r="K394" s="132"/>
      <c r="L394" s="132"/>
      <c r="M394" s="132"/>
      <c r="N394" s="132"/>
      <c r="O394" s="132"/>
      <c r="P394" s="132"/>
      <c r="Q394" s="132"/>
      <c r="R394" s="132"/>
    </row>
    <row r="395" spans="1:18">
      <c r="A395" s="132"/>
      <c r="B395" s="132"/>
      <c r="C395" s="132"/>
      <c r="D395" s="132"/>
      <c r="E395" s="132"/>
      <c r="F395" s="132"/>
      <c r="G395" s="132"/>
      <c r="H395" s="132"/>
      <c r="I395" s="132"/>
      <c r="J395" s="132"/>
      <c r="K395" s="132"/>
      <c r="L395" s="132"/>
      <c r="M395" s="132"/>
      <c r="N395" s="132"/>
      <c r="O395" s="132"/>
      <c r="P395" s="132"/>
      <c r="Q395" s="132"/>
      <c r="R395" s="132"/>
    </row>
    <row r="396" spans="1:18">
      <c r="A396" s="132"/>
      <c r="B396" s="132"/>
      <c r="C396" s="132"/>
      <c r="D396" s="132"/>
      <c r="E396" s="132"/>
      <c r="F396" s="132"/>
      <c r="G396" s="132"/>
      <c r="H396" s="132"/>
      <c r="I396" s="132"/>
      <c r="J396" s="132"/>
      <c r="K396" s="132"/>
      <c r="L396" s="132"/>
      <c r="M396" s="132"/>
      <c r="N396" s="132"/>
      <c r="O396" s="132"/>
      <c r="P396" s="132"/>
      <c r="Q396" s="132"/>
      <c r="R396" s="132"/>
    </row>
    <row r="397" spans="1:18">
      <c r="A397" s="132"/>
      <c r="B397" s="132"/>
      <c r="C397" s="132"/>
      <c r="D397" s="132"/>
      <c r="E397" s="132"/>
      <c r="F397" s="132"/>
      <c r="G397" s="132"/>
      <c r="H397" s="132"/>
      <c r="I397" s="132"/>
      <c r="J397" s="132"/>
      <c r="K397" s="132"/>
      <c r="L397" s="132"/>
      <c r="M397" s="132"/>
      <c r="N397" s="132"/>
      <c r="O397" s="132"/>
      <c r="P397" s="132"/>
      <c r="Q397" s="132"/>
      <c r="R397" s="132"/>
    </row>
    <row r="398" spans="1:18">
      <c r="A398" s="132"/>
      <c r="B398" s="132"/>
      <c r="C398" s="132"/>
      <c r="D398" s="132"/>
      <c r="E398" s="132"/>
      <c r="F398" s="132"/>
      <c r="G398" s="132"/>
      <c r="H398" s="132"/>
      <c r="I398" s="132"/>
      <c r="J398" s="132"/>
      <c r="K398" s="132"/>
      <c r="L398" s="132"/>
      <c r="M398" s="132"/>
      <c r="N398" s="132"/>
      <c r="O398" s="132"/>
      <c r="P398" s="132"/>
      <c r="Q398" s="132"/>
      <c r="R398" s="132"/>
    </row>
    <row r="399" spans="1:18">
      <c r="A399" s="132"/>
      <c r="B399" s="132"/>
      <c r="C399" s="132"/>
      <c r="D399" s="132"/>
      <c r="E399" s="132"/>
      <c r="F399" s="132"/>
      <c r="G399" s="132"/>
      <c r="H399" s="132"/>
      <c r="I399" s="132"/>
      <c r="J399" s="132"/>
      <c r="K399" s="132"/>
      <c r="L399" s="132"/>
      <c r="M399" s="132"/>
      <c r="N399" s="132"/>
      <c r="O399" s="132"/>
      <c r="P399" s="132"/>
      <c r="Q399" s="132"/>
      <c r="R399" s="132"/>
    </row>
    <row r="400" spans="1:18">
      <c r="A400" s="132"/>
      <c r="B400" s="132"/>
      <c r="C400" s="132"/>
      <c r="D400" s="132"/>
      <c r="E400" s="132"/>
      <c r="F400" s="132"/>
      <c r="G400" s="132"/>
      <c r="H400" s="132"/>
      <c r="I400" s="132"/>
      <c r="J400" s="132"/>
      <c r="K400" s="132"/>
      <c r="L400" s="132"/>
      <c r="M400" s="132"/>
      <c r="N400" s="132"/>
      <c r="O400" s="132"/>
      <c r="P400" s="132"/>
      <c r="Q400" s="132"/>
      <c r="R400" s="132"/>
    </row>
    <row r="401" spans="1:18">
      <c r="A401" s="132"/>
      <c r="B401" s="132"/>
      <c r="C401" s="132"/>
      <c r="D401" s="132"/>
      <c r="E401" s="132"/>
      <c r="F401" s="132"/>
      <c r="G401" s="132"/>
      <c r="H401" s="132"/>
      <c r="I401" s="132"/>
      <c r="J401" s="132"/>
      <c r="K401" s="132"/>
      <c r="L401" s="132"/>
      <c r="M401" s="132"/>
      <c r="N401" s="132"/>
      <c r="O401" s="132"/>
      <c r="P401" s="132"/>
      <c r="Q401" s="132"/>
      <c r="R401" s="132"/>
    </row>
    <row r="402" spans="1:18">
      <c r="A402" s="132"/>
      <c r="B402" s="132"/>
      <c r="C402" s="132"/>
      <c r="D402" s="132"/>
      <c r="E402" s="132"/>
      <c r="F402" s="132"/>
      <c r="G402" s="132"/>
      <c r="H402" s="132"/>
      <c r="I402" s="132"/>
      <c r="J402" s="132"/>
      <c r="K402" s="132"/>
      <c r="L402" s="132"/>
      <c r="M402" s="132"/>
      <c r="N402" s="132"/>
      <c r="O402" s="132"/>
      <c r="P402" s="132"/>
      <c r="Q402" s="132"/>
      <c r="R402" s="132"/>
    </row>
    <row r="403" spans="1:18">
      <c r="A403" s="132"/>
      <c r="B403" s="132"/>
      <c r="C403" s="132"/>
      <c r="D403" s="132"/>
      <c r="E403" s="132"/>
      <c r="F403" s="132"/>
      <c r="G403" s="132"/>
      <c r="H403" s="132"/>
      <c r="I403" s="132"/>
      <c r="J403" s="132"/>
      <c r="K403" s="132"/>
      <c r="L403" s="132"/>
      <c r="M403" s="132"/>
      <c r="N403" s="132"/>
      <c r="O403" s="132"/>
      <c r="P403" s="132"/>
      <c r="Q403" s="132"/>
      <c r="R403" s="132"/>
    </row>
    <row r="404" spans="1:18">
      <c r="A404" s="132"/>
      <c r="B404" s="132"/>
      <c r="C404" s="132"/>
      <c r="D404" s="132"/>
      <c r="E404" s="132"/>
      <c r="F404" s="132"/>
      <c r="G404" s="132"/>
      <c r="H404" s="132"/>
      <c r="I404" s="132"/>
      <c r="J404" s="132"/>
      <c r="K404" s="132"/>
      <c r="L404" s="132"/>
      <c r="M404" s="132"/>
      <c r="N404" s="132"/>
      <c r="O404" s="132"/>
      <c r="P404" s="132"/>
      <c r="Q404" s="132"/>
      <c r="R404" s="132"/>
    </row>
    <row r="405" spans="1:18">
      <c r="A405" s="132"/>
      <c r="B405" s="132"/>
      <c r="C405" s="132"/>
      <c r="D405" s="132"/>
      <c r="E405" s="132"/>
      <c r="F405" s="132"/>
      <c r="G405" s="132"/>
      <c r="H405" s="132"/>
      <c r="I405" s="132"/>
      <c r="J405" s="132"/>
      <c r="K405" s="132"/>
      <c r="L405" s="132"/>
      <c r="M405" s="132"/>
      <c r="N405" s="132"/>
      <c r="O405" s="132"/>
      <c r="P405" s="132"/>
      <c r="Q405" s="132"/>
      <c r="R405" s="132"/>
    </row>
    <row r="406" spans="1:18">
      <c r="A406" s="132"/>
      <c r="B406" s="132"/>
      <c r="C406" s="132"/>
      <c r="D406" s="132"/>
      <c r="E406" s="132"/>
      <c r="F406" s="132"/>
      <c r="G406" s="132"/>
      <c r="H406" s="132"/>
      <c r="I406" s="132"/>
      <c r="J406" s="132"/>
      <c r="K406" s="132"/>
      <c r="L406" s="132"/>
      <c r="M406" s="132"/>
      <c r="N406" s="132"/>
      <c r="O406" s="132"/>
      <c r="P406" s="132"/>
      <c r="Q406" s="132"/>
      <c r="R406" s="132"/>
    </row>
    <row r="407" spans="1:18">
      <c r="A407" s="132"/>
      <c r="B407" s="132"/>
      <c r="C407" s="132"/>
      <c r="D407" s="132"/>
      <c r="E407" s="132"/>
      <c r="F407" s="132"/>
      <c r="G407" s="132"/>
      <c r="H407" s="132"/>
      <c r="I407" s="132"/>
      <c r="J407" s="132"/>
      <c r="K407" s="132"/>
      <c r="L407" s="132"/>
      <c r="M407" s="132"/>
      <c r="N407" s="132"/>
      <c r="O407" s="132"/>
      <c r="P407" s="132"/>
      <c r="Q407" s="132"/>
      <c r="R407" s="132"/>
    </row>
    <row r="408" spans="1:18">
      <c r="A408" s="132"/>
      <c r="B408" s="132"/>
      <c r="C408" s="132"/>
      <c r="D408" s="132"/>
      <c r="E408" s="132"/>
      <c r="F408" s="132"/>
      <c r="G408" s="132"/>
      <c r="H408" s="132"/>
      <c r="I408" s="132"/>
      <c r="J408" s="132"/>
      <c r="K408" s="132"/>
      <c r="L408" s="132"/>
      <c r="M408" s="132"/>
      <c r="N408" s="132"/>
      <c r="O408" s="132"/>
      <c r="P408" s="132"/>
      <c r="Q408" s="132"/>
      <c r="R408" s="132"/>
    </row>
    <row r="409" spans="1:18">
      <c r="A409" s="132"/>
      <c r="B409" s="132"/>
      <c r="C409" s="132"/>
      <c r="D409" s="132"/>
      <c r="E409" s="132"/>
      <c r="F409" s="132"/>
      <c r="G409" s="132"/>
      <c r="H409" s="132"/>
      <c r="I409" s="132"/>
      <c r="J409" s="132"/>
      <c r="K409" s="132"/>
      <c r="L409" s="132"/>
      <c r="M409" s="132"/>
      <c r="N409" s="132"/>
      <c r="O409" s="132"/>
      <c r="P409" s="132"/>
      <c r="Q409" s="132"/>
      <c r="R409" s="132"/>
    </row>
    <row r="410" spans="1:18">
      <c r="A410" s="132"/>
      <c r="B410" s="132"/>
      <c r="C410" s="132"/>
      <c r="D410" s="132"/>
      <c r="E410" s="132"/>
      <c r="F410" s="132"/>
      <c r="G410" s="132"/>
      <c r="H410" s="132"/>
      <c r="I410" s="132"/>
      <c r="J410" s="132"/>
      <c r="K410" s="132"/>
      <c r="L410" s="132"/>
      <c r="M410" s="132"/>
      <c r="N410" s="132"/>
      <c r="O410" s="132"/>
      <c r="P410" s="132"/>
      <c r="Q410" s="132"/>
      <c r="R410" s="132"/>
    </row>
    <row r="411" spans="1:18">
      <c r="A411" s="132"/>
      <c r="B411" s="132"/>
      <c r="C411" s="132"/>
      <c r="D411" s="132"/>
      <c r="E411" s="132"/>
      <c r="F411" s="132"/>
      <c r="G411" s="132"/>
      <c r="H411" s="132"/>
      <c r="I411" s="132"/>
      <c r="J411" s="132"/>
      <c r="K411" s="132"/>
      <c r="L411" s="132"/>
      <c r="M411" s="132"/>
      <c r="N411" s="132"/>
      <c r="O411" s="132"/>
      <c r="P411" s="132"/>
      <c r="Q411" s="132"/>
      <c r="R411" s="132"/>
    </row>
    <row r="412" spans="1:18">
      <c r="A412" s="132"/>
      <c r="B412" s="132"/>
      <c r="C412" s="132"/>
      <c r="D412" s="132"/>
      <c r="E412" s="132"/>
      <c r="F412" s="132"/>
      <c r="G412" s="132"/>
      <c r="H412" s="132"/>
      <c r="I412" s="132"/>
      <c r="J412" s="132"/>
      <c r="K412" s="132"/>
      <c r="L412" s="132"/>
      <c r="M412" s="132"/>
      <c r="N412" s="132"/>
      <c r="O412" s="132"/>
      <c r="P412" s="132"/>
      <c r="Q412" s="132"/>
      <c r="R412" s="132"/>
    </row>
    <row r="413" spans="1:18">
      <c r="A413" s="132"/>
      <c r="B413" s="132"/>
      <c r="C413" s="132"/>
      <c r="D413" s="132"/>
      <c r="E413" s="132"/>
      <c r="F413" s="132"/>
      <c r="G413" s="132"/>
      <c r="H413" s="132"/>
      <c r="I413" s="132"/>
      <c r="J413" s="132"/>
      <c r="K413" s="132"/>
      <c r="L413" s="132"/>
      <c r="M413" s="132"/>
      <c r="N413" s="132"/>
      <c r="O413" s="132"/>
      <c r="P413" s="132"/>
      <c r="Q413" s="132"/>
      <c r="R413" s="132"/>
    </row>
    <row r="414" spans="1:18">
      <c r="A414" s="132"/>
      <c r="B414" s="132"/>
      <c r="C414" s="132"/>
      <c r="D414" s="132"/>
      <c r="E414" s="132"/>
      <c r="F414" s="132"/>
      <c r="G414" s="132"/>
      <c r="H414" s="132"/>
      <c r="I414" s="132"/>
      <c r="J414" s="132"/>
      <c r="K414" s="132"/>
      <c r="L414" s="132"/>
      <c r="M414" s="132"/>
      <c r="N414" s="132"/>
      <c r="O414" s="132"/>
      <c r="P414" s="132"/>
      <c r="Q414" s="132"/>
      <c r="R414" s="132"/>
    </row>
    <row r="415" spans="1:18">
      <c r="A415" s="132"/>
      <c r="B415" s="132"/>
      <c r="C415" s="132"/>
      <c r="D415" s="132"/>
      <c r="E415" s="132"/>
      <c r="F415" s="132"/>
      <c r="G415" s="132"/>
      <c r="H415" s="132"/>
      <c r="I415" s="132"/>
      <c r="J415" s="132"/>
      <c r="K415" s="132"/>
      <c r="L415" s="132"/>
      <c r="M415" s="132"/>
      <c r="N415" s="132"/>
      <c r="O415" s="132"/>
      <c r="P415" s="132"/>
      <c r="Q415" s="132"/>
      <c r="R415" s="132"/>
    </row>
    <row r="416" spans="1:18">
      <c r="A416" s="132"/>
      <c r="B416" s="132"/>
      <c r="C416" s="132"/>
      <c r="D416" s="132"/>
      <c r="E416" s="132"/>
      <c r="F416" s="132"/>
      <c r="G416" s="132"/>
      <c r="H416" s="132"/>
      <c r="I416" s="132"/>
      <c r="J416" s="132"/>
      <c r="K416" s="132"/>
      <c r="L416" s="132"/>
      <c r="M416" s="132"/>
      <c r="N416" s="132"/>
      <c r="O416" s="132"/>
      <c r="P416" s="132"/>
      <c r="Q416" s="132"/>
      <c r="R416" s="132"/>
    </row>
    <row r="417" spans="1:18">
      <c r="A417" s="132"/>
      <c r="B417" s="132"/>
      <c r="C417" s="132"/>
      <c r="D417" s="132"/>
      <c r="E417" s="132"/>
      <c r="F417" s="132"/>
      <c r="G417" s="132"/>
      <c r="H417" s="132"/>
      <c r="I417" s="132"/>
      <c r="J417" s="132"/>
      <c r="K417" s="132"/>
      <c r="L417" s="132"/>
      <c r="M417" s="132"/>
      <c r="N417" s="132"/>
      <c r="O417" s="132"/>
      <c r="P417" s="132"/>
      <c r="Q417" s="132"/>
      <c r="R417" s="132"/>
    </row>
    <row r="418" spans="1:18">
      <c r="A418" s="132"/>
      <c r="B418" s="132"/>
      <c r="C418" s="132"/>
      <c r="D418" s="132"/>
      <c r="E418" s="132"/>
      <c r="F418" s="132"/>
      <c r="G418" s="132"/>
      <c r="H418" s="132"/>
      <c r="I418" s="132"/>
      <c r="J418" s="132"/>
      <c r="K418" s="132"/>
      <c r="L418" s="132"/>
      <c r="M418" s="132"/>
      <c r="N418" s="132"/>
      <c r="O418" s="132"/>
      <c r="P418" s="132"/>
      <c r="Q418" s="132"/>
      <c r="R418" s="132"/>
    </row>
    <row r="419" spans="1:18">
      <c r="A419" s="132"/>
      <c r="B419" s="132"/>
      <c r="C419" s="132"/>
      <c r="D419" s="132"/>
      <c r="E419" s="132"/>
      <c r="F419" s="132"/>
      <c r="G419" s="132"/>
      <c r="H419" s="132"/>
      <c r="I419" s="132"/>
      <c r="J419" s="132"/>
      <c r="K419" s="132"/>
      <c r="L419" s="132"/>
      <c r="M419" s="132"/>
      <c r="N419" s="132"/>
      <c r="O419" s="132"/>
      <c r="P419" s="132"/>
      <c r="Q419" s="132"/>
      <c r="R419" s="132"/>
    </row>
    <row r="420" spans="1:18">
      <c r="A420" s="132"/>
      <c r="B420" s="132"/>
      <c r="C420" s="132"/>
      <c r="D420" s="132"/>
      <c r="E420" s="132"/>
      <c r="F420" s="132"/>
      <c r="G420" s="132"/>
      <c r="H420" s="132"/>
      <c r="I420" s="132"/>
      <c r="J420" s="132"/>
      <c r="K420" s="132"/>
      <c r="L420" s="132"/>
      <c r="M420" s="132"/>
      <c r="N420" s="132"/>
      <c r="O420" s="132"/>
      <c r="P420" s="132"/>
      <c r="Q420" s="132"/>
      <c r="R420" s="132"/>
    </row>
    <row r="421" spans="1:18">
      <c r="A421" s="132"/>
      <c r="B421" s="132"/>
      <c r="C421" s="132"/>
      <c r="D421" s="132"/>
      <c r="E421" s="132"/>
      <c r="F421" s="132"/>
      <c r="G421" s="132"/>
      <c r="H421" s="132"/>
      <c r="I421" s="132"/>
      <c r="J421" s="132"/>
      <c r="K421" s="132"/>
      <c r="L421" s="132"/>
      <c r="M421" s="132"/>
      <c r="N421" s="132"/>
      <c r="O421" s="132"/>
      <c r="P421" s="132"/>
      <c r="Q421" s="132"/>
      <c r="R421" s="132"/>
    </row>
    <row r="422" spans="1:18">
      <c r="A422" s="132"/>
      <c r="B422" s="132"/>
      <c r="C422" s="132"/>
      <c r="D422" s="132"/>
      <c r="E422" s="132"/>
      <c r="F422" s="132"/>
      <c r="G422" s="132"/>
      <c r="H422" s="132"/>
      <c r="I422" s="132"/>
      <c r="J422" s="132"/>
      <c r="K422" s="132"/>
      <c r="L422" s="132"/>
      <c r="M422" s="132"/>
      <c r="N422" s="132"/>
      <c r="O422" s="132"/>
      <c r="P422" s="132"/>
      <c r="Q422" s="132"/>
      <c r="R422" s="132"/>
    </row>
    <row r="423" spans="1:18">
      <c r="A423" s="132"/>
      <c r="B423" s="132"/>
      <c r="C423" s="132"/>
      <c r="D423" s="132"/>
      <c r="E423" s="132"/>
      <c r="F423" s="132"/>
      <c r="G423" s="132"/>
      <c r="H423" s="132"/>
      <c r="I423" s="132"/>
      <c r="J423" s="132"/>
      <c r="K423" s="132"/>
      <c r="L423" s="132"/>
      <c r="M423" s="132"/>
      <c r="N423" s="132"/>
      <c r="O423" s="132"/>
      <c r="P423" s="132"/>
      <c r="Q423" s="132"/>
      <c r="R423" s="132"/>
    </row>
    <row r="424" spans="1:18">
      <c r="A424" s="132"/>
      <c r="B424" s="132"/>
      <c r="C424" s="132"/>
      <c r="D424" s="132"/>
      <c r="E424" s="132"/>
      <c r="F424" s="132"/>
      <c r="G424" s="132"/>
      <c r="H424" s="132"/>
      <c r="I424" s="132"/>
      <c r="J424" s="132"/>
      <c r="K424" s="132"/>
      <c r="L424" s="132"/>
      <c r="M424" s="132"/>
      <c r="N424" s="132"/>
      <c r="O424" s="132"/>
      <c r="P424" s="132"/>
      <c r="Q424" s="132"/>
      <c r="R424" s="132"/>
    </row>
    <row r="425" spans="1:18">
      <c r="A425" s="132"/>
      <c r="B425" s="132"/>
      <c r="C425" s="132"/>
      <c r="D425" s="132"/>
      <c r="E425" s="132"/>
      <c r="F425" s="132"/>
      <c r="G425" s="132"/>
      <c r="H425" s="132"/>
      <c r="I425" s="132"/>
      <c r="J425" s="132"/>
      <c r="K425" s="132"/>
      <c r="L425" s="132"/>
      <c r="M425" s="132"/>
      <c r="N425" s="132"/>
      <c r="O425" s="132"/>
      <c r="P425" s="132"/>
      <c r="Q425" s="132"/>
      <c r="R425" s="132"/>
    </row>
    <row r="426" spans="1:18">
      <c r="A426" s="132"/>
      <c r="B426" s="132"/>
      <c r="C426" s="132"/>
      <c r="D426" s="132"/>
      <c r="E426" s="132"/>
      <c r="F426" s="132"/>
      <c r="G426" s="132"/>
      <c r="H426" s="132"/>
      <c r="I426" s="132"/>
      <c r="J426" s="132"/>
      <c r="K426" s="132"/>
      <c r="L426" s="132"/>
      <c r="M426" s="132"/>
      <c r="N426" s="132"/>
      <c r="O426" s="132"/>
      <c r="P426" s="132"/>
      <c r="Q426" s="132"/>
      <c r="R426" s="132"/>
    </row>
    <row r="427" spans="1:18">
      <c r="A427" s="132"/>
      <c r="B427" s="132"/>
      <c r="C427" s="132"/>
      <c r="D427" s="132"/>
      <c r="E427" s="132"/>
      <c r="F427" s="132"/>
      <c r="G427" s="132"/>
      <c r="H427" s="132"/>
      <c r="I427" s="132"/>
      <c r="J427" s="132"/>
      <c r="K427" s="132"/>
      <c r="L427" s="132"/>
      <c r="M427" s="132"/>
      <c r="N427" s="132"/>
      <c r="O427" s="132"/>
      <c r="P427" s="132"/>
      <c r="Q427" s="132"/>
      <c r="R427" s="132"/>
    </row>
    <row r="428" spans="1:18">
      <c r="A428" s="132"/>
      <c r="B428" s="132"/>
      <c r="C428" s="132"/>
      <c r="D428" s="132"/>
      <c r="E428" s="132"/>
      <c r="F428" s="132"/>
      <c r="G428" s="132"/>
      <c r="H428" s="132"/>
      <c r="I428" s="132"/>
      <c r="J428" s="132"/>
      <c r="K428" s="132"/>
      <c r="L428" s="132"/>
      <c r="M428" s="132"/>
      <c r="N428" s="132"/>
      <c r="O428" s="132"/>
      <c r="P428" s="132"/>
      <c r="Q428" s="132"/>
      <c r="R428" s="132"/>
    </row>
    <row r="429" spans="1:18">
      <c r="A429" s="132"/>
      <c r="B429" s="132"/>
      <c r="C429" s="132"/>
      <c r="D429" s="132"/>
      <c r="E429" s="132"/>
      <c r="F429" s="132"/>
      <c r="G429" s="132"/>
      <c r="H429" s="132"/>
      <c r="I429" s="132"/>
      <c r="J429" s="132"/>
      <c r="K429" s="132"/>
      <c r="L429" s="132"/>
      <c r="M429" s="132"/>
      <c r="N429" s="132"/>
      <c r="O429" s="132"/>
      <c r="P429" s="132"/>
      <c r="Q429" s="132"/>
      <c r="R429" s="132"/>
    </row>
    <row r="430" spans="1:18">
      <c r="A430" s="132"/>
      <c r="B430" s="132"/>
      <c r="C430" s="132"/>
      <c r="D430" s="132"/>
      <c r="E430" s="132"/>
      <c r="F430" s="132"/>
      <c r="G430" s="132"/>
      <c r="H430" s="132"/>
      <c r="I430" s="132"/>
      <c r="J430" s="132"/>
      <c r="K430" s="132"/>
      <c r="L430" s="132"/>
      <c r="M430" s="132"/>
      <c r="N430" s="132"/>
      <c r="O430" s="132"/>
      <c r="P430" s="132"/>
      <c r="Q430" s="132"/>
      <c r="R430" s="132"/>
    </row>
    <row r="431" spans="1:18">
      <c r="A431" s="132"/>
      <c r="B431" s="132"/>
      <c r="C431" s="132"/>
      <c r="D431" s="132"/>
      <c r="E431" s="132"/>
      <c r="F431" s="132"/>
      <c r="G431" s="132"/>
      <c r="H431" s="132"/>
      <c r="I431" s="132"/>
      <c r="J431" s="132"/>
      <c r="K431" s="132"/>
      <c r="L431" s="132"/>
      <c r="M431" s="132"/>
      <c r="N431" s="132"/>
      <c r="O431" s="132"/>
      <c r="P431" s="132"/>
      <c r="Q431" s="132"/>
      <c r="R431" s="132"/>
    </row>
    <row r="432" spans="1:18">
      <c r="A432" s="132"/>
      <c r="B432" s="132"/>
      <c r="C432" s="132"/>
      <c r="D432" s="132"/>
      <c r="E432" s="132"/>
      <c r="F432" s="132"/>
      <c r="G432" s="132"/>
      <c r="H432" s="132"/>
      <c r="I432" s="132"/>
      <c r="J432" s="132"/>
      <c r="K432" s="132"/>
      <c r="L432" s="132"/>
      <c r="M432" s="132"/>
      <c r="N432" s="132"/>
      <c r="O432" s="132"/>
      <c r="P432" s="132"/>
      <c r="Q432" s="132"/>
      <c r="R432" s="132"/>
    </row>
    <row r="433" spans="1:18">
      <c r="A433" s="132"/>
      <c r="B433" s="132"/>
      <c r="C433" s="132"/>
      <c r="D433" s="132"/>
      <c r="E433" s="132"/>
      <c r="F433" s="132"/>
      <c r="G433" s="132"/>
      <c r="H433" s="132"/>
      <c r="I433" s="132"/>
      <c r="J433" s="132"/>
      <c r="K433" s="132"/>
      <c r="L433" s="132"/>
      <c r="M433" s="132"/>
      <c r="N433" s="132"/>
      <c r="O433" s="132"/>
      <c r="P433" s="132"/>
      <c r="Q433" s="132"/>
      <c r="R433" s="132"/>
    </row>
    <row r="434" spans="1:18">
      <c r="A434" s="132"/>
      <c r="B434" s="132"/>
      <c r="C434" s="132"/>
      <c r="D434" s="132"/>
      <c r="E434" s="132"/>
      <c r="F434" s="132"/>
      <c r="G434" s="132"/>
      <c r="H434" s="132"/>
      <c r="I434" s="132"/>
      <c r="J434" s="132"/>
      <c r="K434" s="132"/>
      <c r="L434" s="132"/>
      <c r="M434" s="132"/>
      <c r="N434" s="132"/>
      <c r="O434" s="132"/>
      <c r="P434" s="132"/>
      <c r="Q434" s="132"/>
      <c r="R434" s="132"/>
    </row>
    <row r="435" spans="1:18">
      <c r="A435" s="132"/>
      <c r="B435" s="132"/>
      <c r="C435" s="132"/>
      <c r="D435" s="132"/>
      <c r="E435" s="132"/>
      <c r="F435" s="132"/>
      <c r="G435" s="132"/>
      <c r="H435" s="132"/>
      <c r="I435" s="132"/>
      <c r="J435" s="132"/>
      <c r="K435" s="132"/>
      <c r="L435" s="132"/>
      <c r="M435" s="132"/>
      <c r="N435" s="132"/>
      <c r="O435" s="132"/>
      <c r="P435" s="132"/>
      <c r="Q435" s="132"/>
      <c r="R435" s="132"/>
    </row>
    <row r="436" spans="1:18">
      <c r="A436" s="132"/>
      <c r="B436" s="132"/>
      <c r="C436" s="132"/>
      <c r="D436" s="132"/>
      <c r="E436" s="132"/>
      <c r="F436" s="132"/>
      <c r="G436" s="132"/>
      <c r="H436" s="132"/>
      <c r="I436" s="132"/>
      <c r="J436" s="132"/>
      <c r="K436" s="132"/>
      <c r="L436" s="132"/>
      <c r="M436" s="132"/>
      <c r="N436" s="132"/>
      <c r="O436" s="132"/>
      <c r="P436" s="132"/>
      <c r="Q436" s="132"/>
      <c r="R436" s="132"/>
    </row>
    <row r="437" spans="1:18">
      <c r="A437" s="132"/>
      <c r="B437" s="132"/>
      <c r="C437" s="132"/>
      <c r="D437" s="132"/>
      <c r="E437" s="132"/>
      <c r="F437" s="132"/>
      <c r="G437" s="132"/>
      <c r="H437" s="132"/>
      <c r="I437" s="132"/>
      <c r="J437" s="132"/>
      <c r="K437" s="132"/>
      <c r="L437" s="132"/>
      <c r="M437" s="132"/>
      <c r="N437" s="132"/>
      <c r="O437" s="132"/>
      <c r="P437" s="132"/>
      <c r="Q437" s="132"/>
      <c r="R437" s="132"/>
    </row>
    <row r="438" spans="1:18">
      <c r="A438" s="132"/>
      <c r="B438" s="132"/>
      <c r="C438" s="132"/>
      <c r="D438" s="132"/>
      <c r="E438" s="132"/>
      <c r="F438" s="132"/>
      <c r="G438" s="132"/>
      <c r="H438" s="132"/>
      <c r="I438" s="132"/>
      <c r="J438" s="132"/>
      <c r="K438" s="132"/>
      <c r="L438" s="132"/>
      <c r="M438" s="132"/>
      <c r="N438" s="132"/>
      <c r="O438" s="132"/>
      <c r="P438" s="132"/>
      <c r="Q438" s="132"/>
      <c r="R438" s="132"/>
    </row>
    <row r="439" spans="1:18">
      <c r="A439" s="132"/>
      <c r="B439" s="132"/>
      <c r="C439" s="132"/>
      <c r="D439" s="132"/>
      <c r="E439" s="132"/>
      <c r="F439" s="132"/>
      <c r="G439" s="132"/>
      <c r="H439" s="132"/>
      <c r="I439" s="132"/>
      <c r="J439" s="132"/>
      <c r="K439" s="132"/>
      <c r="L439" s="132"/>
      <c r="M439" s="132"/>
      <c r="N439" s="132"/>
      <c r="O439" s="132"/>
      <c r="P439" s="132"/>
      <c r="Q439" s="132"/>
      <c r="R439" s="132"/>
    </row>
    <row r="440" spans="1:18">
      <c r="A440" s="132"/>
      <c r="B440" s="132"/>
      <c r="C440" s="132"/>
      <c r="D440" s="132"/>
      <c r="E440" s="132"/>
      <c r="F440" s="132"/>
      <c r="G440" s="132"/>
      <c r="H440" s="132"/>
      <c r="I440" s="132"/>
      <c r="J440" s="132"/>
      <c r="K440" s="132"/>
      <c r="L440" s="132"/>
      <c r="M440" s="132"/>
      <c r="N440" s="132"/>
      <c r="O440" s="132"/>
      <c r="P440" s="132"/>
      <c r="Q440" s="132"/>
      <c r="R440" s="132"/>
    </row>
    <row r="441" spans="1:18">
      <c r="A441" s="132"/>
      <c r="B441" s="132"/>
      <c r="C441" s="132"/>
      <c r="D441" s="132"/>
      <c r="E441" s="132"/>
      <c r="F441" s="132"/>
      <c r="G441" s="132"/>
      <c r="H441" s="132"/>
      <c r="I441" s="132"/>
      <c r="J441" s="132"/>
      <c r="K441" s="132"/>
      <c r="L441" s="132"/>
      <c r="M441" s="132"/>
      <c r="N441" s="132"/>
      <c r="O441" s="132"/>
      <c r="P441" s="132"/>
      <c r="Q441" s="132"/>
      <c r="R441" s="132"/>
    </row>
    <row r="442" spans="1:18">
      <c r="A442" s="132"/>
      <c r="B442" s="132"/>
      <c r="C442" s="132"/>
      <c r="D442" s="132"/>
      <c r="E442" s="132"/>
      <c r="F442" s="132"/>
      <c r="G442" s="132"/>
      <c r="H442" s="132"/>
      <c r="I442" s="132"/>
      <c r="J442" s="132"/>
      <c r="K442" s="132"/>
      <c r="L442" s="132"/>
      <c r="M442" s="132"/>
      <c r="N442" s="132"/>
      <c r="O442" s="132"/>
      <c r="P442" s="132"/>
      <c r="Q442" s="132"/>
      <c r="R442" s="132"/>
    </row>
    <row r="443" spans="1:18">
      <c r="A443" s="132"/>
      <c r="B443" s="132"/>
      <c r="C443" s="132"/>
      <c r="D443" s="132"/>
      <c r="E443" s="132"/>
      <c r="F443" s="132"/>
      <c r="G443" s="132"/>
      <c r="H443" s="132"/>
      <c r="I443" s="132"/>
      <c r="J443" s="132"/>
      <c r="K443" s="132"/>
      <c r="L443" s="132"/>
      <c r="M443" s="132"/>
      <c r="N443" s="132"/>
      <c r="O443" s="132"/>
      <c r="P443" s="132"/>
      <c r="Q443" s="132"/>
      <c r="R443" s="132"/>
    </row>
    <row r="444" spans="1:18">
      <c r="A444" s="132"/>
      <c r="B444" s="132"/>
      <c r="C444" s="132"/>
      <c r="D444" s="132"/>
      <c r="E444" s="132"/>
      <c r="F444" s="132"/>
      <c r="G444" s="132"/>
      <c r="H444" s="132"/>
      <c r="I444" s="132"/>
      <c r="J444" s="132"/>
      <c r="K444" s="132"/>
      <c r="L444" s="132"/>
      <c r="M444" s="132"/>
      <c r="N444" s="132"/>
      <c r="O444" s="132"/>
      <c r="P444" s="132"/>
      <c r="Q444" s="132"/>
      <c r="R444" s="132"/>
    </row>
    <row r="445" spans="1:18">
      <c r="A445" s="132"/>
      <c r="B445" s="132"/>
      <c r="C445" s="132"/>
      <c r="D445" s="132"/>
      <c r="E445" s="132"/>
      <c r="F445" s="132"/>
      <c r="G445" s="132"/>
      <c r="H445" s="132"/>
      <c r="I445" s="132"/>
      <c r="J445" s="132"/>
      <c r="K445" s="132"/>
      <c r="L445" s="132"/>
      <c r="M445" s="132"/>
      <c r="N445" s="132"/>
      <c r="O445" s="132"/>
      <c r="P445" s="132"/>
      <c r="Q445" s="132"/>
      <c r="R445" s="132"/>
    </row>
    <row r="446" spans="1:18">
      <c r="A446" s="132"/>
      <c r="B446" s="132"/>
      <c r="C446" s="132"/>
      <c r="D446" s="132"/>
      <c r="E446" s="132"/>
      <c r="F446" s="132"/>
      <c r="G446" s="132"/>
      <c r="H446" s="132"/>
      <c r="I446" s="132"/>
      <c r="J446" s="132"/>
      <c r="K446" s="132"/>
      <c r="L446" s="132"/>
      <c r="M446" s="132"/>
      <c r="N446" s="132"/>
      <c r="O446" s="132"/>
      <c r="P446" s="132"/>
      <c r="Q446" s="132"/>
      <c r="R446" s="132"/>
    </row>
    <row r="447" spans="1:18">
      <c r="A447" s="132"/>
      <c r="B447" s="132"/>
      <c r="C447" s="132"/>
      <c r="D447" s="132"/>
      <c r="E447" s="132"/>
      <c r="F447" s="132"/>
      <c r="G447" s="132"/>
      <c r="H447" s="132"/>
      <c r="I447" s="132"/>
      <c r="J447" s="132"/>
      <c r="K447" s="132"/>
      <c r="L447" s="132"/>
      <c r="M447" s="132"/>
      <c r="N447" s="132"/>
      <c r="O447" s="132"/>
      <c r="P447" s="132"/>
      <c r="Q447" s="132"/>
      <c r="R447" s="132"/>
    </row>
    <row r="448" spans="1:18">
      <c r="A448" s="132"/>
      <c r="B448" s="132"/>
      <c r="C448" s="132"/>
      <c r="D448" s="132"/>
      <c r="E448" s="132"/>
      <c r="F448" s="132"/>
      <c r="G448" s="132"/>
      <c r="H448" s="132"/>
      <c r="I448" s="132"/>
      <c r="J448" s="132"/>
      <c r="K448" s="132"/>
      <c r="L448" s="132"/>
      <c r="M448" s="132"/>
      <c r="N448" s="132"/>
      <c r="O448" s="132"/>
      <c r="P448" s="132"/>
      <c r="Q448" s="132"/>
      <c r="R448" s="132"/>
    </row>
    <row r="449" spans="1:18">
      <c r="A449" s="132"/>
      <c r="B449" s="132"/>
      <c r="C449" s="132"/>
      <c r="D449" s="132"/>
      <c r="E449" s="132"/>
      <c r="F449" s="132"/>
      <c r="G449" s="132"/>
      <c r="H449" s="132"/>
      <c r="I449" s="132"/>
      <c r="J449" s="132"/>
      <c r="K449" s="132"/>
      <c r="L449" s="132"/>
      <c r="M449" s="132"/>
      <c r="N449" s="132"/>
      <c r="O449" s="132"/>
      <c r="P449" s="132"/>
      <c r="Q449" s="132"/>
      <c r="R449" s="132"/>
    </row>
    <row r="450" spans="1:18">
      <c r="A450" s="132"/>
      <c r="B450" s="132"/>
      <c r="C450" s="132"/>
      <c r="D450" s="132"/>
      <c r="E450" s="132"/>
      <c r="F450" s="132"/>
      <c r="G450" s="132"/>
      <c r="H450" s="132"/>
      <c r="I450" s="132"/>
      <c r="J450" s="132"/>
      <c r="K450" s="132"/>
      <c r="L450" s="132"/>
      <c r="M450" s="132"/>
      <c r="N450" s="132"/>
      <c r="O450" s="132"/>
      <c r="P450" s="132"/>
      <c r="Q450" s="132"/>
      <c r="R450" s="132"/>
    </row>
    <row r="451" spans="1:18">
      <c r="A451" s="132"/>
      <c r="B451" s="132"/>
      <c r="C451" s="132"/>
      <c r="D451" s="132"/>
      <c r="E451" s="132"/>
      <c r="F451" s="132"/>
      <c r="G451" s="132"/>
      <c r="H451" s="132"/>
      <c r="I451" s="132"/>
      <c r="J451" s="132"/>
      <c r="K451" s="132"/>
      <c r="L451" s="132"/>
      <c r="M451" s="132"/>
      <c r="N451" s="132"/>
      <c r="O451" s="132"/>
      <c r="P451" s="132"/>
      <c r="Q451" s="132"/>
      <c r="R451" s="132"/>
    </row>
    <row r="452" spans="1:18">
      <c r="A452" s="132"/>
      <c r="B452" s="132"/>
      <c r="C452" s="132"/>
      <c r="D452" s="132"/>
      <c r="E452" s="132"/>
      <c r="F452" s="132"/>
      <c r="G452" s="132"/>
      <c r="H452" s="132"/>
      <c r="I452" s="132"/>
      <c r="J452" s="132"/>
      <c r="K452" s="132"/>
      <c r="L452" s="132"/>
      <c r="M452" s="132"/>
      <c r="N452" s="132"/>
      <c r="O452" s="132"/>
      <c r="P452" s="132"/>
      <c r="Q452" s="132"/>
      <c r="R452" s="132"/>
    </row>
    <row r="453" spans="1:18">
      <c r="A453" s="132"/>
      <c r="B453" s="132"/>
      <c r="C453" s="132"/>
      <c r="D453" s="132"/>
      <c r="E453" s="132"/>
      <c r="F453" s="132"/>
      <c r="G453" s="132"/>
      <c r="H453" s="132"/>
      <c r="I453" s="132"/>
      <c r="J453" s="132"/>
      <c r="K453" s="132"/>
      <c r="L453" s="132"/>
      <c r="M453" s="132"/>
      <c r="N453" s="132"/>
      <c r="O453" s="132"/>
      <c r="P453" s="132"/>
      <c r="Q453" s="132"/>
      <c r="R453" s="132"/>
    </row>
    <row r="454" spans="1:18">
      <c r="A454" s="132"/>
      <c r="B454" s="132"/>
      <c r="C454" s="132"/>
      <c r="D454" s="132"/>
      <c r="E454" s="132"/>
      <c r="F454" s="132"/>
      <c r="G454" s="132"/>
      <c r="H454" s="132"/>
      <c r="I454" s="132"/>
      <c r="J454" s="132"/>
      <c r="K454" s="132"/>
      <c r="L454" s="132"/>
      <c r="M454" s="132"/>
      <c r="N454" s="132"/>
      <c r="O454" s="132"/>
      <c r="P454" s="132"/>
      <c r="Q454" s="132"/>
      <c r="R454" s="132"/>
    </row>
    <row r="455" spans="1:18">
      <c r="A455" s="132"/>
      <c r="B455" s="132"/>
      <c r="C455" s="132"/>
      <c r="D455" s="132"/>
      <c r="E455" s="132"/>
      <c r="F455" s="132"/>
      <c r="G455" s="132"/>
      <c r="H455" s="132"/>
      <c r="I455" s="132"/>
      <c r="J455" s="132"/>
      <c r="K455" s="132"/>
      <c r="L455" s="132"/>
      <c r="M455" s="132"/>
      <c r="N455" s="132"/>
      <c r="O455" s="132"/>
      <c r="P455" s="132"/>
      <c r="Q455" s="132"/>
      <c r="R455" s="132"/>
    </row>
    <row r="456" spans="1:18">
      <c r="A456" s="132"/>
      <c r="B456" s="132"/>
      <c r="C456" s="132"/>
      <c r="D456" s="132"/>
      <c r="E456" s="132"/>
      <c r="F456" s="132"/>
      <c r="G456" s="132"/>
      <c r="H456" s="132"/>
      <c r="I456" s="132"/>
      <c r="J456" s="132"/>
      <c r="K456" s="132"/>
      <c r="L456" s="132"/>
      <c r="M456" s="132"/>
      <c r="N456" s="132"/>
      <c r="O456" s="132"/>
      <c r="P456" s="132"/>
      <c r="Q456" s="132"/>
      <c r="R456" s="132"/>
    </row>
    <row r="457" spans="1:18">
      <c r="A457" s="132"/>
      <c r="B457" s="132"/>
      <c r="C457" s="132"/>
      <c r="D457" s="132"/>
      <c r="E457" s="132"/>
      <c r="F457" s="132"/>
      <c r="G457" s="132"/>
      <c r="H457" s="132"/>
      <c r="I457" s="132"/>
      <c r="J457" s="132"/>
      <c r="K457" s="132"/>
      <c r="L457" s="132"/>
      <c r="M457" s="132"/>
      <c r="N457" s="132"/>
      <c r="O457" s="132"/>
      <c r="P457" s="132"/>
      <c r="Q457" s="132"/>
      <c r="R457" s="132"/>
    </row>
    <row r="458" spans="1:18">
      <c r="A458" s="132"/>
      <c r="B458" s="132"/>
      <c r="C458" s="132"/>
      <c r="D458" s="132"/>
      <c r="E458" s="132"/>
      <c r="F458" s="132"/>
      <c r="G458" s="132"/>
      <c r="H458" s="132"/>
      <c r="I458" s="132"/>
      <c r="J458" s="132"/>
      <c r="K458" s="132"/>
      <c r="L458" s="132"/>
      <c r="M458" s="132"/>
      <c r="N458" s="132"/>
      <c r="O458" s="132"/>
      <c r="P458" s="132"/>
      <c r="Q458" s="132"/>
      <c r="R458" s="132"/>
    </row>
    <row r="459" spans="1:18">
      <c r="A459" s="132"/>
      <c r="B459" s="132"/>
      <c r="C459" s="132"/>
      <c r="D459" s="132"/>
      <c r="E459" s="132"/>
      <c r="F459" s="132"/>
      <c r="G459" s="132"/>
      <c r="H459" s="132"/>
      <c r="I459" s="132"/>
      <c r="J459" s="132"/>
      <c r="K459" s="132"/>
      <c r="L459" s="132"/>
      <c r="M459" s="132"/>
      <c r="N459" s="132"/>
      <c r="O459" s="132"/>
      <c r="P459" s="132"/>
      <c r="Q459" s="132"/>
      <c r="R459" s="132"/>
    </row>
    <row r="460" spans="1:18">
      <c r="A460" s="132"/>
      <c r="B460" s="132"/>
      <c r="C460" s="132"/>
      <c r="D460" s="132"/>
      <c r="E460" s="132"/>
      <c r="F460" s="132"/>
      <c r="G460" s="132"/>
      <c r="H460" s="132"/>
      <c r="I460" s="132"/>
      <c r="J460" s="132"/>
      <c r="K460" s="132"/>
      <c r="L460" s="132"/>
      <c r="M460" s="132"/>
      <c r="N460" s="132"/>
      <c r="O460" s="132"/>
      <c r="P460" s="132"/>
      <c r="Q460" s="132"/>
      <c r="R460" s="132"/>
    </row>
    <row r="461" spans="1:18">
      <c r="A461" s="132"/>
      <c r="B461" s="132"/>
      <c r="C461" s="132"/>
      <c r="D461" s="132"/>
      <c r="E461" s="132"/>
      <c r="F461" s="132"/>
      <c r="G461" s="132"/>
      <c r="H461" s="132"/>
      <c r="I461" s="132"/>
      <c r="J461" s="132"/>
      <c r="K461" s="132"/>
      <c r="L461" s="132"/>
      <c r="M461" s="132"/>
      <c r="N461" s="132"/>
      <c r="O461" s="132"/>
      <c r="P461" s="132"/>
      <c r="Q461" s="132"/>
      <c r="R461" s="132"/>
    </row>
    <row r="462" spans="1:18">
      <c r="A462" s="132"/>
      <c r="B462" s="132"/>
      <c r="C462" s="132"/>
      <c r="D462" s="132"/>
      <c r="E462" s="132"/>
      <c r="F462" s="132"/>
      <c r="G462" s="132"/>
      <c r="H462" s="132"/>
      <c r="I462" s="132"/>
      <c r="J462" s="132"/>
      <c r="K462" s="132"/>
      <c r="L462" s="132"/>
      <c r="M462" s="132"/>
      <c r="N462" s="132"/>
      <c r="O462" s="132"/>
      <c r="P462" s="132"/>
      <c r="Q462" s="132"/>
      <c r="R462" s="132"/>
    </row>
    <row r="463" spans="1:18">
      <c r="A463" s="132"/>
      <c r="B463" s="132"/>
      <c r="C463" s="132"/>
      <c r="D463" s="132"/>
      <c r="E463" s="132"/>
      <c r="F463" s="132"/>
      <c r="G463" s="132"/>
      <c r="H463" s="132"/>
      <c r="I463" s="132"/>
      <c r="J463" s="132"/>
      <c r="K463" s="132"/>
      <c r="L463" s="132"/>
      <c r="M463" s="132"/>
      <c r="N463" s="132"/>
      <c r="O463" s="132"/>
      <c r="P463" s="132"/>
      <c r="Q463" s="132"/>
      <c r="R463" s="132"/>
    </row>
    <row r="464" spans="1:18">
      <c r="A464" s="132"/>
      <c r="B464" s="132"/>
      <c r="C464" s="132"/>
      <c r="D464" s="132"/>
      <c r="E464" s="132"/>
      <c r="F464" s="132"/>
      <c r="G464" s="132"/>
      <c r="H464" s="132"/>
      <c r="I464" s="132"/>
      <c r="J464" s="132"/>
      <c r="K464" s="132"/>
      <c r="L464" s="132"/>
      <c r="M464" s="132"/>
      <c r="N464" s="132"/>
      <c r="O464" s="132"/>
      <c r="P464" s="132"/>
      <c r="Q464" s="132"/>
      <c r="R464" s="132"/>
    </row>
    <row r="465" spans="1:18">
      <c r="A465" s="132"/>
      <c r="B465" s="132"/>
      <c r="C465" s="132"/>
      <c r="D465" s="132"/>
      <c r="E465" s="132"/>
      <c r="F465" s="132"/>
      <c r="G465" s="132"/>
      <c r="H465" s="132"/>
      <c r="I465" s="132"/>
      <c r="J465" s="132"/>
      <c r="K465" s="132"/>
      <c r="L465" s="132"/>
      <c r="M465" s="132"/>
      <c r="N465" s="132"/>
      <c r="O465" s="132"/>
      <c r="P465" s="132"/>
      <c r="Q465" s="132"/>
      <c r="R465" s="132"/>
    </row>
    <row r="466" spans="1:18">
      <c r="A466" s="132"/>
      <c r="B466" s="132"/>
      <c r="C466" s="132"/>
      <c r="D466" s="132"/>
      <c r="E466" s="132"/>
      <c r="F466" s="132"/>
      <c r="G466" s="132"/>
      <c r="H466" s="132"/>
      <c r="I466" s="132"/>
      <c r="J466" s="132"/>
      <c r="K466" s="132"/>
      <c r="L466" s="132"/>
      <c r="M466" s="132"/>
      <c r="N466" s="132"/>
      <c r="O466" s="132"/>
      <c r="P466" s="132"/>
      <c r="Q466" s="132"/>
      <c r="R466" s="132"/>
    </row>
    <row r="467" spans="1:18">
      <c r="A467" s="132"/>
      <c r="B467" s="132"/>
      <c r="C467" s="132"/>
      <c r="D467" s="132"/>
      <c r="E467" s="132"/>
      <c r="F467" s="132"/>
      <c r="G467" s="132"/>
      <c r="H467" s="132"/>
      <c r="I467" s="132"/>
      <c r="J467" s="132"/>
      <c r="K467" s="132"/>
      <c r="L467" s="132"/>
      <c r="M467" s="132"/>
      <c r="N467" s="132"/>
      <c r="O467" s="132"/>
      <c r="P467" s="132"/>
      <c r="Q467" s="132"/>
      <c r="R467" s="132"/>
    </row>
    <row r="468" spans="1:18">
      <c r="A468" s="132"/>
      <c r="B468" s="132"/>
      <c r="C468" s="132"/>
      <c r="D468" s="132"/>
      <c r="E468" s="132"/>
      <c r="F468" s="132"/>
      <c r="G468" s="132"/>
      <c r="H468" s="132"/>
      <c r="I468" s="132"/>
      <c r="J468" s="132"/>
      <c r="K468" s="132"/>
      <c r="L468" s="132"/>
      <c r="M468" s="132"/>
      <c r="N468" s="132"/>
      <c r="O468" s="132"/>
      <c r="P468" s="132"/>
      <c r="Q468" s="132"/>
      <c r="R468" s="132"/>
    </row>
    <row r="469" spans="1:18">
      <c r="A469" s="132"/>
      <c r="B469" s="132"/>
      <c r="C469" s="132"/>
      <c r="D469" s="132"/>
      <c r="E469" s="132"/>
      <c r="F469" s="132"/>
      <c r="G469" s="132"/>
      <c r="H469" s="132"/>
      <c r="I469" s="132"/>
      <c r="J469" s="132"/>
      <c r="K469" s="132"/>
      <c r="L469" s="132"/>
      <c r="M469" s="132"/>
      <c r="N469" s="132"/>
      <c r="O469" s="132"/>
      <c r="P469" s="132"/>
      <c r="Q469" s="132"/>
      <c r="R469" s="132"/>
    </row>
    <row r="470" spans="1:18">
      <c r="A470" s="132"/>
      <c r="B470" s="132"/>
      <c r="C470" s="132"/>
      <c r="D470" s="132"/>
      <c r="E470" s="132"/>
      <c r="F470" s="132"/>
      <c r="G470" s="132"/>
      <c r="H470" s="132"/>
      <c r="I470" s="132"/>
      <c r="J470" s="132"/>
      <c r="K470" s="132"/>
      <c r="L470" s="132"/>
      <c r="M470" s="132"/>
      <c r="N470" s="132"/>
      <c r="O470" s="132"/>
      <c r="P470" s="132"/>
      <c r="Q470" s="132"/>
      <c r="R470" s="132"/>
    </row>
    <row r="471" spans="1:18">
      <c r="A471" s="132"/>
      <c r="B471" s="132"/>
      <c r="C471" s="132"/>
      <c r="D471" s="132"/>
      <c r="E471" s="132"/>
      <c r="F471" s="132"/>
      <c r="G471" s="132"/>
      <c r="H471" s="132"/>
      <c r="I471" s="132"/>
      <c r="J471" s="132"/>
      <c r="K471" s="132"/>
      <c r="L471" s="132"/>
      <c r="M471" s="132"/>
      <c r="N471" s="132"/>
      <c r="O471" s="132"/>
      <c r="P471" s="132"/>
      <c r="Q471" s="132"/>
      <c r="R471" s="132"/>
    </row>
    <row r="472" spans="1:18">
      <c r="A472" s="132"/>
      <c r="B472" s="132"/>
      <c r="C472" s="132"/>
      <c r="D472" s="132"/>
      <c r="E472" s="132"/>
      <c r="F472" s="132"/>
      <c r="G472" s="132"/>
      <c r="H472" s="132"/>
      <c r="I472" s="132"/>
      <c r="J472" s="132"/>
      <c r="K472" s="132"/>
      <c r="L472" s="132"/>
      <c r="M472" s="132"/>
      <c r="N472" s="132"/>
      <c r="O472" s="132"/>
      <c r="P472" s="132"/>
      <c r="Q472" s="132"/>
      <c r="R472" s="132"/>
    </row>
    <row r="473" spans="1:18">
      <c r="A473" s="132"/>
      <c r="B473" s="132"/>
      <c r="C473" s="132"/>
      <c r="D473" s="132"/>
      <c r="E473" s="132"/>
      <c r="F473" s="132"/>
      <c r="G473" s="132"/>
      <c r="H473" s="132"/>
      <c r="I473" s="132"/>
      <c r="J473" s="132"/>
      <c r="K473" s="132"/>
      <c r="L473" s="132"/>
      <c r="M473" s="132"/>
      <c r="N473" s="132"/>
      <c r="O473" s="132"/>
      <c r="P473" s="132"/>
      <c r="Q473" s="132"/>
      <c r="R473" s="132"/>
    </row>
    <row r="474" spans="1:18">
      <c r="A474" s="132"/>
      <c r="B474" s="132"/>
      <c r="C474" s="132"/>
      <c r="D474" s="132"/>
      <c r="E474" s="132"/>
      <c r="F474" s="132"/>
      <c r="G474" s="132"/>
      <c r="H474" s="132"/>
      <c r="I474" s="132"/>
      <c r="J474" s="132"/>
      <c r="K474" s="132"/>
      <c r="L474" s="132"/>
      <c r="M474" s="132"/>
      <c r="N474" s="132"/>
      <c r="O474" s="132"/>
      <c r="P474" s="132"/>
      <c r="Q474" s="132"/>
      <c r="R474" s="132"/>
    </row>
    <row r="475" spans="1:18">
      <c r="A475" s="132"/>
      <c r="B475" s="132"/>
      <c r="C475" s="132"/>
      <c r="D475" s="132"/>
      <c r="E475" s="132"/>
      <c r="F475" s="132"/>
      <c r="G475" s="132"/>
      <c r="H475" s="132"/>
      <c r="I475" s="132"/>
      <c r="J475" s="132"/>
      <c r="K475" s="132"/>
      <c r="L475" s="132"/>
      <c r="M475" s="132"/>
      <c r="N475" s="132"/>
      <c r="O475" s="132"/>
      <c r="P475" s="132"/>
      <c r="Q475" s="132"/>
      <c r="R475" s="132"/>
    </row>
    <row r="476" spans="1:18">
      <c r="A476" s="132"/>
      <c r="B476" s="132"/>
      <c r="C476" s="132"/>
      <c r="D476" s="132"/>
      <c r="E476" s="132"/>
      <c r="F476" s="132"/>
      <c r="G476" s="132"/>
      <c r="H476" s="132"/>
      <c r="I476" s="132"/>
      <c r="J476" s="132"/>
      <c r="K476" s="132"/>
      <c r="L476" s="132"/>
      <c r="M476" s="132"/>
      <c r="N476" s="132"/>
      <c r="O476" s="132"/>
      <c r="P476" s="132"/>
      <c r="Q476" s="132"/>
      <c r="R476" s="132"/>
    </row>
    <row r="477" spans="1:18">
      <c r="A477" s="132"/>
      <c r="B477" s="132"/>
      <c r="C477" s="132"/>
      <c r="D477" s="132"/>
      <c r="E477" s="132"/>
      <c r="F477" s="132"/>
      <c r="G477" s="132"/>
      <c r="H477" s="132"/>
      <c r="I477" s="132"/>
      <c r="J477" s="132"/>
      <c r="K477" s="132"/>
      <c r="L477" s="132"/>
      <c r="M477" s="132"/>
      <c r="N477" s="132"/>
      <c r="O477" s="132"/>
      <c r="P477" s="132"/>
      <c r="Q477" s="132"/>
      <c r="R477" s="132"/>
    </row>
    <row r="478" spans="1:18">
      <c r="A478" s="132"/>
      <c r="B478" s="132"/>
      <c r="C478" s="132"/>
      <c r="D478" s="132"/>
      <c r="E478" s="132"/>
      <c r="F478" s="132"/>
      <c r="G478" s="132"/>
      <c r="H478" s="132"/>
      <c r="I478" s="132"/>
      <c r="J478" s="132"/>
      <c r="K478" s="132"/>
      <c r="L478" s="132"/>
      <c r="M478" s="132"/>
      <c r="N478" s="132"/>
      <c r="O478" s="132"/>
      <c r="P478" s="132"/>
      <c r="Q478" s="132"/>
      <c r="R478" s="132"/>
    </row>
    <row r="479" spans="1:18">
      <c r="A479" s="132"/>
      <c r="B479" s="132"/>
      <c r="C479" s="132"/>
      <c r="D479" s="132"/>
      <c r="E479" s="132"/>
      <c r="F479" s="132"/>
      <c r="G479" s="132"/>
      <c r="H479" s="132"/>
      <c r="I479" s="132"/>
      <c r="J479" s="132"/>
      <c r="K479" s="132"/>
      <c r="L479" s="132"/>
      <c r="M479" s="132"/>
      <c r="N479" s="132"/>
      <c r="O479" s="132"/>
      <c r="P479" s="132"/>
      <c r="Q479" s="132"/>
      <c r="R479" s="132"/>
    </row>
    <row r="480" spans="1:18">
      <c r="A480" s="132"/>
      <c r="B480" s="132"/>
      <c r="C480" s="132"/>
      <c r="D480" s="132"/>
      <c r="E480" s="132"/>
      <c r="F480" s="132"/>
      <c r="G480" s="132"/>
      <c r="H480" s="132"/>
      <c r="I480" s="132"/>
      <c r="J480" s="132"/>
      <c r="K480" s="132"/>
      <c r="L480" s="132"/>
      <c r="M480" s="132"/>
      <c r="N480" s="132"/>
      <c r="O480" s="132"/>
      <c r="P480" s="132"/>
      <c r="Q480" s="132"/>
      <c r="R480" s="132"/>
    </row>
    <row r="481" spans="1:18">
      <c r="A481" s="132"/>
      <c r="B481" s="132"/>
      <c r="C481" s="132"/>
      <c r="D481" s="132"/>
      <c r="E481" s="132"/>
      <c r="F481" s="132"/>
      <c r="G481" s="132"/>
      <c r="H481" s="132"/>
      <c r="I481" s="132"/>
      <c r="J481" s="132"/>
      <c r="K481" s="132"/>
      <c r="L481" s="132"/>
      <c r="M481" s="132"/>
      <c r="N481" s="132"/>
      <c r="O481" s="132"/>
      <c r="P481" s="132"/>
      <c r="Q481" s="132"/>
      <c r="R481" s="132"/>
    </row>
    <row r="482" spans="1:18">
      <c r="A482" s="132"/>
      <c r="B482" s="132"/>
      <c r="C482" s="132"/>
      <c r="D482" s="132"/>
      <c r="E482" s="132"/>
      <c r="F482" s="132"/>
      <c r="G482" s="132"/>
      <c r="H482" s="132"/>
      <c r="I482" s="132"/>
      <c r="J482" s="132"/>
      <c r="K482" s="132"/>
      <c r="L482" s="132"/>
      <c r="M482" s="132"/>
      <c r="N482" s="132"/>
      <c r="O482" s="132"/>
      <c r="P482" s="132"/>
      <c r="Q482" s="132"/>
      <c r="R482" s="132"/>
    </row>
    <row r="483" spans="1:18">
      <c r="A483" s="132"/>
      <c r="B483" s="132"/>
      <c r="C483" s="132"/>
      <c r="D483" s="132"/>
      <c r="E483" s="132"/>
      <c r="F483" s="132"/>
      <c r="G483" s="132"/>
      <c r="H483" s="132"/>
      <c r="I483" s="132"/>
      <c r="J483" s="132"/>
      <c r="K483" s="132"/>
      <c r="L483" s="132"/>
      <c r="M483" s="132"/>
      <c r="N483" s="132"/>
      <c r="O483" s="132"/>
      <c r="P483" s="132"/>
      <c r="Q483" s="132"/>
      <c r="R483" s="132"/>
    </row>
    <row r="484" spans="1:18">
      <c r="A484" s="132"/>
      <c r="B484" s="132"/>
      <c r="C484" s="132"/>
      <c r="D484" s="132"/>
      <c r="E484" s="132"/>
      <c r="F484" s="132"/>
      <c r="G484" s="132"/>
      <c r="H484" s="132"/>
      <c r="I484" s="132"/>
      <c r="J484" s="132"/>
      <c r="K484" s="132"/>
      <c r="L484" s="132"/>
      <c r="M484" s="132"/>
      <c r="N484" s="132"/>
      <c r="O484" s="132"/>
      <c r="P484" s="132"/>
      <c r="Q484" s="132"/>
      <c r="R484" s="132"/>
    </row>
    <row r="485" spans="1:18">
      <c r="A485" s="132"/>
      <c r="B485" s="132"/>
      <c r="C485" s="132"/>
      <c r="D485" s="132"/>
      <c r="E485" s="132"/>
      <c r="F485" s="132"/>
      <c r="G485" s="132"/>
      <c r="H485" s="132"/>
      <c r="I485" s="132"/>
      <c r="J485" s="132"/>
      <c r="K485" s="132"/>
      <c r="L485" s="132"/>
      <c r="M485" s="132"/>
      <c r="N485" s="132"/>
      <c r="O485" s="132"/>
      <c r="P485" s="132"/>
      <c r="Q485" s="132"/>
      <c r="R485" s="132"/>
    </row>
    <row r="486" spans="1:18">
      <c r="A486" s="132"/>
      <c r="B486" s="132"/>
      <c r="C486" s="132"/>
      <c r="D486" s="132"/>
      <c r="E486" s="132"/>
      <c r="F486" s="132"/>
      <c r="G486" s="132"/>
      <c r="H486" s="132"/>
      <c r="I486" s="132"/>
      <c r="J486" s="132"/>
      <c r="K486" s="132"/>
      <c r="L486" s="132"/>
      <c r="M486" s="132"/>
      <c r="N486" s="132"/>
      <c r="O486" s="132"/>
      <c r="P486" s="132"/>
      <c r="Q486" s="132"/>
      <c r="R486" s="132"/>
    </row>
    <row r="487" spans="1:18">
      <c r="A487" s="132"/>
      <c r="B487" s="132"/>
      <c r="C487" s="132"/>
      <c r="D487" s="132"/>
      <c r="E487" s="132"/>
      <c r="F487" s="132"/>
      <c r="G487" s="132"/>
      <c r="H487" s="132"/>
      <c r="I487" s="132"/>
      <c r="J487" s="132"/>
      <c r="K487" s="132"/>
      <c r="L487" s="132"/>
      <c r="M487" s="132"/>
      <c r="N487" s="132"/>
      <c r="O487" s="132"/>
      <c r="P487" s="132"/>
      <c r="Q487" s="132"/>
      <c r="R487" s="132"/>
    </row>
    <row r="488" spans="1:18">
      <c r="A488" s="132"/>
      <c r="B488" s="132"/>
      <c r="C488" s="132"/>
      <c r="D488" s="132"/>
      <c r="E488" s="132"/>
      <c r="F488" s="132"/>
      <c r="G488" s="132"/>
      <c r="H488" s="132"/>
      <c r="I488" s="132"/>
      <c r="J488" s="132"/>
      <c r="K488" s="132"/>
      <c r="L488" s="132"/>
      <c r="M488" s="132"/>
      <c r="N488" s="132"/>
      <c r="O488" s="132"/>
      <c r="P488" s="132"/>
      <c r="Q488" s="132"/>
      <c r="R488" s="132"/>
    </row>
    <row r="489" spans="1:18">
      <c r="A489" s="132"/>
      <c r="B489" s="132"/>
      <c r="C489" s="132"/>
      <c r="D489" s="132"/>
      <c r="E489" s="132"/>
      <c r="F489" s="132"/>
      <c r="G489" s="132"/>
      <c r="H489" s="132"/>
      <c r="I489" s="132"/>
      <c r="J489" s="132"/>
      <c r="K489" s="132"/>
      <c r="L489" s="132"/>
      <c r="M489" s="132"/>
      <c r="N489" s="132"/>
      <c r="O489" s="132"/>
      <c r="P489" s="132"/>
      <c r="Q489" s="132"/>
      <c r="R489" s="132"/>
    </row>
    <row r="490" spans="1:18">
      <c r="A490" s="132"/>
      <c r="B490" s="132"/>
      <c r="C490" s="132"/>
      <c r="D490" s="132"/>
      <c r="E490" s="132"/>
      <c r="F490" s="132"/>
      <c r="G490" s="132"/>
      <c r="H490" s="132"/>
      <c r="I490" s="132"/>
      <c r="J490" s="132"/>
      <c r="K490" s="132"/>
      <c r="L490" s="132"/>
      <c r="M490" s="132"/>
      <c r="N490" s="132"/>
      <c r="O490" s="132"/>
      <c r="P490" s="132"/>
      <c r="Q490" s="132"/>
      <c r="R490" s="132"/>
    </row>
    <row r="491" spans="1:18">
      <c r="A491" s="132"/>
      <c r="B491" s="132"/>
      <c r="C491" s="132"/>
      <c r="D491" s="132"/>
      <c r="E491" s="132"/>
      <c r="F491" s="132"/>
      <c r="G491" s="132"/>
      <c r="H491" s="132"/>
      <c r="I491" s="132"/>
      <c r="J491" s="132"/>
      <c r="K491" s="132"/>
      <c r="L491" s="132"/>
      <c r="M491" s="132"/>
      <c r="N491" s="132"/>
      <c r="O491" s="132"/>
      <c r="P491" s="132"/>
      <c r="Q491" s="132"/>
      <c r="R491" s="132"/>
    </row>
    <row r="492" spans="1:18">
      <c r="A492" s="132"/>
      <c r="B492" s="132"/>
      <c r="C492" s="132"/>
      <c r="D492" s="132"/>
      <c r="E492" s="132"/>
      <c r="F492" s="132"/>
      <c r="G492" s="132"/>
      <c r="H492" s="132"/>
      <c r="I492" s="132"/>
      <c r="J492" s="132"/>
      <c r="K492" s="132"/>
      <c r="L492" s="132"/>
      <c r="M492" s="132"/>
      <c r="N492" s="132"/>
      <c r="O492" s="132"/>
      <c r="P492" s="132"/>
      <c r="Q492" s="132"/>
      <c r="R492" s="132"/>
    </row>
    <row r="493" spans="1:18">
      <c r="A493" s="132"/>
      <c r="B493" s="132"/>
      <c r="C493" s="132"/>
      <c r="D493" s="132"/>
      <c r="E493" s="132"/>
      <c r="F493" s="132"/>
      <c r="G493" s="132"/>
      <c r="H493" s="132"/>
      <c r="I493" s="132"/>
      <c r="J493" s="132"/>
      <c r="K493" s="132"/>
      <c r="L493" s="132"/>
      <c r="M493" s="132"/>
      <c r="N493" s="132"/>
      <c r="O493" s="132"/>
      <c r="P493" s="132"/>
      <c r="Q493" s="132"/>
      <c r="R493" s="132"/>
    </row>
    <row r="494" spans="1:18">
      <c r="A494" s="132"/>
      <c r="B494" s="132"/>
      <c r="C494" s="132"/>
      <c r="D494" s="132"/>
      <c r="E494" s="132"/>
      <c r="F494" s="132"/>
      <c r="G494" s="132"/>
      <c r="H494" s="132"/>
      <c r="I494" s="132"/>
      <c r="J494" s="132"/>
      <c r="K494" s="132"/>
      <c r="L494" s="132"/>
      <c r="M494" s="132"/>
      <c r="N494" s="132"/>
      <c r="O494" s="132"/>
      <c r="P494" s="132"/>
      <c r="Q494" s="132"/>
      <c r="R494" s="132"/>
    </row>
    <row r="495" spans="1:18">
      <c r="A495" s="132"/>
      <c r="B495" s="132"/>
      <c r="C495" s="132"/>
      <c r="D495" s="132"/>
      <c r="E495" s="132"/>
      <c r="F495" s="132"/>
      <c r="G495" s="132"/>
      <c r="H495" s="132"/>
      <c r="I495" s="132"/>
      <c r="J495" s="132"/>
      <c r="K495" s="132"/>
      <c r="L495" s="132"/>
      <c r="M495" s="132"/>
      <c r="N495" s="132"/>
      <c r="O495" s="132"/>
      <c r="P495" s="132"/>
      <c r="Q495" s="132"/>
      <c r="R495" s="132"/>
    </row>
    <row r="496" spans="1:18">
      <c r="A496" s="132"/>
      <c r="B496" s="132"/>
      <c r="C496" s="132"/>
      <c r="D496" s="132"/>
      <c r="E496" s="132"/>
      <c r="F496" s="132"/>
      <c r="G496" s="132"/>
      <c r="H496" s="132"/>
      <c r="I496" s="132"/>
      <c r="J496" s="132"/>
      <c r="K496" s="132"/>
      <c r="L496" s="132"/>
      <c r="M496" s="132"/>
      <c r="N496" s="132"/>
      <c r="O496" s="132"/>
      <c r="P496" s="132"/>
      <c r="Q496" s="132"/>
      <c r="R496" s="132"/>
    </row>
    <row r="497" spans="1:18">
      <c r="A497" s="132"/>
      <c r="B497" s="132"/>
      <c r="C497" s="132"/>
      <c r="D497" s="132"/>
      <c r="E497" s="132"/>
      <c r="F497" s="132"/>
      <c r="G497" s="132"/>
      <c r="H497" s="132"/>
      <c r="I497" s="132"/>
      <c r="J497" s="132"/>
      <c r="K497" s="132"/>
      <c r="L497" s="132"/>
      <c r="M497" s="132"/>
      <c r="N497" s="132"/>
      <c r="O497" s="132"/>
      <c r="P497" s="132"/>
      <c r="Q497" s="132"/>
      <c r="R497" s="132"/>
    </row>
    <row r="498" spans="1:18">
      <c r="A498" s="132"/>
      <c r="B498" s="132"/>
      <c r="C498" s="132"/>
      <c r="D498" s="132"/>
      <c r="E498" s="132"/>
      <c r="F498" s="132"/>
      <c r="G498" s="132"/>
      <c r="H498" s="132"/>
      <c r="I498" s="132"/>
      <c r="J498" s="132"/>
      <c r="K498" s="132"/>
      <c r="L498" s="132"/>
      <c r="M498" s="132"/>
      <c r="N498" s="132"/>
      <c r="O498" s="132"/>
      <c r="P498" s="132"/>
      <c r="Q498" s="132"/>
      <c r="R498" s="132"/>
    </row>
    <row r="499" spans="1:18">
      <c r="A499" s="132"/>
      <c r="B499" s="132"/>
      <c r="C499" s="132"/>
      <c r="D499" s="132"/>
      <c r="E499" s="132"/>
      <c r="F499" s="132"/>
      <c r="G499" s="132"/>
      <c r="H499" s="132"/>
      <c r="I499" s="132"/>
      <c r="J499" s="132"/>
      <c r="K499" s="132"/>
      <c r="L499" s="132"/>
      <c r="M499" s="132"/>
      <c r="N499" s="132"/>
      <c r="O499" s="132"/>
      <c r="P499" s="132"/>
      <c r="Q499" s="132"/>
      <c r="R499" s="132"/>
    </row>
    <row r="500" spans="1:18">
      <c r="A500" s="132"/>
      <c r="B500" s="132"/>
      <c r="C500" s="132"/>
      <c r="D500" s="132"/>
      <c r="E500" s="132"/>
      <c r="F500" s="132"/>
      <c r="G500" s="132"/>
      <c r="H500" s="132"/>
      <c r="I500" s="132"/>
      <c r="J500" s="132"/>
      <c r="K500" s="132"/>
      <c r="L500" s="132"/>
      <c r="M500" s="132"/>
      <c r="N500" s="132"/>
      <c r="O500" s="132"/>
      <c r="P500" s="132"/>
      <c r="Q500" s="132"/>
      <c r="R500" s="132"/>
    </row>
    <row r="501" spans="1:18">
      <c r="A501" s="132"/>
      <c r="B501" s="132"/>
      <c r="C501" s="132"/>
      <c r="D501" s="132"/>
      <c r="E501" s="132"/>
      <c r="F501" s="132"/>
      <c r="G501" s="132"/>
      <c r="H501" s="132"/>
      <c r="I501" s="132"/>
      <c r="J501" s="132"/>
      <c r="K501" s="132"/>
      <c r="L501" s="132"/>
      <c r="M501" s="132"/>
      <c r="N501" s="132"/>
      <c r="O501" s="132"/>
      <c r="P501" s="132"/>
      <c r="Q501" s="132"/>
      <c r="R501" s="132"/>
    </row>
    <row r="502" spans="1:18">
      <c r="A502" s="132"/>
      <c r="B502" s="132"/>
      <c r="C502" s="132"/>
      <c r="D502" s="132"/>
      <c r="E502" s="132"/>
      <c r="F502" s="132"/>
      <c r="G502" s="132"/>
      <c r="H502" s="132"/>
      <c r="I502" s="132"/>
      <c r="J502" s="132"/>
      <c r="K502" s="132"/>
      <c r="L502" s="132"/>
      <c r="M502" s="132"/>
      <c r="N502" s="132"/>
      <c r="O502" s="132"/>
      <c r="P502" s="132"/>
      <c r="Q502" s="132"/>
      <c r="R502" s="132"/>
    </row>
    <row r="503" spans="1:18">
      <c r="A503" s="132"/>
      <c r="B503" s="132"/>
      <c r="C503" s="132"/>
      <c r="D503" s="132"/>
      <c r="E503" s="132"/>
      <c r="F503" s="132"/>
      <c r="G503" s="132"/>
      <c r="H503" s="132"/>
      <c r="I503" s="132"/>
      <c r="J503" s="132"/>
      <c r="K503" s="132"/>
      <c r="L503" s="132"/>
      <c r="M503" s="132"/>
      <c r="N503" s="132"/>
      <c r="O503" s="132"/>
      <c r="P503" s="132"/>
      <c r="Q503" s="132"/>
      <c r="R503" s="132"/>
    </row>
    <row r="504" spans="1:18">
      <c r="A504" s="132"/>
      <c r="B504" s="132"/>
      <c r="C504" s="132"/>
      <c r="D504" s="132"/>
      <c r="E504" s="132"/>
      <c r="F504" s="132"/>
      <c r="G504" s="132"/>
      <c r="H504" s="132"/>
      <c r="I504" s="132"/>
      <c r="J504" s="132"/>
      <c r="K504" s="132"/>
      <c r="L504" s="132"/>
      <c r="M504" s="132"/>
      <c r="N504" s="132"/>
      <c r="O504" s="132"/>
      <c r="P504" s="132"/>
      <c r="Q504" s="132"/>
      <c r="R504" s="132"/>
    </row>
    <row r="505" spans="1:18">
      <c r="A505" s="132"/>
      <c r="B505" s="132"/>
      <c r="C505" s="132"/>
      <c r="D505" s="132"/>
      <c r="E505" s="132"/>
      <c r="F505" s="132"/>
      <c r="G505" s="132"/>
      <c r="H505" s="132"/>
      <c r="I505" s="132"/>
      <c r="J505" s="132"/>
      <c r="K505" s="132"/>
      <c r="L505" s="132"/>
      <c r="M505" s="132"/>
      <c r="N505" s="132"/>
      <c r="O505" s="132"/>
      <c r="P505" s="132"/>
      <c r="Q505" s="132"/>
      <c r="R505" s="132"/>
    </row>
    <row r="506" spans="1:18">
      <c r="A506" s="132"/>
      <c r="B506" s="132"/>
      <c r="C506" s="132"/>
      <c r="D506" s="132"/>
      <c r="E506" s="132"/>
      <c r="F506" s="132"/>
      <c r="G506" s="132"/>
      <c r="H506" s="132"/>
      <c r="I506" s="132"/>
      <c r="J506" s="132"/>
      <c r="K506" s="132"/>
      <c r="L506" s="132"/>
      <c r="M506" s="132"/>
      <c r="N506" s="132"/>
      <c r="O506" s="132"/>
      <c r="P506" s="132"/>
      <c r="Q506" s="132"/>
      <c r="R506" s="132"/>
    </row>
    <row r="507" spans="1:18">
      <c r="A507" s="132"/>
      <c r="B507" s="132"/>
      <c r="C507" s="132"/>
      <c r="D507" s="132"/>
      <c r="E507" s="132"/>
      <c r="F507" s="132"/>
      <c r="G507" s="132"/>
      <c r="H507" s="132"/>
      <c r="I507" s="132"/>
      <c r="J507" s="132"/>
      <c r="K507" s="132"/>
      <c r="L507" s="132"/>
      <c r="M507" s="132"/>
      <c r="N507" s="132"/>
      <c r="O507" s="132"/>
      <c r="P507" s="132"/>
      <c r="Q507" s="132"/>
      <c r="R507" s="132"/>
    </row>
    <row r="508" spans="1:18">
      <c r="A508" s="132"/>
      <c r="B508" s="132"/>
      <c r="C508" s="132"/>
      <c r="D508" s="132"/>
      <c r="E508" s="132"/>
      <c r="F508" s="132"/>
      <c r="G508" s="132"/>
      <c r="H508" s="132"/>
      <c r="I508" s="132"/>
      <c r="J508" s="132"/>
      <c r="K508" s="132"/>
      <c r="L508" s="132"/>
      <c r="M508" s="132"/>
      <c r="N508" s="132"/>
      <c r="O508" s="132"/>
      <c r="P508" s="132"/>
      <c r="Q508" s="132"/>
      <c r="R508" s="132"/>
    </row>
    <row r="509" spans="1:18">
      <c r="A509" s="132"/>
      <c r="B509" s="132"/>
      <c r="C509" s="132"/>
      <c r="D509" s="132"/>
      <c r="E509" s="132"/>
      <c r="F509" s="132"/>
      <c r="G509" s="132"/>
      <c r="H509" s="132"/>
      <c r="I509" s="132"/>
      <c r="J509" s="132"/>
      <c r="K509" s="132"/>
      <c r="L509" s="132"/>
      <c r="M509" s="132"/>
      <c r="N509" s="132"/>
      <c r="O509" s="132"/>
      <c r="P509" s="132"/>
      <c r="Q509" s="132"/>
      <c r="R509" s="132"/>
    </row>
    <row r="510" spans="1:18">
      <c r="A510" s="132"/>
      <c r="B510" s="132"/>
      <c r="C510" s="132"/>
      <c r="D510" s="132"/>
      <c r="E510" s="132"/>
      <c r="F510" s="132"/>
      <c r="G510" s="132"/>
      <c r="H510" s="132"/>
      <c r="I510" s="132"/>
      <c r="J510" s="132"/>
      <c r="K510" s="132"/>
      <c r="L510" s="132"/>
      <c r="M510" s="132"/>
      <c r="N510" s="132"/>
      <c r="O510" s="132"/>
      <c r="P510" s="132"/>
      <c r="Q510" s="132"/>
      <c r="R510" s="132"/>
    </row>
    <row r="511" spans="1:18">
      <c r="A511" s="132"/>
      <c r="B511" s="132"/>
      <c r="C511" s="132"/>
      <c r="D511" s="132"/>
      <c r="E511" s="132"/>
      <c r="F511" s="132"/>
      <c r="G511" s="132"/>
      <c r="H511" s="132"/>
      <c r="I511" s="132"/>
      <c r="J511" s="132"/>
      <c r="K511" s="132"/>
      <c r="L511" s="132"/>
      <c r="M511" s="132"/>
      <c r="N511" s="132"/>
      <c r="O511" s="132"/>
      <c r="P511" s="132"/>
      <c r="Q511" s="132"/>
      <c r="R511" s="132"/>
    </row>
    <row r="512" spans="1:18">
      <c r="A512" s="132"/>
      <c r="B512" s="132"/>
      <c r="C512" s="132"/>
      <c r="D512" s="132"/>
      <c r="E512" s="132"/>
      <c r="F512" s="132"/>
      <c r="G512" s="132"/>
      <c r="H512" s="132"/>
      <c r="I512" s="132"/>
      <c r="J512" s="132"/>
      <c r="K512" s="132"/>
      <c r="L512" s="132"/>
      <c r="M512" s="132"/>
      <c r="N512" s="132"/>
      <c r="O512" s="132"/>
      <c r="P512" s="132"/>
      <c r="Q512" s="132"/>
      <c r="R512" s="132"/>
    </row>
    <row r="513" spans="1:18">
      <c r="A513" s="132"/>
      <c r="B513" s="132"/>
      <c r="C513" s="132"/>
      <c r="D513" s="132"/>
      <c r="E513" s="132"/>
      <c r="F513" s="132"/>
      <c r="G513" s="132"/>
      <c r="H513" s="132"/>
      <c r="I513" s="132"/>
      <c r="J513" s="132"/>
      <c r="K513" s="132"/>
      <c r="L513" s="132"/>
      <c r="M513" s="132"/>
      <c r="N513" s="132"/>
      <c r="O513" s="132"/>
      <c r="P513" s="132"/>
      <c r="Q513" s="132"/>
      <c r="R513" s="132"/>
    </row>
    <row r="514" spans="1:18">
      <c r="A514" s="132"/>
      <c r="B514" s="132"/>
      <c r="C514" s="132"/>
      <c r="D514" s="132"/>
      <c r="E514" s="132"/>
      <c r="F514" s="132"/>
      <c r="G514" s="132"/>
      <c r="H514" s="132"/>
      <c r="I514" s="132"/>
      <c r="J514" s="132"/>
      <c r="K514" s="132"/>
      <c r="L514" s="132"/>
      <c r="M514" s="132"/>
      <c r="N514" s="132"/>
      <c r="O514" s="132"/>
      <c r="P514" s="132"/>
      <c r="Q514" s="132"/>
      <c r="R514" s="132"/>
    </row>
    <row r="515" spans="1:18">
      <c r="A515" s="132"/>
      <c r="B515" s="132"/>
      <c r="C515" s="132"/>
      <c r="D515" s="132"/>
      <c r="E515" s="132"/>
      <c r="F515" s="132"/>
      <c r="G515" s="132"/>
      <c r="H515" s="132"/>
      <c r="I515" s="132"/>
      <c r="J515" s="132"/>
      <c r="K515" s="132"/>
      <c r="L515" s="132"/>
      <c r="M515" s="132"/>
      <c r="N515" s="132"/>
      <c r="O515" s="132"/>
      <c r="P515" s="132"/>
      <c r="Q515" s="132"/>
      <c r="R515" s="132"/>
    </row>
    <row r="516" spans="1:18">
      <c r="A516" s="132"/>
      <c r="B516" s="132"/>
      <c r="C516" s="132"/>
      <c r="D516" s="132"/>
      <c r="E516" s="132"/>
      <c r="F516" s="132"/>
      <c r="G516" s="132"/>
      <c r="H516" s="132"/>
      <c r="I516" s="132"/>
      <c r="J516" s="132"/>
      <c r="K516" s="132"/>
      <c r="L516" s="132"/>
      <c r="M516" s="132"/>
      <c r="N516" s="132"/>
      <c r="O516" s="132"/>
      <c r="P516" s="132"/>
      <c r="Q516" s="132"/>
      <c r="R516" s="132"/>
    </row>
    <row r="517" spans="1:18">
      <c r="A517" s="132"/>
      <c r="B517" s="132"/>
      <c r="C517" s="132"/>
      <c r="D517" s="132"/>
      <c r="E517" s="132"/>
      <c r="F517" s="132"/>
      <c r="G517" s="132"/>
      <c r="H517" s="132"/>
      <c r="I517" s="132"/>
      <c r="J517" s="132"/>
      <c r="K517" s="132"/>
      <c r="L517" s="132"/>
      <c r="M517" s="132"/>
      <c r="N517" s="132"/>
      <c r="O517" s="132"/>
      <c r="P517" s="132"/>
      <c r="Q517" s="132"/>
      <c r="R517" s="132"/>
    </row>
    <row r="518" spans="1:18">
      <c r="A518" s="132"/>
      <c r="B518" s="132"/>
      <c r="C518" s="132"/>
      <c r="D518" s="132"/>
      <c r="E518" s="132"/>
      <c r="F518" s="132"/>
      <c r="G518" s="132"/>
      <c r="H518" s="132"/>
      <c r="I518" s="132"/>
      <c r="J518" s="132"/>
      <c r="K518" s="132"/>
      <c r="L518" s="132"/>
      <c r="M518" s="132"/>
      <c r="N518" s="132"/>
      <c r="O518" s="132"/>
      <c r="P518" s="132"/>
      <c r="Q518" s="132"/>
      <c r="R518" s="132"/>
    </row>
    <row r="519" spans="1:18">
      <c r="A519" s="132"/>
      <c r="B519" s="132"/>
      <c r="C519" s="132"/>
      <c r="D519" s="132"/>
      <c r="E519" s="132"/>
      <c r="F519" s="132"/>
      <c r="G519" s="132"/>
      <c r="H519" s="132"/>
      <c r="I519" s="132"/>
      <c r="J519" s="132"/>
      <c r="K519" s="132"/>
      <c r="L519" s="132"/>
      <c r="M519" s="132"/>
      <c r="N519" s="132"/>
      <c r="O519" s="132"/>
      <c r="P519" s="132"/>
      <c r="Q519" s="132"/>
      <c r="R519" s="132"/>
    </row>
    <row r="520" spans="1:18">
      <c r="A520" s="132"/>
      <c r="B520" s="132"/>
      <c r="C520" s="132"/>
      <c r="D520" s="132"/>
      <c r="E520" s="132"/>
      <c r="F520" s="132"/>
      <c r="G520" s="132"/>
      <c r="H520" s="132"/>
      <c r="I520" s="132"/>
      <c r="J520" s="132"/>
      <c r="K520" s="132"/>
      <c r="L520" s="132"/>
      <c r="M520" s="132"/>
      <c r="N520" s="132"/>
      <c r="O520" s="132"/>
      <c r="P520" s="132"/>
      <c r="Q520" s="132"/>
      <c r="R520" s="132"/>
    </row>
    <row r="521" spans="1:18">
      <c r="A521" s="132"/>
      <c r="B521" s="132"/>
      <c r="C521" s="132"/>
      <c r="D521" s="132"/>
      <c r="E521" s="132"/>
      <c r="F521" s="132"/>
      <c r="G521" s="132"/>
      <c r="H521" s="132"/>
      <c r="I521" s="132"/>
      <c r="J521" s="132"/>
      <c r="K521" s="132"/>
      <c r="L521" s="132"/>
      <c r="M521" s="132"/>
      <c r="N521" s="132"/>
      <c r="O521" s="132"/>
      <c r="P521" s="132"/>
      <c r="Q521" s="132"/>
      <c r="R521" s="132"/>
    </row>
    <row r="522" spans="1:18">
      <c r="A522" s="132"/>
      <c r="B522" s="132"/>
      <c r="C522" s="132"/>
      <c r="D522" s="132"/>
      <c r="E522" s="132"/>
      <c r="F522" s="132"/>
      <c r="G522" s="132"/>
      <c r="H522" s="132"/>
      <c r="I522" s="132"/>
      <c r="J522" s="132"/>
      <c r="K522" s="132"/>
      <c r="L522" s="132"/>
      <c r="M522" s="132"/>
      <c r="N522" s="132"/>
      <c r="O522" s="132"/>
      <c r="P522" s="132"/>
      <c r="Q522" s="132"/>
      <c r="R522" s="132"/>
    </row>
    <row r="523" spans="1:18">
      <c r="A523" s="132"/>
      <c r="B523" s="132"/>
      <c r="C523" s="132"/>
      <c r="D523" s="132"/>
      <c r="E523" s="132"/>
      <c r="F523" s="132"/>
      <c r="G523" s="132"/>
      <c r="H523" s="132"/>
      <c r="I523" s="132"/>
      <c r="J523" s="132"/>
      <c r="K523" s="132"/>
      <c r="L523" s="132"/>
      <c r="M523" s="132"/>
      <c r="N523" s="132"/>
      <c r="O523" s="132"/>
      <c r="P523" s="132"/>
      <c r="Q523" s="132"/>
      <c r="R523" s="132"/>
    </row>
    <row r="524" spans="1:18">
      <c r="A524" s="132"/>
      <c r="B524" s="132"/>
      <c r="C524" s="132"/>
      <c r="D524" s="132"/>
      <c r="E524" s="132"/>
      <c r="F524" s="132"/>
      <c r="G524" s="132"/>
      <c r="H524" s="132"/>
      <c r="I524" s="132"/>
      <c r="J524" s="132"/>
      <c r="K524" s="132"/>
      <c r="L524" s="132"/>
      <c r="M524" s="132"/>
      <c r="N524" s="132"/>
      <c r="O524" s="132"/>
      <c r="P524" s="132"/>
      <c r="Q524" s="132"/>
      <c r="R524" s="132"/>
    </row>
    <row r="525" spans="1:18">
      <c r="A525" s="132"/>
      <c r="B525" s="132"/>
      <c r="C525" s="132"/>
      <c r="D525" s="132"/>
      <c r="E525" s="132"/>
      <c r="F525" s="132"/>
      <c r="G525" s="132"/>
      <c r="H525" s="132"/>
      <c r="I525" s="132"/>
      <c r="J525" s="132"/>
      <c r="K525" s="132"/>
      <c r="L525" s="132"/>
      <c r="M525" s="132"/>
      <c r="N525" s="132"/>
      <c r="O525" s="132"/>
      <c r="P525" s="132"/>
      <c r="Q525" s="132"/>
      <c r="R525" s="132"/>
    </row>
    <row r="526" spans="1:18">
      <c r="A526" s="132"/>
      <c r="B526" s="132"/>
      <c r="C526" s="132"/>
      <c r="D526" s="132"/>
      <c r="E526" s="132"/>
      <c r="F526" s="132"/>
      <c r="G526" s="132"/>
      <c r="H526" s="132"/>
      <c r="I526" s="132"/>
      <c r="J526" s="132"/>
      <c r="K526" s="132"/>
      <c r="L526" s="132"/>
      <c r="M526" s="132"/>
      <c r="N526" s="132"/>
      <c r="O526" s="132"/>
      <c r="P526" s="132"/>
      <c r="Q526" s="132"/>
      <c r="R526" s="132"/>
    </row>
    <row r="527" spans="1:18">
      <c r="A527" s="132"/>
      <c r="B527" s="132"/>
      <c r="C527" s="132"/>
      <c r="D527" s="132"/>
      <c r="E527" s="132"/>
      <c r="F527" s="132"/>
      <c r="G527" s="132"/>
      <c r="H527" s="132"/>
      <c r="I527" s="132"/>
      <c r="J527" s="132"/>
      <c r="K527" s="132"/>
      <c r="L527" s="132"/>
      <c r="M527" s="132"/>
      <c r="N527" s="132"/>
      <c r="O527" s="132"/>
      <c r="P527" s="132"/>
      <c r="Q527" s="132"/>
      <c r="R527" s="132"/>
    </row>
    <row r="528" spans="1:18">
      <c r="A528" s="132"/>
      <c r="B528" s="132"/>
      <c r="C528" s="132"/>
      <c r="D528" s="132"/>
      <c r="E528" s="132"/>
      <c r="F528" s="132"/>
      <c r="G528" s="132"/>
      <c r="H528" s="132"/>
      <c r="I528" s="132"/>
      <c r="J528" s="132"/>
      <c r="K528" s="132"/>
      <c r="L528" s="132"/>
      <c r="M528" s="132"/>
      <c r="N528" s="132"/>
      <c r="O528" s="132"/>
      <c r="P528" s="132"/>
      <c r="Q528" s="132"/>
      <c r="R528" s="132"/>
    </row>
    <row r="529" spans="1:18">
      <c r="A529" s="132"/>
      <c r="B529" s="132"/>
      <c r="C529" s="132"/>
      <c r="D529" s="132"/>
      <c r="E529" s="132"/>
      <c r="F529" s="132"/>
      <c r="G529" s="132"/>
      <c r="H529" s="132"/>
      <c r="I529" s="132"/>
      <c r="J529" s="132"/>
      <c r="K529" s="132"/>
      <c r="L529" s="132"/>
      <c r="M529" s="132"/>
      <c r="N529" s="132"/>
      <c r="O529" s="132"/>
      <c r="P529" s="132"/>
      <c r="Q529" s="132"/>
      <c r="R529" s="132"/>
    </row>
    <row r="530" spans="1:18">
      <c r="A530" s="132"/>
      <c r="B530" s="132"/>
      <c r="C530" s="132"/>
      <c r="D530" s="132"/>
      <c r="E530" s="132"/>
      <c r="F530" s="132"/>
      <c r="G530" s="132"/>
      <c r="H530" s="132"/>
      <c r="I530" s="132"/>
      <c r="J530" s="132"/>
      <c r="K530" s="132"/>
      <c r="L530" s="132"/>
      <c r="M530" s="132"/>
      <c r="N530" s="132"/>
      <c r="O530" s="132"/>
      <c r="P530" s="132"/>
      <c r="Q530" s="132"/>
      <c r="R530" s="132"/>
    </row>
    <row r="531" spans="1:18">
      <c r="A531" s="132"/>
      <c r="B531" s="132"/>
      <c r="C531" s="132"/>
      <c r="D531" s="132"/>
      <c r="E531" s="132"/>
      <c r="F531" s="132"/>
      <c r="G531" s="132"/>
      <c r="H531" s="132"/>
      <c r="I531" s="132"/>
      <c r="J531" s="132"/>
      <c r="K531" s="132"/>
      <c r="L531" s="132"/>
      <c r="M531" s="132"/>
      <c r="N531" s="132"/>
      <c r="O531" s="132"/>
      <c r="P531" s="132"/>
      <c r="Q531" s="132"/>
      <c r="R531" s="132"/>
    </row>
    <row r="532" spans="1:18">
      <c r="A532" s="132"/>
      <c r="B532" s="132"/>
      <c r="C532" s="132"/>
      <c r="D532" s="132"/>
      <c r="E532" s="132"/>
      <c r="F532" s="132"/>
      <c r="G532" s="132"/>
      <c r="H532" s="132"/>
      <c r="I532" s="132"/>
      <c r="J532" s="132"/>
      <c r="K532" s="132"/>
      <c r="L532" s="132"/>
      <c r="M532" s="132"/>
      <c r="N532" s="132"/>
      <c r="O532" s="132"/>
      <c r="P532" s="132"/>
      <c r="Q532" s="132"/>
      <c r="R532" s="132"/>
    </row>
    <row r="533" spans="1:18">
      <c r="A533" s="132"/>
      <c r="B533" s="132"/>
      <c r="C533" s="132"/>
      <c r="D533" s="132"/>
      <c r="E533" s="132"/>
      <c r="F533" s="132"/>
      <c r="G533" s="132"/>
      <c r="H533" s="132"/>
      <c r="I533" s="132"/>
      <c r="J533" s="132"/>
      <c r="K533" s="132"/>
      <c r="L533" s="132"/>
      <c r="M533" s="132"/>
      <c r="N533" s="132"/>
      <c r="O533" s="132"/>
      <c r="P533" s="132"/>
      <c r="Q533" s="132"/>
      <c r="R533" s="132"/>
    </row>
    <row r="534" spans="1:18">
      <c r="A534" s="132"/>
      <c r="B534" s="132"/>
      <c r="C534" s="132"/>
      <c r="D534" s="132"/>
      <c r="E534" s="132"/>
      <c r="F534" s="132"/>
      <c r="G534" s="132"/>
      <c r="H534" s="132"/>
      <c r="I534" s="132"/>
      <c r="J534" s="132"/>
      <c r="K534" s="132"/>
      <c r="L534" s="132"/>
      <c r="M534" s="132"/>
      <c r="N534" s="132"/>
      <c r="O534" s="132"/>
      <c r="P534" s="132"/>
      <c r="Q534" s="132"/>
      <c r="R534" s="132"/>
    </row>
    <row r="535" spans="1:18">
      <c r="A535" s="132"/>
      <c r="B535" s="132"/>
      <c r="C535" s="132"/>
      <c r="D535" s="132"/>
      <c r="E535" s="132"/>
      <c r="F535" s="132"/>
      <c r="G535" s="132"/>
      <c r="H535" s="132"/>
      <c r="I535" s="132"/>
      <c r="J535" s="132"/>
      <c r="K535" s="132"/>
      <c r="L535" s="132"/>
      <c r="M535" s="132"/>
      <c r="N535" s="132"/>
      <c r="O535" s="132"/>
      <c r="P535" s="132"/>
      <c r="Q535" s="132"/>
      <c r="R535" s="132"/>
    </row>
    <row r="536" spans="1:18">
      <c r="A536" s="132"/>
      <c r="B536" s="132"/>
      <c r="C536" s="132"/>
      <c r="D536" s="132"/>
      <c r="E536" s="132"/>
      <c r="F536" s="132"/>
      <c r="G536" s="132"/>
      <c r="H536" s="132"/>
      <c r="I536" s="132"/>
      <c r="J536" s="132"/>
      <c r="K536" s="132"/>
      <c r="L536" s="132"/>
      <c r="M536" s="132"/>
      <c r="N536" s="132"/>
      <c r="O536" s="132"/>
      <c r="P536" s="132"/>
      <c r="Q536" s="132"/>
      <c r="R536" s="132"/>
    </row>
    <row r="537" spans="1:18">
      <c r="A537" s="132"/>
      <c r="B537" s="132"/>
      <c r="C537" s="132"/>
      <c r="D537" s="132"/>
      <c r="E537" s="132"/>
      <c r="F537" s="132"/>
      <c r="G537" s="132"/>
      <c r="H537" s="132"/>
      <c r="I537" s="132"/>
      <c r="J537" s="132"/>
      <c r="K537" s="132"/>
      <c r="L537" s="132"/>
      <c r="M537" s="132"/>
      <c r="N537" s="132"/>
      <c r="O537" s="132"/>
      <c r="P537" s="132"/>
      <c r="Q537" s="132"/>
      <c r="R537" s="132"/>
    </row>
    <row r="538" spans="1:18">
      <c r="A538" s="132"/>
      <c r="B538" s="132"/>
      <c r="C538" s="132"/>
      <c r="D538" s="132"/>
      <c r="E538" s="132"/>
      <c r="F538" s="132"/>
      <c r="G538" s="132"/>
      <c r="H538" s="132"/>
      <c r="I538" s="132"/>
      <c r="J538" s="132"/>
      <c r="K538" s="132"/>
      <c r="L538" s="132"/>
      <c r="M538" s="132"/>
      <c r="N538" s="132"/>
      <c r="O538" s="132"/>
      <c r="P538" s="132"/>
      <c r="Q538" s="132"/>
      <c r="R538" s="132"/>
    </row>
    <row r="539" spans="1:18">
      <c r="A539" s="132"/>
      <c r="B539" s="132"/>
      <c r="C539" s="132"/>
      <c r="D539" s="132"/>
      <c r="E539" s="132"/>
      <c r="F539" s="132"/>
      <c r="G539" s="132"/>
      <c r="H539" s="132"/>
      <c r="I539" s="132"/>
      <c r="J539" s="132"/>
      <c r="K539" s="132"/>
      <c r="L539" s="132"/>
      <c r="M539" s="132"/>
      <c r="N539" s="132"/>
      <c r="O539" s="132"/>
      <c r="P539" s="132"/>
      <c r="Q539" s="132"/>
      <c r="R539" s="132"/>
    </row>
    <row r="540" spans="1:18">
      <c r="A540" s="132"/>
      <c r="B540" s="132"/>
      <c r="C540" s="132"/>
      <c r="D540" s="132"/>
      <c r="E540" s="132"/>
      <c r="F540" s="132"/>
      <c r="G540" s="132"/>
      <c r="H540" s="132"/>
      <c r="I540" s="132"/>
      <c r="J540" s="132"/>
      <c r="K540" s="132"/>
      <c r="L540" s="132"/>
      <c r="M540" s="132"/>
      <c r="N540" s="132"/>
      <c r="O540" s="132"/>
      <c r="P540" s="132"/>
      <c r="Q540" s="132"/>
      <c r="R540" s="132"/>
    </row>
    <row r="541" spans="1:18">
      <c r="A541" s="132"/>
      <c r="B541" s="132"/>
      <c r="C541" s="132"/>
      <c r="D541" s="132"/>
      <c r="E541" s="132"/>
      <c r="F541" s="132"/>
      <c r="G541" s="132"/>
      <c r="H541" s="132"/>
      <c r="I541" s="132"/>
      <c r="J541" s="132"/>
      <c r="K541" s="132"/>
      <c r="L541" s="132"/>
      <c r="M541" s="132"/>
      <c r="N541" s="132"/>
      <c r="O541" s="132"/>
      <c r="P541" s="132"/>
      <c r="Q541" s="132"/>
      <c r="R541" s="132"/>
    </row>
    <row r="542" spans="1:18">
      <c r="A542" s="132"/>
      <c r="B542" s="132"/>
      <c r="C542" s="132"/>
      <c r="D542" s="132"/>
      <c r="E542" s="132"/>
      <c r="F542" s="132"/>
      <c r="G542" s="132"/>
      <c r="H542" s="132"/>
      <c r="I542" s="132"/>
      <c r="J542" s="132"/>
      <c r="K542" s="132"/>
      <c r="L542" s="132"/>
      <c r="M542" s="132"/>
      <c r="N542" s="132"/>
      <c r="O542" s="132"/>
      <c r="P542" s="132"/>
      <c r="Q542" s="132"/>
      <c r="R542" s="132"/>
    </row>
    <row r="543" spans="1:18">
      <c r="A543" s="132"/>
      <c r="B543" s="132"/>
      <c r="C543" s="132"/>
      <c r="D543" s="132"/>
      <c r="E543" s="132"/>
      <c r="F543" s="132"/>
      <c r="G543" s="132"/>
      <c r="H543" s="132"/>
      <c r="I543" s="132"/>
      <c r="J543" s="132"/>
      <c r="K543" s="132"/>
      <c r="L543" s="132"/>
      <c r="M543" s="132"/>
      <c r="N543" s="132"/>
      <c r="O543" s="132"/>
      <c r="P543" s="132"/>
      <c r="Q543" s="132"/>
      <c r="R543" s="132"/>
    </row>
    <row r="544" spans="1:18">
      <c r="A544" s="132"/>
      <c r="B544" s="132"/>
      <c r="C544" s="132"/>
      <c r="D544" s="132"/>
      <c r="E544" s="132"/>
      <c r="F544" s="132"/>
      <c r="G544" s="132"/>
      <c r="H544" s="132"/>
      <c r="I544" s="132"/>
      <c r="J544" s="132"/>
      <c r="K544" s="132"/>
      <c r="L544" s="132"/>
      <c r="M544" s="132"/>
      <c r="N544" s="132"/>
      <c r="O544" s="132"/>
      <c r="P544" s="132"/>
      <c r="Q544" s="132"/>
      <c r="R544" s="132"/>
    </row>
    <row r="545" spans="1:18">
      <c r="A545" s="132"/>
      <c r="B545" s="132"/>
      <c r="C545" s="132"/>
      <c r="D545" s="132"/>
      <c r="E545" s="132"/>
      <c r="F545" s="132"/>
      <c r="G545" s="132"/>
      <c r="H545" s="132"/>
      <c r="I545" s="132"/>
      <c r="J545" s="132"/>
      <c r="K545" s="132"/>
      <c r="L545" s="132"/>
      <c r="M545" s="132"/>
      <c r="N545" s="132"/>
      <c r="O545" s="132"/>
      <c r="P545" s="132"/>
      <c r="Q545" s="132"/>
      <c r="R545" s="132"/>
    </row>
    <row r="546" spans="1:18">
      <c r="A546" s="132"/>
      <c r="B546" s="132"/>
      <c r="C546" s="132"/>
      <c r="D546" s="132"/>
      <c r="E546" s="132"/>
      <c r="F546" s="132"/>
      <c r="G546" s="132"/>
      <c r="H546" s="132"/>
      <c r="I546" s="132"/>
      <c r="J546" s="132"/>
      <c r="K546" s="132"/>
      <c r="L546" s="132"/>
      <c r="M546" s="132"/>
      <c r="N546" s="132"/>
      <c r="O546" s="132"/>
      <c r="P546" s="132"/>
      <c r="Q546" s="132"/>
      <c r="R546" s="132"/>
    </row>
    <row r="547" spans="1:18">
      <c r="A547" s="132"/>
      <c r="B547" s="132"/>
      <c r="C547" s="132"/>
      <c r="D547" s="132"/>
      <c r="E547" s="132"/>
      <c r="F547" s="132"/>
      <c r="G547" s="132"/>
      <c r="H547" s="132"/>
      <c r="I547" s="132"/>
      <c r="J547" s="132"/>
      <c r="K547" s="132"/>
      <c r="L547" s="132"/>
      <c r="M547" s="132"/>
      <c r="N547" s="132"/>
      <c r="O547" s="132"/>
      <c r="P547" s="132"/>
      <c r="Q547" s="132"/>
      <c r="R547" s="132"/>
    </row>
    <row r="548" spans="1:18">
      <c r="A548" s="132"/>
      <c r="B548" s="132"/>
      <c r="C548" s="132"/>
      <c r="D548" s="132"/>
      <c r="E548" s="132"/>
      <c r="F548" s="132"/>
      <c r="G548" s="132"/>
      <c r="H548" s="132"/>
      <c r="I548" s="132"/>
      <c r="J548" s="132"/>
      <c r="K548" s="132"/>
      <c r="L548" s="132"/>
      <c r="M548" s="132"/>
      <c r="N548" s="132"/>
      <c r="O548" s="132"/>
      <c r="P548" s="132"/>
      <c r="Q548" s="132"/>
      <c r="R548" s="132"/>
    </row>
    <row r="549" spans="1:18">
      <c r="A549" s="132"/>
      <c r="B549" s="132"/>
      <c r="C549" s="132"/>
      <c r="D549" s="132"/>
      <c r="E549" s="132"/>
      <c r="F549" s="132"/>
      <c r="G549" s="132"/>
      <c r="H549" s="132"/>
      <c r="I549" s="132"/>
      <c r="J549" s="132"/>
      <c r="K549" s="132"/>
      <c r="L549" s="132"/>
      <c r="M549" s="132"/>
      <c r="N549" s="132"/>
      <c r="O549" s="132"/>
      <c r="P549" s="132"/>
      <c r="Q549" s="132"/>
      <c r="R549" s="132"/>
    </row>
    <row r="550" spans="1:18">
      <c r="A550" s="132"/>
      <c r="B550" s="132"/>
      <c r="C550" s="132"/>
      <c r="D550" s="132"/>
      <c r="E550" s="132"/>
      <c r="F550" s="132"/>
      <c r="G550" s="132"/>
      <c r="H550" s="132"/>
      <c r="I550" s="132"/>
      <c r="J550" s="132"/>
      <c r="K550" s="132"/>
      <c r="L550" s="132"/>
      <c r="M550" s="132"/>
      <c r="N550" s="132"/>
      <c r="O550" s="132"/>
      <c r="P550" s="132"/>
      <c r="Q550" s="132"/>
      <c r="R550" s="132"/>
    </row>
    <row r="551" spans="1:18">
      <c r="A551" s="132"/>
      <c r="B551" s="132"/>
      <c r="C551" s="132"/>
      <c r="D551" s="132"/>
      <c r="E551" s="132"/>
      <c r="F551" s="132"/>
      <c r="G551" s="132"/>
      <c r="H551" s="132"/>
      <c r="I551" s="132"/>
      <c r="J551" s="132"/>
      <c r="K551" s="132"/>
      <c r="L551" s="132"/>
      <c r="M551" s="132"/>
      <c r="N551" s="132"/>
      <c r="O551" s="132"/>
      <c r="P551" s="132"/>
      <c r="Q551" s="132"/>
      <c r="R551" s="132"/>
    </row>
    <row r="552" spans="1:18">
      <c r="A552" s="132"/>
      <c r="B552" s="132"/>
      <c r="C552" s="132"/>
      <c r="D552" s="132"/>
      <c r="E552" s="132"/>
      <c r="F552" s="132"/>
      <c r="G552" s="132"/>
      <c r="H552" s="132"/>
      <c r="I552" s="132"/>
      <c r="J552" s="132"/>
      <c r="K552" s="132"/>
      <c r="L552" s="132"/>
      <c r="M552" s="132"/>
      <c r="N552" s="132"/>
      <c r="O552" s="132"/>
      <c r="P552" s="132"/>
      <c r="Q552" s="132"/>
      <c r="R552" s="132"/>
    </row>
    <row r="553" spans="1:18">
      <c r="A553" s="132"/>
      <c r="B553" s="132"/>
      <c r="C553" s="132"/>
      <c r="D553" s="132"/>
      <c r="E553" s="132"/>
      <c r="F553" s="132"/>
      <c r="G553" s="132"/>
      <c r="H553" s="132"/>
      <c r="I553" s="132"/>
      <c r="J553" s="132"/>
      <c r="K553" s="132"/>
      <c r="L553" s="132"/>
      <c r="M553" s="132"/>
      <c r="N553" s="132"/>
      <c r="O553" s="132"/>
      <c r="P553" s="132"/>
      <c r="Q553" s="132"/>
      <c r="R553" s="132"/>
    </row>
    <row r="554" spans="1:18">
      <c r="A554" s="132"/>
      <c r="B554" s="132"/>
      <c r="C554" s="132"/>
      <c r="D554" s="132"/>
      <c r="E554" s="132"/>
      <c r="F554" s="132"/>
      <c r="G554" s="132"/>
      <c r="H554" s="132"/>
      <c r="I554" s="132"/>
      <c r="J554" s="132"/>
      <c r="K554" s="132"/>
      <c r="L554" s="132"/>
      <c r="M554" s="132"/>
      <c r="N554" s="132"/>
      <c r="O554" s="132"/>
      <c r="P554" s="132"/>
      <c r="Q554" s="132"/>
      <c r="R554" s="132"/>
    </row>
    <row r="555" spans="1:18">
      <c r="A555" s="132"/>
      <c r="B555" s="132"/>
      <c r="C555" s="132"/>
      <c r="D555" s="132"/>
      <c r="E555" s="132"/>
      <c r="F555" s="132"/>
      <c r="G555" s="132"/>
      <c r="H555" s="132"/>
      <c r="I555" s="132"/>
      <c r="J555" s="132"/>
      <c r="K555" s="132"/>
      <c r="L555" s="132"/>
      <c r="M555" s="132"/>
      <c r="N555" s="132"/>
      <c r="O555" s="132"/>
      <c r="P555" s="132"/>
      <c r="Q555" s="132"/>
      <c r="R555" s="132"/>
    </row>
    <row r="556" spans="1:18">
      <c r="A556" s="132"/>
      <c r="B556" s="132"/>
      <c r="C556" s="132"/>
      <c r="D556" s="132"/>
      <c r="E556" s="132"/>
      <c r="F556" s="132"/>
      <c r="G556" s="132"/>
      <c r="H556" s="132"/>
      <c r="I556" s="132"/>
      <c r="J556" s="132"/>
      <c r="K556" s="132"/>
      <c r="L556" s="132"/>
      <c r="M556" s="132"/>
      <c r="N556" s="132"/>
      <c r="O556" s="132"/>
      <c r="P556" s="132"/>
      <c r="Q556" s="132"/>
      <c r="R556" s="132"/>
    </row>
    <row r="557" spans="1:18">
      <c r="A557" s="132"/>
      <c r="B557" s="132"/>
      <c r="C557" s="132"/>
      <c r="D557" s="132"/>
      <c r="E557" s="132"/>
      <c r="F557" s="132"/>
      <c r="G557" s="132"/>
      <c r="H557" s="132"/>
      <c r="I557" s="132"/>
      <c r="J557" s="132"/>
      <c r="K557" s="132"/>
      <c r="L557" s="132"/>
      <c r="M557" s="132"/>
      <c r="N557" s="132"/>
      <c r="O557" s="132"/>
      <c r="P557" s="132"/>
      <c r="Q557" s="132"/>
      <c r="R557" s="132"/>
    </row>
    <row r="558" spans="1:18">
      <c r="A558" s="132"/>
      <c r="B558" s="132"/>
      <c r="C558" s="132"/>
      <c r="D558" s="132"/>
      <c r="E558" s="132"/>
      <c r="F558" s="132"/>
      <c r="G558" s="132"/>
      <c r="H558" s="132"/>
      <c r="I558" s="132"/>
      <c r="J558" s="132"/>
      <c r="K558" s="132"/>
      <c r="L558" s="132"/>
      <c r="M558" s="132"/>
      <c r="N558" s="132"/>
      <c r="O558" s="132"/>
      <c r="P558" s="132"/>
      <c r="Q558" s="132"/>
      <c r="R558" s="132"/>
    </row>
    <row r="559" spans="1:18">
      <c r="A559" s="132"/>
      <c r="B559" s="132"/>
      <c r="C559" s="132"/>
      <c r="D559" s="132"/>
      <c r="E559" s="132"/>
      <c r="F559" s="132"/>
      <c r="G559" s="132"/>
      <c r="H559" s="132"/>
      <c r="I559" s="132"/>
      <c r="J559" s="132"/>
      <c r="K559" s="132"/>
      <c r="L559" s="132"/>
      <c r="M559" s="132"/>
      <c r="N559" s="132"/>
      <c r="O559" s="132"/>
      <c r="P559" s="132"/>
      <c r="Q559" s="132"/>
      <c r="R559" s="132"/>
    </row>
    <row r="560" spans="1:18">
      <c r="A560" s="132"/>
      <c r="B560" s="132"/>
      <c r="C560" s="132"/>
      <c r="D560" s="132"/>
      <c r="E560" s="132"/>
      <c r="F560" s="132"/>
      <c r="G560" s="132"/>
      <c r="H560" s="132"/>
      <c r="I560" s="132"/>
      <c r="J560" s="132"/>
      <c r="K560" s="132"/>
      <c r="L560" s="132"/>
      <c r="M560" s="132"/>
      <c r="N560" s="132"/>
      <c r="O560" s="132"/>
      <c r="P560" s="132"/>
      <c r="Q560" s="132"/>
      <c r="R560" s="132"/>
    </row>
    <row r="561" spans="1:18">
      <c r="A561" s="132"/>
      <c r="B561" s="132"/>
      <c r="C561" s="132"/>
      <c r="D561" s="132"/>
      <c r="E561" s="132"/>
      <c r="F561" s="132"/>
      <c r="G561" s="132"/>
      <c r="H561" s="132"/>
      <c r="I561" s="132"/>
      <c r="J561" s="132"/>
      <c r="K561" s="132"/>
      <c r="L561" s="132"/>
      <c r="M561" s="132"/>
      <c r="N561" s="132"/>
      <c r="O561" s="132"/>
      <c r="P561" s="132"/>
      <c r="Q561" s="132"/>
      <c r="R561" s="132"/>
    </row>
    <row r="562" spans="1:18">
      <c r="A562" s="132"/>
      <c r="B562" s="132"/>
      <c r="C562" s="132"/>
      <c r="D562" s="132"/>
      <c r="E562" s="132"/>
      <c r="F562" s="132"/>
      <c r="G562" s="132"/>
      <c r="H562" s="132"/>
      <c r="I562" s="132"/>
      <c r="J562" s="132"/>
      <c r="K562" s="132"/>
      <c r="L562" s="132"/>
      <c r="M562" s="132"/>
      <c r="N562" s="132"/>
      <c r="O562" s="132"/>
      <c r="P562" s="132"/>
      <c r="Q562" s="132"/>
      <c r="R562" s="132"/>
    </row>
    <row r="563" spans="1:18">
      <c r="A563" s="132"/>
      <c r="B563" s="132"/>
      <c r="C563" s="132"/>
      <c r="D563" s="132"/>
      <c r="E563" s="132"/>
      <c r="F563" s="132"/>
      <c r="G563" s="132"/>
      <c r="H563" s="132"/>
      <c r="I563" s="132"/>
      <c r="J563" s="132"/>
      <c r="K563" s="132"/>
      <c r="L563" s="132"/>
      <c r="M563" s="132"/>
      <c r="N563" s="132"/>
      <c r="O563" s="132"/>
      <c r="P563" s="132"/>
      <c r="Q563" s="132"/>
      <c r="R563" s="132"/>
    </row>
    <row r="564" spans="1:18">
      <c r="A564" s="132"/>
      <c r="B564" s="132"/>
      <c r="C564" s="132"/>
      <c r="D564" s="132"/>
      <c r="E564" s="132"/>
      <c r="F564" s="132"/>
      <c r="G564" s="132"/>
      <c r="H564" s="132"/>
      <c r="I564" s="132"/>
      <c r="J564" s="132"/>
      <c r="K564" s="132"/>
      <c r="L564" s="132"/>
      <c r="M564" s="132"/>
      <c r="N564" s="132"/>
      <c r="O564" s="132"/>
      <c r="P564" s="132"/>
      <c r="Q564" s="132"/>
      <c r="R564" s="132"/>
    </row>
    <row r="565" spans="1:18">
      <c r="A565" s="132"/>
      <c r="B565" s="132"/>
      <c r="C565" s="132"/>
      <c r="D565" s="132"/>
      <c r="E565" s="132"/>
      <c r="F565" s="132"/>
      <c r="G565" s="132"/>
      <c r="H565" s="132"/>
      <c r="I565" s="132"/>
      <c r="J565" s="132"/>
      <c r="K565" s="132"/>
      <c r="L565" s="132"/>
      <c r="M565" s="132"/>
      <c r="N565" s="132"/>
      <c r="O565" s="132"/>
      <c r="P565" s="132"/>
      <c r="Q565" s="132"/>
      <c r="R565" s="132"/>
    </row>
    <row r="566" spans="1:18">
      <c r="A566" s="132"/>
      <c r="B566" s="132"/>
      <c r="C566" s="132"/>
      <c r="D566" s="132"/>
      <c r="E566" s="132"/>
      <c r="F566" s="132"/>
      <c r="G566" s="132"/>
      <c r="H566" s="132"/>
      <c r="I566" s="132"/>
      <c r="J566" s="132"/>
      <c r="K566" s="132"/>
      <c r="L566" s="132"/>
      <c r="M566" s="132"/>
      <c r="N566" s="132"/>
      <c r="O566" s="132"/>
      <c r="P566" s="132"/>
      <c r="Q566" s="132"/>
      <c r="R566" s="132"/>
    </row>
    <row r="567" spans="1:18">
      <c r="A567" s="132"/>
      <c r="B567" s="132"/>
      <c r="C567" s="132"/>
      <c r="D567" s="132"/>
      <c r="E567" s="132"/>
      <c r="F567" s="132"/>
      <c r="G567" s="132"/>
      <c r="H567" s="132"/>
      <c r="I567" s="132"/>
      <c r="J567" s="132"/>
      <c r="K567" s="132"/>
      <c r="L567" s="132"/>
      <c r="M567" s="132"/>
      <c r="N567" s="132"/>
      <c r="O567" s="132"/>
      <c r="P567" s="132"/>
      <c r="Q567" s="132"/>
      <c r="R567" s="132"/>
    </row>
    <row r="568" spans="1:18">
      <c r="A568" s="132"/>
      <c r="B568" s="132"/>
      <c r="C568" s="132"/>
      <c r="D568" s="132"/>
      <c r="E568" s="132"/>
      <c r="F568" s="132"/>
      <c r="G568" s="132"/>
      <c r="H568" s="132"/>
      <c r="I568" s="132"/>
      <c r="J568" s="132"/>
      <c r="K568" s="132"/>
      <c r="L568" s="132"/>
      <c r="M568" s="132"/>
      <c r="N568" s="132"/>
      <c r="O568" s="132"/>
      <c r="P568" s="132"/>
      <c r="Q568" s="132"/>
      <c r="R568" s="132"/>
    </row>
    <row r="569" spans="1:18">
      <c r="A569" s="132"/>
      <c r="B569" s="132"/>
      <c r="C569" s="132"/>
      <c r="D569" s="132"/>
      <c r="E569" s="132"/>
      <c r="F569" s="132"/>
      <c r="G569" s="132"/>
      <c r="H569" s="132"/>
      <c r="I569" s="132"/>
      <c r="J569" s="132"/>
      <c r="K569" s="132"/>
      <c r="L569" s="132"/>
      <c r="M569" s="132"/>
      <c r="N569" s="132"/>
      <c r="O569" s="132"/>
      <c r="P569" s="132"/>
      <c r="Q569" s="132"/>
      <c r="R569" s="132"/>
    </row>
    <row r="570" spans="1:18">
      <c r="A570" s="132"/>
      <c r="B570" s="132"/>
      <c r="C570" s="132"/>
      <c r="D570" s="132"/>
      <c r="E570" s="132"/>
      <c r="F570" s="132"/>
      <c r="G570" s="132"/>
      <c r="H570" s="132"/>
      <c r="I570" s="132"/>
      <c r="J570" s="132"/>
      <c r="K570" s="132"/>
      <c r="L570" s="132"/>
      <c r="M570" s="132"/>
      <c r="N570" s="132"/>
      <c r="O570" s="132"/>
      <c r="P570" s="132"/>
      <c r="Q570" s="132"/>
      <c r="R570" s="132"/>
    </row>
    <row r="571" spans="1:18">
      <c r="A571" s="132"/>
      <c r="B571" s="132"/>
      <c r="C571" s="132"/>
      <c r="D571" s="132"/>
      <c r="E571" s="132"/>
      <c r="F571" s="132"/>
      <c r="G571" s="132"/>
      <c r="H571" s="132"/>
      <c r="I571" s="132"/>
      <c r="J571" s="132"/>
      <c r="K571" s="132"/>
      <c r="L571" s="132"/>
      <c r="M571" s="132"/>
      <c r="N571" s="132"/>
      <c r="O571" s="132"/>
      <c r="P571" s="132"/>
      <c r="Q571" s="132"/>
      <c r="R571" s="132"/>
    </row>
    <row r="572" spans="1:18">
      <c r="A572" s="132"/>
      <c r="B572" s="132"/>
      <c r="C572" s="132"/>
      <c r="D572" s="132"/>
      <c r="E572" s="132"/>
      <c r="F572" s="132"/>
      <c r="G572" s="132"/>
      <c r="H572" s="132"/>
      <c r="I572" s="132"/>
      <c r="J572" s="132"/>
      <c r="K572" s="132"/>
      <c r="L572" s="132"/>
      <c r="M572" s="132"/>
      <c r="N572" s="132"/>
      <c r="O572" s="132"/>
      <c r="P572" s="132"/>
      <c r="Q572" s="132"/>
      <c r="R572" s="132"/>
    </row>
    <row r="573" spans="1:18">
      <c r="A573" s="132"/>
      <c r="B573" s="132"/>
      <c r="C573" s="132"/>
      <c r="D573" s="132"/>
      <c r="E573" s="132"/>
      <c r="F573" s="132"/>
      <c r="G573" s="132"/>
      <c r="H573" s="132"/>
      <c r="I573" s="132"/>
      <c r="J573" s="132"/>
      <c r="K573" s="132"/>
      <c r="L573" s="132"/>
      <c r="M573" s="132"/>
      <c r="N573" s="132"/>
      <c r="O573" s="132"/>
      <c r="P573" s="132"/>
      <c r="Q573" s="132"/>
      <c r="R573" s="132"/>
    </row>
    <row r="574" spans="1:18">
      <c r="A574" s="132"/>
      <c r="B574" s="132"/>
      <c r="C574" s="132"/>
      <c r="D574" s="132"/>
      <c r="E574" s="132"/>
      <c r="F574" s="132"/>
      <c r="G574" s="132"/>
      <c r="H574" s="132"/>
      <c r="I574" s="132"/>
      <c r="J574" s="132"/>
      <c r="K574" s="132"/>
      <c r="L574" s="132"/>
      <c r="M574" s="132"/>
      <c r="N574" s="132"/>
      <c r="O574" s="132"/>
      <c r="P574" s="132"/>
      <c r="Q574" s="132"/>
      <c r="R574" s="132"/>
    </row>
    <row r="575" spans="1:18">
      <c r="A575" s="132"/>
      <c r="B575" s="132"/>
      <c r="C575" s="132"/>
      <c r="D575" s="132"/>
      <c r="E575" s="132"/>
      <c r="F575" s="132"/>
      <c r="G575" s="132"/>
      <c r="H575" s="132"/>
      <c r="I575" s="132"/>
      <c r="J575" s="132"/>
      <c r="K575" s="132"/>
      <c r="L575" s="132"/>
      <c r="M575" s="132"/>
      <c r="N575" s="132"/>
      <c r="O575" s="132"/>
      <c r="P575" s="132"/>
      <c r="Q575" s="132"/>
      <c r="R575" s="132"/>
    </row>
    <row r="576" spans="1:18">
      <c r="A576" s="132"/>
      <c r="B576" s="132"/>
      <c r="C576" s="132"/>
      <c r="D576" s="132"/>
      <c r="E576" s="132"/>
      <c r="F576" s="132"/>
      <c r="G576" s="132"/>
      <c r="H576" s="132"/>
      <c r="I576" s="132"/>
      <c r="J576" s="132"/>
      <c r="K576" s="132"/>
      <c r="L576" s="132"/>
      <c r="M576" s="132"/>
      <c r="N576" s="132"/>
      <c r="O576" s="132"/>
      <c r="P576" s="132"/>
      <c r="Q576" s="132"/>
      <c r="R576" s="132"/>
    </row>
    <row r="577" spans="1:18">
      <c r="A577" s="132"/>
      <c r="B577" s="132"/>
      <c r="C577" s="132"/>
      <c r="D577" s="132"/>
      <c r="E577" s="132"/>
      <c r="F577" s="132"/>
      <c r="G577" s="132"/>
      <c r="H577" s="132"/>
      <c r="I577" s="132"/>
      <c r="J577" s="132"/>
      <c r="K577" s="132"/>
      <c r="L577" s="132"/>
      <c r="M577" s="132"/>
      <c r="N577" s="132"/>
      <c r="O577" s="132"/>
      <c r="P577" s="132"/>
      <c r="Q577" s="132"/>
      <c r="R577" s="132"/>
    </row>
    <row r="578" spans="1:18">
      <c r="A578" s="132"/>
      <c r="B578" s="132"/>
      <c r="C578" s="132"/>
      <c r="D578" s="132"/>
      <c r="E578" s="132"/>
      <c r="F578" s="132"/>
      <c r="G578" s="132"/>
      <c r="H578" s="132"/>
      <c r="I578" s="132"/>
      <c r="J578" s="132"/>
      <c r="K578" s="132"/>
      <c r="L578" s="132"/>
      <c r="M578" s="132"/>
      <c r="N578" s="132"/>
      <c r="O578" s="132"/>
      <c r="P578" s="132"/>
      <c r="Q578" s="132"/>
      <c r="R578" s="132"/>
    </row>
    <row r="579" spans="1:18">
      <c r="A579" s="132"/>
      <c r="B579" s="132"/>
      <c r="C579" s="132"/>
      <c r="D579" s="132"/>
      <c r="E579" s="132"/>
      <c r="F579" s="132"/>
      <c r="G579" s="132"/>
      <c r="H579" s="132"/>
      <c r="I579" s="132"/>
      <c r="J579" s="132"/>
      <c r="K579" s="132"/>
      <c r="L579" s="132"/>
      <c r="M579" s="132"/>
      <c r="N579" s="132"/>
      <c r="O579" s="132"/>
      <c r="P579" s="132"/>
      <c r="Q579" s="132"/>
      <c r="R579" s="132"/>
    </row>
    <row r="580" spans="1:18">
      <c r="A580" s="132"/>
      <c r="B580" s="132"/>
      <c r="C580" s="132"/>
      <c r="D580" s="132"/>
      <c r="E580" s="132"/>
      <c r="F580" s="132"/>
      <c r="G580" s="132"/>
      <c r="H580" s="132"/>
      <c r="I580" s="132"/>
      <c r="J580" s="132"/>
      <c r="K580" s="132"/>
      <c r="L580" s="132"/>
      <c r="M580" s="132"/>
      <c r="N580" s="132"/>
      <c r="O580" s="132"/>
      <c r="P580" s="132"/>
      <c r="Q580" s="132"/>
      <c r="R580" s="132"/>
    </row>
    <row r="581" spans="1:18">
      <c r="A581" s="132"/>
      <c r="B581" s="132"/>
      <c r="C581" s="132"/>
      <c r="D581" s="132"/>
      <c r="E581" s="132"/>
      <c r="F581" s="132"/>
      <c r="G581" s="132"/>
      <c r="H581" s="132"/>
      <c r="I581" s="132"/>
      <c r="J581" s="132"/>
      <c r="K581" s="132"/>
      <c r="L581" s="132"/>
      <c r="M581" s="132"/>
      <c r="N581" s="132"/>
      <c r="O581" s="132"/>
      <c r="P581" s="132"/>
      <c r="Q581" s="132"/>
      <c r="R581" s="132"/>
    </row>
    <row r="582" spans="1:18">
      <c r="A582" s="132"/>
      <c r="B582" s="132"/>
      <c r="C582" s="132"/>
      <c r="D582" s="132"/>
      <c r="E582" s="132"/>
      <c r="F582" s="132"/>
      <c r="G582" s="132"/>
      <c r="H582" s="132"/>
      <c r="I582" s="132"/>
      <c r="J582" s="132"/>
      <c r="K582" s="132"/>
      <c r="L582" s="132"/>
      <c r="M582" s="132"/>
      <c r="N582" s="132"/>
      <c r="O582" s="132"/>
      <c r="P582" s="132"/>
      <c r="Q582" s="132"/>
      <c r="R582" s="132"/>
    </row>
    <row r="583" spans="1:18">
      <c r="A583" s="132"/>
      <c r="B583" s="132"/>
      <c r="C583" s="132"/>
      <c r="D583" s="132"/>
      <c r="E583" s="132"/>
      <c r="F583" s="132"/>
      <c r="G583" s="132"/>
      <c r="H583" s="132"/>
      <c r="I583" s="132"/>
      <c r="J583" s="132"/>
      <c r="K583" s="132"/>
      <c r="L583" s="132"/>
      <c r="M583" s="132"/>
      <c r="N583" s="132"/>
      <c r="O583" s="132"/>
      <c r="P583" s="132"/>
      <c r="Q583" s="132"/>
      <c r="R583" s="132"/>
    </row>
    <row r="584" spans="1:18">
      <c r="A584" s="132"/>
      <c r="B584" s="132"/>
      <c r="C584" s="132"/>
      <c r="D584" s="132"/>
      <c r="E584" s="132"/>
      <c r="F584" s="132"/>
      <c r="G584" s="132"/>
      <c r="H584" s="132"/>
      <c r="I584" s="132"/>
      <c r="J584" s="132"/>
      <c r="K584" s="132"/>
      <c r="L584" s="132"/>
      <c r="M584" s="132"/>
      <c r="N584" s="132"/>
      <c r="O584" s="132"/>
      <c r="P584" s="132"/>
      <c r="Q584" s="132"/>
      <c r="R584" s="132"/>
    </row>
    <row r="585" spans="1:18">
      <c r="A585" s="132"/>
      <c r="B585" s="132"/>
      <c r="C585" s="132"/>
      <c r="D585" s="132"/>
      <c r="E585" s="132"/>
      <c r="F585" s="132"/>
      <c r="G585" s="132"/>
      <c r="H585" s="132"/>
      <c r="I585" s="132"/>
      <c r="J585" s="132"/>
      <c r="K585" s="132"/>
      <c r="L585" s="132"/>
      <c r="M585" s="132"/>
      <c r="N585" s="132"/>
      <c r="O585" s="132"/>
      <c r="P585" s="132"/>
      <c r="Q585" s="132"/>
      <c r="R585" s="132"/>
    </row>
    <row r="586" spans="1:18">
      <c r="A586" s="132"/>
      <c r="B586" s="132"/>
      <c r="C586" s="132"/>
      <c r="D586" s="132"/>
      <c r="E586" s="132"/>
      <c r="F586" s="132"/>
      <c r="G586" s="132"/>
      <c r="H586" s="132"/>
      <c r="I586" s="132"/>
      <c r="J586" s="132"/>
      <c r="K586" s="132"/>
      <c r="L586" s="132"/>
      <c r="M586" s="132"/>
      <c r="N586" s="132"/>
      <c r="O586" s="132"/>
      <c r="P586" s="132"/>
      <c r="Q586" s="132"/>
      <c r="R586" s="132"/>
    </row>
    <row r="587" spans="1:18">
      <c r="A587" s="132"/>
      <c r="B587" s="132"/>
      <c r="C587" s="132"/>
      <c r="D587" s="132"/>
      <c r="E587" s="132"/>
      <c r="F587" s="132"/>
      <c r="G587" s="132"/>
      <c r="H587" s="132"/>
      <c r="I587" s="132"/>
      <c r="J587" s="132"/>
      <c r="K587" s="132"/>
      <c r="L587" s="132"/>
      <c r="M587" s="132"/>
      <c r="N587" s="132"/>
      <c r="O587" s="132"/>
      <c r="P587" s="132"/>
      <c r="Q587" s="132"/>
      <c r="R587" s="132"/>
    </row>
    <row r="588" spans="1:18">
      <c r="A588" s="132"/>
      <c r="B588" s="132"/>
      <c r="C588" s="132"/>
      <c r="D588" s="132"/>
      <c r="E588" s="132"/>
      <c r="F588" s="132"/>
      <c r="G588" s="132"/>
      <c r="H588" s="132"/>
      <c r="I588" s="132"/>
      <c r="J588" s="132"/>
      <c r="K588" s="132"/>
      <c r="L588" s="132"/>
      <c r="M588" s="132"/>
      <c r="N588" s="132"/>
      <c r="O588" s="132"/>
      <c r="P588" s="132"/>
      <c r="Q588" s="132"/>
      <c r="R588" s="132"/>
    </row>
    <row r="589" spans="1:18">
      <c r="A589" s="132"/>
      <c r="B589" s="132"/>
      <c r="C589" s="132"/>
      <c r="D589" s="132"/>
      <c r="E589" s="132"/>
      <c r="F589" s="132"/>
      <c r="G589" s="132"/>
      <c r="H589" s="132"/>
      <c r="I589" s="132"/>
      <c r="J589" s="132"/>
      <c r="K589" s="132"/>
      <c r="L589" s="132"/>
      <c r="M589" s="132"/>
      <c r="N589" s="132"/>
      <c r="O589" s="132"/>
      <c r="P589" s="132"/>
      <c r="Q589" s="132"/>
      <c r="R589" s="132"/>
    </row>
    <row r="590" spans="1:18">
      <c r="A590" s="132"/>
      <c r="B590" s="132"/>
      <c r="C590" s="132"/>
      <c r="D590" s="132"/>
      <c r="E590" s="132"/>
      <c r="F590" s="132"/>
      <c r="G590" s="132"/>
      <c r="H590" s="132"/>
      <c r="I590" s="132"/>
      <c r="J590" s="132"/>
      <c r="K590" s="132"/>
      <c r="L590" s="132"/>
      <c r="M590" s="132"/>
      <c r="N590" s="132"/>
      <c r="O590" s="132"/>
      <c r="P590" s="132"/>
      <c r="Q590" s="132"/>
      <c r="R590" s="132"/>
    </row>
    <row r="591" spans="1:18">
      <c r="A591" s="132"/>
      <c r="B591" s="132"/>
      <c r="C591" s="132"/>
      <c r="D591" s="132"/>
      <c r="E591" s="132"/>
      <c r="F591" s="132"/>
      <c r="G591" s="132"/>
      <c r="H591" s="132"/>
      <c r="I591" s="132"/>
      <c r="J591" s="132"/>
      <c r="K591" s="132"/>
      <c r="L591" s="132"/>
      <c r="M591" s="132"/>
      <c r="N591" s="132"/>
      <c r="O591" s="132"/>
      <c r="P591" s="132"/>
      <c r="Q591" s="132"/>
      <c r="R591" s="132"/>
    </row>
    <row r="592" spans="1:18">
      <c r="A592" s="132"/>
      <c r="B592" s="132"/>
      <c r="C592" s="132"/>
      <c r="D592" s="132"/>
      <c r="E592" s="132"/>
      <c r="F592" s="132"/>
      <c r="G592" s="132"/>
      <c r="H592" s="132"/>
      <c r="I592" s="132"/>
      <c r="J592" s="132"/>
      <c r="K592" s="132"/>
      <c r="L592" s="132"/>
      <c r="M592" s="132"/>
      <c r="N592" s="132"/>
      <c r="O592" s="132"/>
      <c r="P592" s="132"/>
      <c r="Q592" s="132"/>
      <c r="R592" s="132"/>
    </row>
    <row r="593" spans="1:18">
      <c r="A593" s="132"/>
      <c r="B593" s="132"/>
      <c r="C593" s="132"/>
      <c r="D593" s="132"/>
      <c r="E593" s="132"/>
      <c r="F593" s="132"/>
      <c r="G593" s="132"/>
      <c r="H593" s="132"/>
      <c r="I593" s="132"/>
      <c r="J593" s="132"/>
      <c r="K593" s="132"/>
      <c r="L593" s="132"/>
      <c r="M593" s="132"/>
      <c r="N593" s="132"/>
      <c r="O593" s="132"/>
      <c r="P593" s="132"/>
      <c r="Q593" s="132"/>
      <c r="R593" s="132"/>
    </row>
    <row r="594" spans="1:18">
      <c r="A594" s="132"/>
      <c r="B594" s="132"/>
      <c r="C594" s="132"/>
      <c r="D594" s="132"/>
      <c r="E594" s="132"/>
      <c r="F594" s="132"/>
      <c r="G594" s="132"/>
      <c r="H594" s="132"/>
      <c r="I594" s="132"/>
      <c r="J594" s="132"/>
      <c r="K594" s="132"/>
      <c r="L594" s="132"/>
      <c r="M594" s="132"/>
      <c r="N594" s="132"/>
      <c r="O594" s="132"/>
      <c r="P594" s="132"/>
      <c r="Q594" s="132"/>
      <c r="R594" s="132"/>
    </row>
    <row r="595" spans="1:18">
      <c r="A595" s="132"/>
      <c r="B595" s="132"/>
      <c r="C595" s="132"/>
      <c r="D595" s="132"/>
      <c r="E595" s="132"/>
      <c r="F595" s="132"/>
      <c r="G595" s="132"/>
      <c r="H595" s="132"/>
      <c r="I595" s="132"/>
      <c r="J595" s="132"/>
      <c r="K595" s="132"/>
      <c r="L595" s="132"/>
      <c r="M595" s="132"/>
      <c r="N595" s="132"/>
      <c r="O595" s="132"/>
      <c r="P595" s="132"/>
      <c r="Q595" s="132"/>
      <c r="R595" s="132"/>
    </row>
    <row r="596" spans="1:18">
      <c r="A596" s="132"/>
      <c r="B596" s="132"/>
      <c r="C596" s="132"/>
      <c r="D596" s="132"/>
      <c r="E596" s="132"/>
      <c r="F596" s="132"/>
      <c r="G596" s="132"/>
      <c r="H596" s="132"/>
      <c r="I596" s="132"/>
      <c r="J596" s="132"/>
      <c r="K596" s="132"/>
      <c r="L596" s="132"/>
      <c r="M596" s="132"/>
      <c r="N596" s="132"/>
      <c r="O596" s="132"/>
      <c r="P596" s="132"/>
      <c r="Q596" s="132"/>
      <c r="R596" s="132"/>
    </row>
    <row r="597" spans="1:18">
      <c r="A597" s="132"/>
      <c r="B597" s="132"/>
      <c r="C597" s="132"/>
      <c r="D597" s="132"/>
      <c r="E597" s="132"/>
      <c r="F597" s="132"/>
      <c r="G597" s="132"/>
      <c r="H597" s="132"/>
      <c r="I597" s="132"/>
      <c r="J597" s="132"/>
      <c r="K597" s="132"/>
      <c r="L597" s="132"/>
      <c r="M597" s="132"/>
      <c r="N597" s="132"/>
      <c r="O597" s="132"/>
      <c r="P597" s="132"/>
      <c r="Q597" s="132"/>
      <c r="R597" s="132"/>
    </row>
    <row r="598" spans="1:18">
      <c r="A598" s="132"/>
      <c r="B598" s="132"/>
      <c r="C598" s="132"/>
      <c r="D598" s="132"/>
      <c r="E598" s="132"/>
      <c r="F598" s="132"/>
      <c r="G598" s="132"/>
      <c r="H598" s="132"/>
      <c r="I598" s="132"/>
      <c r="J598" s="132"/>
      <c r="K598" s="132"/>
      <c r="L598" s="132"/>
      <c r="M598" s="132"/>
      <c r="N598" s="132"/>
      <c r="O598" s="132"/>
      <c r="P598" s="132"/>
      <c r="Q598" s="132"/>
      <c r="R598" s="132"/>
    </row>
    <row r="599" spans="1:18">
      <c r="A599" s="132"/>
      <c r="B599" s="132"/>
      <c r="C599" s="132"/>
      <c r="D599" s="132"/>
      <c r="E599" s="132"/>
      <c r="F599" s="132"/>
      <c r="G599" s="132"/>
      <c r="H599" s="132"/>
      <c r="I599" s="132"/>
      <c r="J599" s="132"/>
      <c r="K599" s="132"/>
      <c r="L599" s="132"/>
      <c r="M599" s="132"/>
      <c r="N599" s="132"/>
      <c r="O599" s="132"/>
      <c r="P599" s="132"/>
      <c r="Q599" s="132"/>
      <c r="R599" s="132"/>
    </row>
    <row r="600" spans="1:18">
      <c r="A600" s="132"/>
      <c r="B600" s="132"/>
      <c r="C600" s="132"/>
      <c r="D600" s="132"/>
      <c r="E600" s="132"/>
      <c r="F600" s="132"/>
      <c r="G600" s="132"/>
      <c r="H600" s="132"/>
      <c r="I600" s="132"/>
      <c r="J600" s="132"/>
      <c r="K600" s="132"/>
      <c r="L600" s="132"/>
      <c r="M600" s="132"/>
      <c r="N600" s="132"/>
      <c r="O600" s="132"/>
      <c r="P600" s="132"/>
      <c r="Q600" s="132"/>
      <c r="R600" s="132"/>
    </row>
    <row r="601" spans="1:18">
      <c r="A601" s="132"/>
      <c r="B601" s="132"/>
      <c r="C601" s="132"/>
      <c r="D601" s="132"/>
      <c r="E601" s="132"/>
      <c r="F601" s="132"/>
      <c r="G601" s="132"/>
      <c r="H601" s="132"/>
      <c r="I601" s="132"/>
      <c r="J601" s="132"/>
      <c r="K601" s="132"/>
      <c r="L601" s="132"/>
      <c r="M601" s="132"/>
      <c r="N601" s="132"/>
      <c r="O601" s="132"/>
      <c r="P601" s="132"/>
      <c r="Q601" s="132"/>
      <c r="R601" s="132"/>
    </row>
    <row r="602" spans="1:18">
      <c r="A602" s="132"/>
      <c r="B602" s="132"/>
      <c r="C602" s="132"/>
      <c r="D602" s="132"/>
      <c r="E602" s="132"/>
      <c r="F602" s="132"/>
      <c r="G602" s="132"/>
      <c r="H602" s="132"/>
      <c r="I602" s="132"/>
      <c r="J602" s="132"/>
      <c r="K602" s="132"/>
      <c r="L602" s="132"/>
      <c r="M602" s="132"/>
      <c r="N602" s="132"/>
      <c r="O602" s="132"/>
      <c r="P602" s="132"/>
      <c r="Q602" s="132"/>
      <c r="R602" s="132"/>
    </row>
    <row r="603" spans="1:18">
      <c r="A603" s="132"/>
      <c r="B603" s="132"/>
      <c r="C603" s="132"/>
      <c r="D603" s="132"/>
      <c r="E603" s="132"/>
      <c r="F603" s="132"/>
      <c r="G603" s="132"/>
      <c r="H603" s="132"/>
      <c r="I603" s="132"/>
      <c r="J603" s="132"/>
      <c r="K603" s="132"/>
      <c r="L603" s="132"/>
      <c r="M603" s="132"/>
      <c r="N603" s="132"/>
      <c r="O603" s="132"/>
      <c r="P603" s="132"/>
      <c r="Q603" s="132"/>
      <c r="R603" s="132"/>
    </row>
    <row r="604" spans="1:18">
      <c r="A604" s="132"/>
      <c r="B604" s="132"/>
      <c r="C604" s="132"/>
      <c r="D604" s="132"/>
      <c r="E604" s="132"/>
      <c r="F604" s="132"/>
      <c r="G604" s="132"/>
      <c r="H604" s="132"/>
      <c r="I604" s="132"/>
      <c r="J604" s="132"/>
      <c r="K604" s="132"/>
      <c r="L604" s="132"/>
      <c r="M604" s="132"/>
      <c r="N604" s="132"/>
      <c r="O604" s="132"/>
      <c r="P604" s="132"/>
      <c r="Q604" s="132"/>
      <c r="R604" s="132"/>
    </row>
    <row r="605" spans="1:18">
      <c r="A605" s="132"/>
      <c r="B605" s="132"/>
      <c r="C605" s="132"/>
      <c r="D605" s="132"/>
      <c r="E605" s="132"/>
      <c r="F605" s="132"/>
      <c r="G605" s="132"/>
      <c r="H605" s="132"/>
      <c r="I605" s="132"/>
      <c r="J605" s="132"/>
      <c r="K605" s="132"/>
      <c r="L605" s="132"/>
      <c r="M605" s="132"/>
      <c r="N605" s="132"/>
      <c r="O605" s="132"/>
      <c r="P605" s="132"/>
      <c r="Q605" s="132"/>
      <c r="R605" s="132"/>
    </row>
    <row r="606" spans="1:18">
      <c r="A606" s="132"/>
      <c r="B606" s="132"/>
      <c r="C606" s="132"/>
      <c r="D606" s="132"/>
      <c r="E606" s="132"/>
      <c r="F606" s="132"/>
      <c r="G606" s="132"/>
      <c r="H606" s="132"/>
      <c r="I606" s="132"/>
      <c r="J606" s="132"/>
      <c r="K606" s="132"/>
      <c r="L606" s="132"/>
      <c r="M606" s="132"/>
      <c r="N606" s="132"/>
      <c r="O606" s="132"/>
      <c r="P606" s="132"/>
      <c r="Q606" s="132"/>
      <c r="R606" s="132"/>
    </row>
    <row r="607" spans="1:18">
      <c r="A607" s="132"/>
      <c r="B607" s="132"/>
      <c r="C607" s="132"/>
      <c r="D607" s="132"/>
      <c r="E607" s="132"/>
      <c r="F607" s="132"/>
      <c r="G607" s="132"/>
      <c r="H607" s="132"/>
      <c r="I607" s="132"/>
      <c r="J607" s="132"/>
      <c r="K607" s="132"/>
      <c r="L607" s="132"/>
      <c r="M607" s="132"/>
      <c r="N607" s="132"/>
      <c r="O607" s="132"/>
      <c r="P607" s="132"/>
      <c r="Q607" s="132"/>
      <c r="R607" s="132"/>
    </row>
    <row r="608" spans="1:18">
      <c r="A608" s="132"/>
      <c r="B608" s="132"/>
      <c r="C608" s="132"/>
      <c r="D608" s="132"/>
      <c r="E608" s="132"/>
      <c r="F608" s="132"/>
      <c r="G608" s="132"/>
      <c r="H608" s="132"/>
      <c r="I608" s="132"/>
      <c r="J608" s="132"/>
      <c r="K608" s="132"/>
      <c r="L608" s="132"/>
      <c r="M608" s="132"/>
      <c r="N608" s="132"/>
      <c r="O608" s="132"/>
      <c r="P608" s="132"/>
      <c r="Q608" s="132"/>
      <c r="R608" s="132"/>
    </row>
    <row r="609" spans="1:18">
      <c r="A609" s="132"/>
      <c r="B609" s="132"/>
      <c r="C609" s="132"/>
      <c r="D609" s="132"/>
      <c r="E609" s="132"/>
      <c r="F609" s="132"/>
      <c r="G609" s="132"/>
      <c r="H609" s="132"/>
      <c r="I609" s="132"/>
      <c r="J609" s="132"/>
      <c r="K609" s="132"/>
      <c r="L609" s="132"/>
      <c r="M609" s="132"/>
      <c r="N609" s="132"/>
      <c r="O609" s="132"/>
      <c r="P609" s="132"/>
      <c r="Q609" s="132"/>
      <c r="R609" s="132"/>
    </row>
    <row r="610" spans="1:18">
      <c r="A610" s="132"/>
      <c r="B610" s="132"/>
      <c r="C610" s="132"/>
      <c r="D610" s="132"/>
      <c r="E610" s="132"/>
      <c r="F610" s="132"/>
      <c r="G610" s="132"/>
      <c r="H610" s="132"/>
      <c r="I610" s="132"/>
      <c r="J610" s="132"/>
      <c r="K610" s="132"/>
      <c r="L610" s="132"/>
      <c r="M610" s="132"/>
      <c r="N610" s="132"/>
      <c r="O610" s="132"/>
      <c r="P610" s="132"/>
      <c r="Q610" s="132"/>
      <c r="R610" s="132"/>
    </row>
    <row r="611" spans="1:18">
      <c r="A611" s="132"/>
      <c r="B611" s="132"/>
      <c r="C611" s="132"/>
      <c r="D611" s="132"/>
      <c r="E611" s="132"/>
      <c r="F611" s="132"/>
      <c r="G611" s="132"/>
      <c r="H611" s="132"/>
      <c r="I611" s="132"/>
      <c r="J611" s="132"/>
      <c r="K611" s="132"/>
      <c r="L611" s="132"/>
      <c r="M611" s="132"/>
      <c r="N611" s="132"/>
      <c r="O611" s="132"/>
      <c r="P611" s="132"/>
      <c r="Q611" s="132"/>
      <c r="R611" s="132"/>
    </row>
    <row r="612" spans="1:18">
      <c r="A612" s="132"/>
      <c r="B612" s="132"/>
      <c r="C612" s="132"/>
      <c r="D612" s="132"/>
      <c r="E612" s="132"/>
      <c r="F612" s="132"/>
      <c r="G612" s="132"/>
      <c r="H612" s="132"/>
      <c r="I612" s="132"/>
      <c r="J612" s="132"/>
      <c r="K612" s="132"/>
      <c r="L612" s="132"/>
      <c r="M612" s="132"/>
      <c r="N612" s="132"/>
      <c r="O612" s="132"/>
      <c r="P612" s="132"/>
      <c r="Q612" s="132"/>
      <c r="R612" s="132"/>
    </row>
    <row r="613" spans="1:18">
      <c r="A613" s="132"/>
      <c r="B613" s="132"/>
      <c r="C613" s="132"/>
      <c r="D613" s="132"/>
      <c r="E613" s="132"/>
      <c r="F613" s="132"/>
      <c r="G613" s="132"/>
      <c r="H613" s="132"/>
      <c r="I613" s="132"/>
      <c r="J613" s="132"/>
      <c r="K613" s="132"/>
      <c r="L613" s="132"/>
      <c r="M613" s="132"/>
      <c r="N613" s="132"/>
      <c r="O613" s="132"/>
      <c r="P613" s="132"/>
      <c r="Q613" s="132"/>
      <c r="R613" s="132"/>
    </row>
    <row r="614" spans="1:18">
      <c r="A614" s="132"/>
      <c r="B614" s="132"/>
      <c r="C614" s="132"/>
      <c r="D614" s="132"/>
      <c r="E614" s="132"/>
      <c r="F614" s="132"/>
      <c r="G614" s="132"/>
      <c r="H614" s="132"/>
      <c r="I614" s="132"/>
      <c r="J614" s="132"/>
      <c r="K614" s="132"/>
      <c r="L614" s="132"/>
      <c r="M614" s="132"/>
      <c r="N614" s="132"/>
      <c r="O614" s="132"/>
      <c r="P614" s="132"/>
      <c r="Q614" s="132"/>
      <c r="R614" s="132"/>
    </row>
    <row r="615" spans="1:18">
      <c r="A615" s="132"/>
      <c r="B615" s="132"/>
      <c r="C615" s="132"/>
      <c r="D615" s="132"/>
      <c r="E615" s="132"/>
      <c r="F615" s="132"/>
      <c r="G615" s="132"/>
      <c r="H615" s="132"/>
      <c r="I615" s="132"/>
      <c r="J615" s="132"/>
      <c r="K615" s="132"/>
      <c r="L615" s="132"/>
      <c r="M615" s="132"/>
      <c r="N615" s="132"/>
      <c r="O615" s="132"/>
      <c r="P615" s="132"/>
      <c r="Q615" s="132"/>
      <c r="R615" s="132"/>
    </row>
    <row r="616" spans="1:18">
      <c r="A616" s="132"/>
      <c r="B616" s="132"/>
      <c r="C616" s="132"/>
      <c r="D616" s="132"/>
      <c r="E616" s="132"/>
      <c r="F616" s="132"/>
      <c r="G616" s="132"/>
      <c r="H616" s="132"/>
      <c r="I616" s="132"/>
      <c r="J616" s="132"/>
      <c r="K616" s="132"/>
      <c r="L616" s="132"/>
      <c r="M616" s="132"/>
      <c r="N616" s="132"/>
      <c r="O616" s="132"/>
      <c r="P616" s="132"/>
      <c r="Q616" s="132"/>
      <c r="R616" s="132"/>
    </row>
    <row r="617" spans="1:18">
      <c r="A617" s="132"/>
      <c r="B617" s="132"/>
      <c r="C617" s="132"/>
      <c r="D617" s="132"/>
      <c r="E617" s="132"/>
      <c r="F617" s="132"/>
      <c r="G617" s="132"/>
      <c r="H617" s="132"/>
      <c r="I617" s="132"/>
      <c r="J617" s="132"/>
      <c r="K617" s="132"/>
      <c r="L617" s="132"/>
      <c r="M617" s="132"/>
      <c r="N617" s="132"/>
      <c r="O617" s="132"/>
      <c r="P617" s="132"/>
      <c r="Q617" s="132"/>
      <c r="R617" s="132"/>
    </row>
    <row r="618" spans="1:18">
      <c r="A618" s="132"/>
      <c r="B618" s="132"/>
      <c r="C618" s="132"/>
      <c r="D618" s="132"/>
      <c r="E618" s="132"/>
      <c r="F618" s="132"/>
      <c r="G618" s="132"/>
      <c r="H618" s="132"/>
      <c r="I618" s="132"/>
      <c r="J618" s="132"/>
      <c r="K618" s="132"/>
      <c r="L618" s="132"/>
      <c r="M618" s="132"/>
      <c r="N618" s="132"/>
      <c r="O618" s="132"/>
      <c r="P618" s="132"/>
      <c r="Q618" s="132"/>
      <c r="R618" s="132"/>
    </row>
    <row r="619" spans="1:18">
      <c r="A619" s="132"/>
      <c r="B619" s="132"/>
      <c r="C619" s="132"/>
      <c r="D619" s="132"/>
      <c r="E619" s="132"/>
      <c r="F619" s="132"/>
      <c r="G619" s="132"/>
      <c r="H619" s="132"/>
      <c r="I619" s="132"/>
      <c r="J619" s="132"/>
      <c r="K619" s="132"/>
      <c r="L619" s="132"/>
      <c r="M619" s="132"/>
      <c r="N619" s="132"/>
      <c r="O619" s="132"/>
      <c r="P619" s="132"/>
      <c r="Q619" s="132"/>
      <c r="R619" s="132"/>
    </row>
    <row r="620" spans="1:18">
      <c r="A620" s="132"/>
      <c r="B620" s="132"/>
      <c r="C620" s="132"/>
      <c r="D620" s="132"/>
      <c r="E620" s="132"/>
      <c r="F620" s="132"/>
      <c r="G620" s="132"/>
      <c r="H620" s="132"/>
      <c r="I620" s="132"/>
      <c r="J620" s="132"/>
      <c r="K620" s="132"/>
      <c r="L620" s="132"/>
      <c r="M620" s="132"/>
      <c r="N620" s="132"/>
      <c r="O620" s="132"/>
      <c r="P620" s="132"/>
      <c r="Q620" s="132"/>
      <c r="R620" s="132"/>
    </row>
    <row r="621" spans="1:18">
      <c r="A621" s="132"/>
      <c r="B621" s="132"/>
      <c r="C621" s="132"/>
      <c r="D621" s="132"/>
      <c r="E621" s="132"/>
      <c r="F621" s="132"/>
      <c r="G621" s="132"/>
      <c r="H621" s="132"/>
      <c r="I621" s="132"/>
      <c r="J621" s="132"/>
      <c r="K621" s="132"/>
      <c r="L621" s="132"/>
      <c r="M621" s="132"/>
      <c r="N621" s="132"/>
      <c r="O621" s="132"/>
      <c r="P621" s="132"/>
      <c r="Q621" s="132"/>
      <c r="R621" s="132"/>
    </row>
    <row r="622" spans="1:18">
      <c r="A622" s="132"/>
      <c r="B622" s="132"/>
      <c r="C622" s="132"/>
      <c r="D622" s="132"/>
      <c r="E622" s="132"/>
      <c r="F622" s="132"/>
      <c r="G622" s="132"/>
      <c r="H622" s="132"/>
      <c r="I622" s="132"/>
      <c r="J622" s="132"/>
      <c r="K622" s="132"/>
      <c r="L622" s="132"/>
      <c r="M622" s="132"/>
      <c r="N622" s="132"/>
      <c r="O622" s="132"/>
      <c r="P622" s="132"/>
      <c r="Q622" s="132"/>
      <c r="R622" s="132"/>
    </row>
    <row r="623" spans="1:18">
      <c r="A623" s="132"/>
      <c r="B623" s="132"/>
      <c r="C623" s="132"/>
      <c r="D623" s="132"/>
      <c r="E623" s="132"/>
      <c r="F623" s="132"/>
      <c r="G623" s="132"/>
      <c r="H623" s="132"/>
      <c r="I623" s="132"/>
      <c r="J623" s="132"/>
      <c r="K623" s="132"/>
      <c r="L623" s="132"/>
      <c r="M623" s="132"/>
      <c r="N623" s="132"/>
      <c r="O623" s="132"/>
      <c r="P623" s="132"/>
      <c r="Q623" s="132"/>
      <c r="R623" s="132"/>
    </row>
    <row r="624" spans="1:18">
      <c r="A624" s="132"/>
      <c r="B624" s="132"/>
      <c r="C624" s="132"/>
      <c r="D624" s="132"/>
      <c r="E624" s="132"/>
      <c r="F624" s="132"/>
      <c r="G624" s="132"/>
      <c r="H624" s="132"/>
      <c r="I624" s="132"/>
      <c r="J624" s="132"/>
      <c r="K624" s="132"/>
      <c r="L624" s="132"/>
      <c r="M624" s="132"/>
      <c r="N624" s="132"/>
      <c r="O624" s="132"/>
      <c r="P624" s="132"/>
      <c r="Q624" s="132"/>
      <c r="R624" s="132"/>
    </row>
    <row r="625" spans="1:18">
      <c r="A625" s="132"/>
      <c r="B625" s="132"/>
      <c r="C625" s="132"/>
      <c r="D625" s="132"/>
      <c r="E625" s="132"/>
      <c r="F625" s="132"/>
      <c r="G625" s="132"/>
      <c r="H625" s="132"/>
      <c r="I625" s="132"/>
      <c r="J625" s="132"/>
      <c r="K625" s="132"/>
      <c r="L625" s="132"/>
      <c r="M625" s="132"/>
      <c r="N625" s="132"/>
      <c r="O625" s="132"/>
      <c r="P625" s="132"/>
      <c r="Q625" s="132"/>
      <c r="R625" s="132"/>
    </row>
    <row r="626" spans="1:18">
      <c r="A626" s="132"/>
      <c r="B626" s="132"/>
      <c r="C626" s="132"/>
      <c r="D626" s="132"/>
      <c r="E626" s="132"/>
      <c r="F626" s="132"/>
      <c r="G626" s="132"/>
      <c r="H626" s="132"/>
      <c r="I626" s="132"/>
      <c r="J626" s="132"/>
      <c r="K626" s="132"/>
      <c r="L626" s="132"/>
      <c r="M626" s="132"/>
      <c r="N626" s="132"/>
      <c r="O626" s="132"/>
      <c r="P626" s="132"/>
      <c r="Q626" s="132"/>
      <c r="R626" s="132"/>
    </row>
    <row r="627" spans="1:18">
      <c r="A627" s="132"/>
      <c r="B627" s="132"/>
      <c r="C627" s="132"/>
      <c r="D627" s="132"/>
      <c r="E627" s="132"/>
      <c r="F627" s="132"/>
      <c r="G627" s="132"/>
      <c r="H627" s="132"/>
      <c r="I627" s="132"/>
      <c r="J627" s="132"/>
      <c r="K627" s="132"/>
      <c r="L627" s="132"/>
      <c r="M627" s="132"/>
      <c r="N627" s="132"/>
      <c r="O627" s="132"/>
      <c r="P627" s="132"/>
      <c r="Q627" s="132"/>
      <c r="R627" s="132"/>
    </row>
    <row r="628" spans="1:18">
      <c r="A628" s="132"/>
      <c r="B628" s="132"/>
      <c r="C628" s="132"/>
      <c r="D628" s="132"/>
      <c r="E628" s="132"/>
      <c r="F628" s="132"/>
      <c r="G628" s="132"/>
      <c r="H628" s="132"/>
      <c r="I628" s="132"/>
      <c r="J628" s="132"/>
      <c r="K628" s="132"/>
      <c r="L628" s="132"/>
      <c r="M628" s="132"/>
      <c r="N628" s="132"/>
      <c r="O628" s="132"/>
      <c r="P628" s="132"/>
      <c r="Q628" s="132"/>
      <c r="R628" s="132"/>
    </row>
    <row r="629" spans="1:18">
      <c r="A629" s="132"/>
      <c r="B629" s="132"/>
      <c r="C629" s="132"/>
      <c r="D629" s="132"/>
      <c r="E629" s="132"/>
      <c r="F629" s="132"/>
      <c r="G629" s="132"/>
      <c r="H629" s="132"/>
      <c r="I629" s="132"/>
      <c r="J629" s="132"/>
      <c r="K629" s="132"/>
      <c r="L629" s="132"/>
      <c r="M629" s="132"/>
      <c r="N629" s="132"/>
      <c r="O629" s="132"/>
      <c r="P629" s="132"/>
      <c r="Q629" s="132"/>
      <c r="R629" s="132"/>
    </row>
    <row r="630" spans="1:18">
      <c r="A630" s="132"/>
      <c r="B630" s="132"/>
      <c r="C630" s="132"/>
      <c r="D630" s="132"/>
      <c r="E630" s="132"/>
      <c r="F630" s="132"/>
      <c r="G630" s="132"/>
      <c r="H630" s="132"/>
      <c r="I630" s="132"/>
      <c r="J630" s="132"/>
      <c r="K630" s="132"/>
      <c r="L630" s="132"/>
      <c r="M630" s="132"/>
      <c r="N630" s="132"/>
      <c r="O630" s="132"/>
      <c r="P630" s="132"/>
      <c r="Q630" s="132"/>
      <c r="R630" s="132"/>
    </row>
    <row r="631" spans="1:18">
      <c r="A631" s="132"/>
      <c r="B631" s="132"/>
      <c r="C631" s="132"/>
      <c r="D631" s="132"/>
      <c r="E631" s="132"/>
      <c r="F631" s="132"/>
      <c r="G631" s="132"/>
      <c r="H631" s="132"/>
      <c r="I631" s="132"/>
      <c r="J631" s="132"/>
      <c r="K631" s="132"/>
      <c r="L631" s="132"/>
      <c r="M631" s="132"/>
      <c r="N631" s="132"/>
      <c r="O631" s="132"/>
      <c r="P631" s="132"/>
      <c r="Q631" s="132"/>
      <c r="R631" s="132"/>
    </row>
    <row r="632" spans="1:18">
      <c r="A632" s="132"/>
      <c r="B632" s="132"/>
      <c r="C632" s="132"/>
      <c r="D632" s="132"/>
      <c r="E632" s="132"/>
      <c r="F632" s="132"/>
      <c r="G632" s="132"/>
      <c r="H632" s="132"/>
      <c r="I632" s="132"/>
      <c r="J632" s="132"/>
      <c r="K632" s="132"/>
      <c r="L632" s="132"/>
      <c r="M632" s="132"/>
      <c r="N632" s="132"/>
      <c r="O632" s="132"/>
      <c r="P632" s="132"/>
      <c r="Q632" s="132"/>
      <c r="R632" s="132"/>
    </row>
    <row r="633" spans="1:18">
      <c r="A633" s="132"/>
      <c r="B633" s="132"/>
      <c r="C633" s="132"/>
      <c r="D633" s="132"/>
      <c r="E633" s="132"/>
      <c r="F633" s="132"/>
      <c r="G633" s="132"/>
      <c r="H633" s="132"/>
      <c r="I633" s="132"/>
      <c r="J633" s="132"/>
      <c r="K633" s="132"/>
      <c r="L633" s="132"/>
      <c r="M633" s="132"/>
      <c r="N633" s="132"/>
      <c r="O633" s="132"/>
      <c r="P633" s="132"/>
      <c r="Q633" s="132"/>
      <c r="R633" s="132"/>
    </row>
    <row r="634" spans="1:18">
      <c r="A634" s="132"/>
      <c r="B634" s="132"/>
      <c r="C634" s="132"/>
      <c r="D634" s="132"/>
      <c r="E634" s="132"/>
      <c r="F634" s="132"/>
      <c r="G634" s="132"/>
      <c r="H634" s="132"/>
      <c r="I634" s="132"/>
      <c r="J634" s="132"/>
      <c r="K634" s="132"/>
      <c r="L634" s="132"/>
      <c r="M634" s="132"/>
      <c r="N634" s="132"/>
      <c r="O634" s="132"/>
      <c r="P634" s="132"/>
      <c r="Q634" s="132"/>
      <c r="R634" s="132"/>
    </row>
    <row r="635" spans="1:18">
      <c r="A635" s="132"/>
      <c r="B635" s="132"/>
      <c r="C635" s="132"/>
      <c r="D635" s="132"/>
      <c r="E635" s="132"/>
      <c r="F635" s="132"/>
      <c r="G635" s="132"/>
      <c r="H635" s="132"/>
      <c r="I635" s="132"/>
      <c r="J635" s="132"/>
      <c r="K635" s="132"/>
      <c r="L635" s="132"/>
      <c r="M635" s="132"/>
      <c r="N635" s="132"/>
      <c r="O635" s="132"/>
      <c r="P635" s="132"/>
      <c r="Q635" s="132"/>
      <c r="R635" s="132"/>
    </row>
    <row r="636" spans="1:18">
      <c r="A636" s="132"/>
      <c r="B636" s="132"/>
      <c r="C636" s="132"/>
      <c r="D636" s="132"/>
      <c r="E636" s="132"/>
      <c r="F636" s="132"/>
      <c r="G636" s="132"/>
      <c r="H636" s="132"/>
      <c r="I636" s="132"/>
      <c r="J636" s="132"/>
      <c r="K636" s="132"/>
      <c r="L636" s="132"/>
      <c r="M636" s="132"/>
      <c r="N636" s="132"/>
      <c r="O636" s="132"/>
      <c r="P636" s="132"/>
      <c r="Q636" s="132"/>
      <c r="R636" s="132"/>
    </row>
    <row r="637" spans="1:18">
      <c r="A637" s="132"/>
      <c r="B637" s="132"/>
      <c r="C637" s="132"/>
      <c r="D637" s="132"/>
      <c r="E637" s="132"/>
      <c r="F637" s="132"/>
      <c r="G637" s="132"/>
      <c r="H637" s="132"/>
      <c r="I637" s="132"/>
      <c r="J637" s="132"/>
      <c r="K637" s="132"/>
      <c r="L637" s="132"/>
      <c r="M637" s="132"/>
      <c r="N637" s="132"/>
      <c r="O637" s="132"/>
      <c r="P637" s="132"/>
      <c r="Q637" s="132"/>
      <c r="R637" s="132"/>
    </row>
    <row r="638" spans="1:18">
      <c r="A638" s="132"/>
      <c r="B638" s="132"/>
      <c r="C638" s="132"/>
      <c r="D638" s="132"/>
      <c r="E638" s="132"/>
      <c r="F638" s="132"/>
      <c r="G638" s="132"/>
      <c r="H638" s="132"/>
      <c r="I638" s="132"/>
      <c r="J638" s="132"/>
      <c r="K638" s="132"/>
      <c r="L638" s="132"/>
      <c r="M638" s="132"/>
      <c r="N638" s="132"/>
      <c r="O638" s="132"/>
      <c r="P638" s="132"/>
      <c r="Q638" s="132"/>
      <c r="R638" s="132"/>
    </row>
    <row r="639" spans="1:18">
      <c r="A639" s="132"/>
      <c r="B639" s="132"/>
      <c r="C639" s="132"/>
      <c r="D639" s="132"/>
      <c r="E639" s="132"/>
      <c r="F639" s="132"/>
      <c r="G639" s="132"/>
      <c r="H639" s="132"/>
      <c r="I639" s="132"/>
      <c r="J639" s="132"/>
      <c r="K639" s="132"/>
      <c r="L639" s="132"/>
      <c r="M639" s="132"/>
      <c r="N639" s="132"/>
      <c r="O639" s="132"/>
      <c r="P639" s="132"/>
      <c r="Q639" s="132"/>
      <c r="R639" s="132"/>
    </row>
    <row r="640" spans="1:18">
      <c r="A640" s="132"/>
      <c r="B640" s="132"/>
      <c r="C640" s="132"/>
      <c r="D640" s="132"/>
      <c r="E640" s="132"/>
      <c r="F640" s="132"/>
      <c r="G640" s="132"/>
      <c r="H640" s="132"/>
      <c r="I640" s="132"/>
      <c r="J640" s="132"/>
      <c r="K640" s="132"/>
      <c r="L640" s="132"/>
      <c r="M640" s="132"/>
      <c r="N640" s="132"/>
      <c r="O640" s="132"/>
      <c r="P640" s="132"/>
      <c r="Q640" s="132"/>
      <c r="R640" s="132"/>
    </row>
    <row r="641" spans="1:18">
      <c r="A641" s="132"/>
      <c r="B641" s="132"/>
      <c r="C641" s="132"/>
      <c r="D641" s="132"/>
      <c r="E641" s="132"/>
      <c r="F641" s="132"/>
      <c r="G641" s="132"/>
      <c r="H641" s="132"/>
      <c r="I641" s="132"/>
      <c r="J641" s="132"/>
      <c r="K641" s="132"/>
      <c r="L641" s="132"/>
      <c r="M641" s="132"/>
      <c r="N641" s="132"/>
      <c r="O641" s="132"/>
      <c r="P641" s="132"/>
      <c r="Q641" s="132"/>
      <c r="R641" s="132"/>
    </row>
    <row r="642" spans="1:18">
      <c r="A642" s="132"/>
      <c r="B642" s="132"/>
      <c r="C642" s="132"/>
      <c r="D642" s="132"/>
      <c r="E642" s="132"/>
      <c r="F642" s="132"/>
      <c r="G642" s="132"/>
      <c r="H642" s="132"/>
      <c r="I642" s="132"/>
      <c r="J642" s="132"/>
      <c r="K642" s="132"/>
      <c r="L642" s="132"/>
      <c r="M642" s="132"/>
      <c r="N642" s="132"/>
      <c r="O642" s="132"/>
      <c r="P642" s="132"/>
      <c r="Q642" s="132"/>
      <c r="R642" s="132"/>
    </row>
    <row r="643" spans="1:18">
      <c r="A643" s="132"/>
      <c r="B643" s="132"/>
      <c r="C643" s="132"/>
      <c r="D643" s="132"/>
      <c r="E643" s="132"/>
      <c r="F643" s="132"/>
      <c r="G643" s="132"/>
      <c r="H643" s="132"/>
      <c r="I643" s="132"/>
      <c r="J643" s="132"/>
      <c r="K643" s="132"/>
      <c r="L643" s="132"/>
      <c r="M643" s="132"/>
      <c r="N643" s="132"/>
      <c r="O643" s="132"/>
      <c r="P643" s="132"/>
      <c r="Q643" s="132"/>
      <c r="R643" s="132"/>
    </row>
    <row r="644" spans="1:18">
      <c r="A644" s="132"/>
      <c r="B644" s="132"/>
      <c r="C644" s="132"/>
      <c r="D644" s="132"/>
      <c r="E644" s="132"/>
      <c r="F644" s="132"/>
      <c r="G644" s="132"/>
      <c r="H644" s="132"/>
      <c r="I644" s="132"/>
      <c r="J644" s="132"/>
      <c r="K644" s="132"/>
      <c r="L644" s="132"/>
      <c r="M644" s="132"/>
      <c r="N644" s="132"/>
      <c r="O644" s="132"/>
      <c r="P644" s="132"/>
      <c r="Q644" s="132"/>
      <c r="R644" s="132"/>
    </row>
    <row r="645" spans="1:18">
      <c r="A645" s="132"/>
      <c r="B645" s="132"/>
      <c r="C645" s="132"/>
      <c r="D645" s="132"/>
      <c r="E645" s="132"/>
      <c r="F645" s="132"/>
      <c r="G645" s="132"/>
      <c r="H645" s="132"/>
      <c r="I645" s="132"/>
      <c r="J645" s="132"/>
      <c r="K645" s="132"/>
      <c r="L645" s="132"/>
      <c r="M645" s="132"/>
      <c r="N645" s="132"/>
      <c r="O645" s="132"/>
      <c r="P645" s="132"/>
      <c r="Q645" s="132"/>
      <c r="R645" s="132"/>
    </row>
    <row r="646" spans="1:18">
      <c r="A646" s="132"/>
      <c r="B646" s="132"/>
      <c r="C646" s="132"/>
      <c r="D646" s="132"/>
      <c r="E646" s="132"/>
      <c r="F646" s="132"/>
      <c r="G646" s="132"/>
      <c r="H646" s="132"/>
      <c r="I646" s="132"/>
      <c r="J646" s="132"/>
      <c r="K646" s="132"/>
      <c r="L646" s="132"/>
      <c r="M646" s="132"/>
      <c r="N646" s="132"/>
      <c r="O646" s="132"/>
      <c r="P646" s="132"/>
      <c r="Q646" s="132"/>
      <c r="R646" s="132"/>
    </row>
    <row r="647" spans="1:18">
      <c r="A647" s="132"/>
      <c r="B647" s="132"/>
      <c r="C647" s="132"/>
      <c r="D647" s="132"/>
      <c r="E647" s="132"/>
      <c r="F647" s="132"/>
      <c r="G647" s="132"/>
      <c r="H647" s="132"/>
      <c r="I647" s="132"/>
      <c r="J647" s="132"/>
      <c r="K647" s="132"/>
      <c r="L647" s="132"/>
      <c r="M647" s="132"/>
      <c r="N647" s="132"/>
      <c r="O647" s="132"/>
      <c r="P647" s="132"/>
      <c r="Q647" s="132"/>
      <c r="R647" s="132"/>
    </row>
    <row r="648" spans="1:18">
      <c r="A648" s="132"/>
      <c r="B648" s="132"/>
      <c r="C648" s="132"/>
      <c r="D648" s="132"/>
      <c r="E648" s="132"/>
      <c r="F648" s="132"/>
      <c r="G648" s="132"/>
      <c r="H648" s="132"/>
      <c r="I648" s="132"/>
      <c r="J648" s="132"/>
      <c r="K648" s="132"/>
      <c r="L648" s="132"/>
      <c r="M648" s="132"/>
      <c r="N648" s="132"/>
      <c r="O648" s="132"/>
      <c r="P648" s="132"/>
      <c r="Q648" s="132"/>
      <c r="R648" s="132"/>
    </row>
    <row r="649" spans="1:18">
      <c r="A649" s="132"/>
      <c r="B649" s="132"/>
      <c r="C649" s="132"/>
      <c r="D649" s="132"/>
      <c r="E649" s="132"/>
      <c r="F649" s="132"/>
      <c r="G649" s="132"/>
      <c r="H649" s="132"/>
      <c r="I649" s="132"/>
      <c r="J649" s="132"/>
      <c r="K649" s="132"/>
      <c r="L649" s="132"/>
      <c r="M649" s="132"/>
      <c r="N649" s="132"/>
      <c r="O649" s="132"/>
      <c r="P649" s="132"/>
      <c r="Q649" s="132"/>
      <c r="R649" s="132"/>
    </row>
    <row r="650" spans="1:18">
      <c r="A650" s="132"/>
      <c r="B650" s="132"/>
      <c r="C650" s="132"/>
      <c r="D650" s="132"/>
      <c r="E650" s="132"/>
      <c r="F650" s="132"/>
      <c r="G650" s="132"/>
      <c r="H650" s="132"/>
      <c r="I650" s="132"/>
      <c r="J650" s="132"/>
      <c r="K650" s="132"/>
      <c r="L650" s="132"/>
      <c r="M650" s="132"/>
      <c r="N650" s="132"/>
      <c r="O650" s="132"/>
      <c r="P650" s="132"/>
      <c r="Q650" s="132"/>
      <c r="R650" s="132"/>
    </row>
    <row r="651" spans="1:18">
      <c r="A651" s="132"/>
      <c r="B651" s="132"/>
      <c r="C651" s="132"/>
      <c r="D651" s="132"/>
      <c r="E651" s="132"/>
      <c r="F651" s="132"/>
      <c r="G651" s="132"/>
      <c r="H651" s="132"/>
      <c r="I651" s="132"/>
      <c r="J651" s="132"/>
      <c r="K651" s="132"/>
      <c r="L651" s="132"/>
      <c r="M651" s="132"/>
      <c r="N651" s="132"/>
      <c r="O651" s="132"/>
      <c r="P651" s="132"/>
      <c r="Q651" s="132"/>
      <c r="R651" s="132"/>
    </row>
    <row r="652" spans="1:18">
      <c r="A652" s="132"/>
      <c r="B652" s="132"/>
      <c r="C652" s="132"/>
      <c r="D652" s="132"/>
      <c r="E652" s="132"/>
      <c r="F652" s="132"/>
      <c r="G652" s="132"/>
      <c r="H652" s="132"/>
      <c r="I652" s="132"/>
      <c r="J652" s="132"/>
      <c r="K652" s="132"/>
      <c r="L652" s="132"/>
      <c r="M652" s="132"/>
      <c r="N652" s="132"/>
      <c r="O652" s="132"/>
      <c r="P652" s="132"/>
      <c r="Q652" s="132"/>
      <c r="R652" s="132"/>
    </row>
    <row r="653" spans="1:18">
      <c r="A653" s="132"/>
      <c r="B653" s="132"/>
      <c r="C653" s="132"/>
      <c r="D653" s="132"/>
      <c r="E653" s="132"/>
      <c r="F653" s="132"/>
      <c r="G653" s="132"/>
      <c r="H653" s="132"/>
      <c r="I653" s="132"/>
      <c r="J653" s="132"/>
      <c r="K653" s="132"/>
      <c r="L653" s="132"/>
      <c r="M653" s="132"/>
      <c r="N653" s="132"/>
      <c r="O653" s="132"/>
      <c r="P653" s="132"/>
      <c r="Q653" s="132"/>
      <c r="R653" s="132"/>
    </row>
    <row r="654" spans="1:18">
      <c r="A654" s="132"/>
      <c r="B654" s="132"/>
      <c r="C654" s="132"/>
      <c r="D654" s="132"/>
      <c r="E654" s="132"/>
      <c r="F654" s="132"/>
      <c r="G654" s="132"/>
      <c r="H654" s="132"/>
      <c r="I654" s="132"/>
      <c r="J654" s="132"/>
      <c r="K654" s="132"/>
      <c r="L654" s="132"/>
      <c r="M654" s="132"/>
      <c r="N654" s="132"/>
      <c r="O654" s="132"/>
      <c r="P654" s="132"/>
      <c r="Q654" s="132"/>
      <c r="R654" s="132"/>
    </row>
    <row r="655" spans="1:18">
      <c r="A655" s="132"/>
      <c r="B655" s="132"/>
      <c r="C655" s="132"/>
      <c r="D655" s="132"/>
      <c r="E655" s="132"/>
      <c r="F655" s="132"/>
      <c r="G655" s="132"/>
      <c r="H655" s="132"/>
      <c r="I655" s="132"/>
      <c r="J655" s="132"/>
      <c r="K655" s="132"/>
      <c r="L655" s="132"/>
      <c r="M655" s="132"/>
      <c r="N655" s="132"/>
      <c r="O655" s="132"/>
      <c r="P655" s="132"/>
      <c r="Q655" s="132"/>
      <c r="R655" s="132"/>
    </row>
    <row r="656" spans="1:18">
      <c r="A656" s="132"/>
      <c r="B656" s="132"/>
      <c r="C656" s="132"/>
      <c r="D656" s="132"/>
      <c r="E656" s="132"/>
      <c r="F656" s="132"/>
      <c r="G656" s="132"/>
      <c r="H656" s="132"/>
      <c r="I656" s="132"/>
      <c r="J656" s="132"/>
      <c r="K656" s="132"/>
      <c r="L656" s="132"/>
      <c r="M656" s="132"/>
      <c r="N656" s="132"/>
      <c r="O656" s="132"/>
      <c r="P656" s="132"/>
      <c r="Q656" s="132"/>
      <c r="R656" s="132"/>
    </row>
    <row r="657" spans="1:18">
      <c r="A657" s="132"/>
      <c r="B657" s="132"/>
      <c r="C657" s="132"/>
      <c r="D657" s="132"/>
      <c r="E657" s="132"/>
      <c r="F657" s="132"/>
      <c r="G657" s="132"/>
      <c r="H657" s="132"/>
      <c r="I657" s="132"/>
      <c r="J657" s="132"/>
      <c r="K657" s="132"/>
      <c r="L657" s="132"/>
      <c r="M657" s="132"/>
      <c r="N657" s="132"/>
      <c r="O657" s="132"/>
      <c r="P657" s="132"/>
      <c r="Q657" s="132"/>
      <c r="R657" s="132"/>
    </row>
    <row r="658" spans="1:18">
      <c r="A658" s="132"/>
      <c r="B658" s="132"/>
      <c r="C658" s="132"/>
      <c r="D658" s="132"/>
      <c r="E658" s="132"/>
      <c r="F658" s="132"/>
      <c r="G658" s="132"/>
      <c r="H658" s="132"/>
      <c r="I658" s="132"/>
      <c r="J658" s="132"/>
      <c r="K658" s="132"/>
      <c r="L658" s="132"/>
      <c r="M658" s="132"/>
      <c r="N658" s="132"/>
      <c r="O658" s="132"/>
      <c r="P658" s="132"/>
      <c r="Q658" s="132"/>
      <c r="R658" s="132"/>
    </row>
    <row r="659" spans="1:18">
      <c r="A659" s="132"/>
      <c r="B659" s="132"/>
      <c r="C659" s="132"/>
      <c r="D659" s="132"/>
      <c r="E659" s="132"/>
      <c r="F659" s="132"/>
      <c r="G659" s="132"/>
      <c r="H659" s="132"/>
      <c r="I659" s="132"/>
      <c r="J659" s="132"/>
      <c r="K659" s="132"/>
      <c r="L659" s="132"/>
      <c r="M659" s="132"/>
      <c r="N659" s="132"/>
      <c r="O659" s="132"/>
      <c r="P659" s="132"/>
      <c r="Q659" s="132"/>
      <c r="R659" s="132"/>
    </row>
    <row r="660" spans="1:18">
      <c r="A660" s="132"/>
      <c r="B660" s="132"/>
      <c r="C660" s="132"/>
      <c r="D660" s="132"/>
      <c r="E660" s="132"/>
      <c r="F660" s="132"/>
      <c r="G660" s="132"/>
      <c r="H660" s="132"/>
      <c r="I660" s="132"/>
      <c r="J660" s="132"/>
      <c r="K660" s="132"/>
      <c r="L660" s="132"/>
      <c r="M660" s="132"/>
      <c r="N660" s="132"/>
      <c r="O660" s="132"/>
      <c r="P660" s="132"/>
      <c r="Q660" s="132"/>
      <c r="R660" s="132"/>
    </row>
    <row r="661" spans="1:18">
      <c r="A661" s="132"/>
      <c r="B661" s="132"/>
      <c r="C661" s="132"/>
      <c r="D661" s="132"/>
      <c r="E661" s="132"/>
      <c r="F661" s="132"/>
      <c r="G661" s="132"/>
      <c r="H661" s="132"/>
      <c r="I661" s="132"/>
      <c r="J661" s="132"/>
      <c r="K661" s="132"/>
      <c r="L661" s="132"/>
      <c r="M661" s="132"/>
      <c r="N661" s="132"/>
      <c r="O661" s="132"/>
      <c r="P661" s="132"/>
      <c r="Q661" s="132"/>
      <c r="R661" s="132"/>
    </row>
    <row r="662" spans="1:18">
      <c r="A662" s="132"/>
      <c r="B662" s="132"/>
      <c r="C662" s="132"/>
      <c r="D662" s="132"/>
      <c r="E662" s="132"/>
      <c r="F662" s="132"/>
      <c r="G662" s="132"/>
      <c r="H662" s="132"/>
      <c r="I662" s="132"/>
      <c r="J662" s="132"/>
      <c r="K662" s="132"/>
      <c r="L662" s="132"/>
      <c r="M662" s="132"/>
      <c r="N662" s="132"/>
      <c r="O662" s="132"/>
      <c r="P662" s="132"/>
      <c r="Q662" s="132"/>
      <c r="R662" s="132"/>
    </row>
    <row r="663" spans="1:18">
      <c r="A663" s="132"/>
      <c r="B663" s="132"/>
      <c r="C663" s="132"/>
      <c r="D663" s="132"/>
      <c r="E663" s="132"/>
      <c r="F663" s="132"/>
      <c r="G663" s="132"/>
      <c r="H663" s="132"/>
      <c r="I663" s="132"/>
      <c r="J663" s="132"/>
      <c r="K663" s="132"/>
      <c r="L663" s="132"/>
      <c r="M663" s="132"/>
      <c r="N663" s="132"/>
      <c r="O663" s="132"/>
      <c r="P663" s="132"/>
      <c r="Q663" s="132"/>
      <c r="R663" s="132"/>
    </row>
    <row r="664" spans="1:18">
      <c r="A664" s="132"/>
      <c r="B664" s="132"/>
      <c r="C664" s="132"/>
      <c r="D664" s="132"/>
      <c r="E664" s="132"/>
      <c r="F664" s="132"/>
      <c r="G664" s="132"/>
      <c r="H664" s="132"/>
      <c r="I664" s="132"/>
      <c r="J664" s="132"/>
      <c r="K664" s="132"/>
      <c r="L664" s="132"/>
      <c r="M664" s="132"/>
      <c r="N664" s="132"/>
      <c r="O664" s="132"/>
      <c r="P664" s="132"/>
      <c r="Q664" s="132"/>
      <c r="R664" s="132"/>
    </row>
    <row r="665" spans="1:18">
      <c r="A665" s="132"/>
      <c r="B665" s="132"/>
      <c r="C665" s="132"/>
      <c r="D665" s="132"/>
      <c r="E665" s="132"/>
      <c r="F665" s="132"/>
      <c r="G665" s="132"/>
      <c r="H665" s="132"/>
      <c r="I665" s="132"/>
      <c r="J665" s="132"/>
      <c r="K665" s="132"/>
      <c r="L665" s="132"/>
      <c r="M665" s="132"/>
      <c r="N665" s="132"/>
      <c r="O665" s="132"/>
      <c r="P665" s="132"/>
      <c r="Q665" s="132"/>
      <c r="R665" s="132"/>
    </row>
    <row r="666" spans="1:18">
      <c r="A666" s="132"/>
      <c r="B666" s="132"/>
      <c r="C666" s="132"/>
      <c r="D666" s="132"/>
      <c r="E666" s="132"/>
      <c r="F666" s="132"/>
      <c r="G666" s="132"/>
      <c r="H666" s="132"/>
      <c r="I666" s="132"/>
      <c r="J666" s="132"/>
      <c r="K666" s="132"/>
      <c r="L666" s="132"/>
      <c r="M666" s="132"/>
      <c r="N666" s="132"/>
      <c r="O666" s="132"/>
      <c r="P666" s="132"/>
      <c r="Q666" s="132"/>
      <c r="R666" s="132"/>
    </row>
    <row r="667" spans="1:18">
      <c r="A667" s="132"/>
      <c r="B667" s="132"/>
      <c r="C667" s="132"/>
      <c r="D667" s="132"/>
      <c r="E667" s="132"/>
      <c r="F667" s="132"/>
      <c r="G667" s="132"/>
      <c r="H667" s="132"/>
      <c r="I667" s="132"/>
      <c r="J667" s="132"/>
      <c r="K667" s="132"/>
      <c r="L667" s="132"/>
      <c r="M667" s="132"/>
      <c r="N667" s="132"/>
      <c r="O667" s="132"/>
      <c r="P667" s="132"/>
      <c r="Q667" s="132"/>
      <c r="R667" s="132"/>
    </row>
    <row r="668" spans="1:18">
      <c r="A668" s="132"/>
      <c r="B668" s="132"/>
      <c r="C668" s="132"/>
      <c r="D668" s="132"/>
      <c r="E668" s="132"/>
      <c r="F668" s="132"/>
      <c r="G668" s="132"/>
      <c r="H668" s="132"/>
      <c r="I668" s="132"/>
      <c r="J668" s="132"/>
      <c r="K668" s="132"/>
      <c r="L668" s="132"/>
      <c r="M668" s="132"/>
      <c r="N668" s="132"/>
      <c r="O668" s="132"/>
      <c r="P668" s="132"/>
      <c r="Q668" s="132"/>
      <c r="R668" s="132"/>
    </row>
    <row r="669" spans="1:18">
      <c r="A669" s="132"/>
      <c r="B669" s="132"/>
      <c r="C669" s="132"/>
      <c r="D669" s="132"/>
      <c r="E669" s="132"/>
      <c r="F669" s="132"/>
      <c r="G669" s="132"/>
      <c r="H669" s="132"/>
      <c r="I669" s="132"/>
      <c r="J669" s="132"/>
      <c r="K669" s="132"/>
      <c r="L669" s="132"/>
      <c r="M669" s="132"/>
      <c r="N669" s="132"/>
      <c r="O669" s="132"/>
      <c r="P669" s="132"/>
      <c r="Q669" s="132"/>
      <c r="R669" s="132"/>
    </row>
    <row r="670" spans="1:18">
      <c r="A670" s="132"/>
      <c r="B670" s="132"/>
      <c r="C670" s="132"/>
      <c r="D670" s="132"/>
      <c r="E670" s="132"/>
      <c r="F670" s="132"/>
      <c r="G670" s="132"/>
      <c r="H670" s="132"/>
      <c r="I670" s="132"/>
      <c r="J670" s="132"/>
      <c r="K670" s="132"/>
      <c r="L670" s="132"/>
      <c r="M670" s="132"/>
      <c r="N670" s="132"/>
      <c r="O670" s="132"/>
      <c r="P670" s="132"/>
      <c r="Q670" s="132"/>
      <c r="R670" s="132"/>
    </row>
    <row r="671" spans="1:18">
      <c r="A671" s="132"/>
      <c r="B671" s="132"/>
      <c r="C671" s="132"/>
      <c r="D671" s="132"/>
      <c r="E671" s="132"/>
      <c r="F671" s="132"/>
      <c r="G671" s="132"/>
      <c r="H671" s="132"/>
      <c r="I671" s="132"/>
      <c r="J671" s="132"/>
      <c r="K671" s="132"/>
      <c r="L671" s="132"/>
      <c r="M671" s="132"/>
      <c r="N671" s="132"/>
      <c r="O671" s="132"/>
      <c r="P671" s="132"/>
      <c r="Q671" s="132"/>
      <c r="R671" s="132"/>
    </row>
    <row r="672" spans="1:18">
      <c r="A672" s="132"/>
      <c r="B672" s="132"/>
      <c r="C672" s="132"/>
      <c r="D672" s="132"/>
      <c r="E672" s="132"/>
      <c r="F672" s="132"/>
      <c r="G672" s="132"/>
      <c r="H672" s="132"/>
      <c r="I672" s="132"/>
      <c r="J672" s="132"/>
      <c r="K672" s="132"/>
      <c r="L672" s="132"/>
      <c r="M672" s="132"/>
      <c r="N672" s="132"/>
      <c r="O672" s="132"/>
      <c r="P672" s="132"/>
      <c r="Q672" s="132"/>
      <c r="R672" s="132"/>
    </row>
    <row r="673" spans="1:18">
      <c r="A673" s="132"/>
      <c r="B673" s="132"/>
      <c r="C673" s="132"/>
      <c r="D673" s="132"/>
      <c r="E673" s="132"/>
      <c r="F673" s="132"/>
      <c r="G673" s="132"/>
      <c r="H673" s="132"/>
      <c r="I673" s="132"/>
      <c r="J673" s="132"/>
      <c r="K673" s="132"/>
      <c r="L673" s="132"/>
      <c r="M673" s="132"/>
      <c r="N673" s="132"/>
      <c r="O673" s="132"/>
      <c r="P673" s="132"/>
      <c r="Q673" s="132"/>
      <c r="R673" s="132"/>
    </row>
    <row r="674" spans="1:18">
      <c r="A674" s="132"/>
      <c r="B674" s="132"/>
      <c r="C674" s="132"/>
      <c r="D674" s="132"/>
      <c r="E674" s="132"/>
      <c r="F674" s="132"/>
      <c r="G674" s="132"/>
      <c r="H674" s="132"/>
      <c r="I674" s="132"/>
      <c r="J674" s="132"/>
      <c r="K674" s="132"/>
      <c r="L674" s="132"/>
      <c r="M674" s="132"/>
      <c r="N674" s="132"/>
      <c r="O674" s="132"/>
      <c r="P674" s="132"/>
      <c r="Q674" s="132"/>
      <c r="R674" s="132"/>
    </row>
    <row r="675" spans="1:18">
      <c r="A675" s="132"/>
      <c r="B675" s="132"/>
      <c r="C675" s="132"/>
      <c r="D675" s="132"/>
      <c r="E675" s="132"/>
      <c r="F675" s="132"/>
      <c r="G675" s="132"/>
      <c r="H675" s="132"/>
      <c r="I675" s="132"/>
      <c r="J675" s="132"/>
      <c r="K675" s="132"/>
      <c r="L675" s="132"/>
      <c r="M675" s="132"/>
      <c r="N675" s="132"/>
      <c r="O675" s="132"/>
      <c r="P675" s="132"/>
      <c r="Q675" s="132"/>
      <c r="R675" s="132"/>
    </row>
    <row r="676" spans="1:18">
      <c r="A676" s="132"/>
      <c r="B676" s="132"/>
      <c r="C676" s="132"/>
      <c r="D676" s="132"/>
      <c r="E676" s="132"/>
      <c r="F676" s="132"/>
      <c r="G676" s="132"/>
      <c r="H676" s="132"/>
      <c r="I676" s="132"/>
      <c r="J676" s="132"/>
      <c r="K676" s="132"/>
      <c r="L676" s="132"/>
      <c r="M676" s="132"/>
      <c r="N676" s="132"/>
      <c r="O676" s="132"/>
      <c r="P676" s="132"/>
      <c r="Q676" s="132"/>
      <c r="R676" s="132"/>
    </row>
    <row r="677" spans="1:18">
      <c r="A677" s="132"/>
      <c r="B677" s="132"/>
      <c r="C677" s="132"/>
      <c r="D677" s="132"/>
      <c r="E677" s="132"/>
      <c r="F677" s="132"/>
      <c r="G677" s="132"/>
      <c r="H677" s="132"/>
      <c r="I677" s="132"/>
      <c r="J677" s="132"/>
      <c r="K677" s="132"/>
      <c r="L677" s="132"/>
      <c r="M677" s="132"/>
      <c r="N677" s="132"/>
      <c r="O677" s="132"/>
      <c r="P677" s="132"/>
      <c r="Q677" s="132"/>
      <c r="R677" s="132"/>
    </row>
    <row r="678" spans="1:18">
      <c r="A678" s="132"/>
      <c r="B678" s="132"/>
      <c r="C678" s="132"/>
      <c r="D678" s="132"/>
      <c r="E678" s="132"/>
      <c r="F678" s="132"/>
      <c r="G678" s="132"/>
      <c r="H678" s="132"/>
      <c r="I678" s="132"/>
      <c r="J678" s="132"/>
      <c r="K678" s="132"/>
      <c r="L678" s="132"/>
      <c r="M678" s="132"/>
      <c r="N678" s="132"/>
      <c r="O678" s="132"/>
      <c r="P678" s="132"/>
      <c r="Q678" s="132"/>
      <c r="R678" s="132"/>
    </row>
    <row r="679" spans="1:18">
      <c r="A679" s="132"/>
      <c r="B679" s="132"/>
      <c r="C679" s="132"/>
      <c r="D679" s="132"/>
      <c r="E679" s="132"/>
      <c r="F679" s="132"/>
      <c r="G679" s="132"/>
      <c r="H679" s="132"/>
      <c r="I679" s="132"/>
      <c r="J679" s="132"/>
      <c r="K679" s="132"/>
      <c r="L679" s="132"/>
      <c r="M679" s="132"/>
      <c r="N679" s="132"/>
      <c r="O679" s="132"/>
      <c r="P679" s="132"/>
      <c r="Q679" s="132"/>
      <c r="R679" s="132"/>
    </row>
    <row r="680" spans="1:18">
      <c r="A680" s="132"/>
      <c r="B680" s="132"/>
      <c r="C680" s="132"/>
      <c r="D680" s="132"/>
      <c r="E680" s="132"/>
      <c r="F680" s="132"/>
      <c r="G680" s="132"/>
      <c r="H680" s="132"/>
      <c r="I680" s="132"/>
      <c r="J680" s="132"/>
      <c r="K680" s="132"/>
      <c r="L680" s="132"/>
      <c r="M680" s="132"/>
      <c r="N680" s="132"/>
      <c r="O680" s="132"/>
      <c r="P680" s="132"/>
      <c r="Q680" s="132"/>
      <c r="R680" s="132"/>
    </row>
    <row r="681" spans="1:18">
      <c r="A681" s="132"/>
      <c r="B681" s="132"/>
      <c r="C681" s="132"/>
      <c r="D681" s="132"/>
      <c r="E681" s="132"/>
      <c r="F681" s="132"/>
      <c r="G681" s="132"/>
      <c r="H681" s="132"/>
      <c r="I681" s="132"/>
      <c r="J681" s="132"/>
      <c r="K681" s="132"/>
      <c r="L681" s="132"/>
      <c r="M681" s="132"/>
      <c r="N681" s="132"/>
      <c r="O681" s="132"/>
      <c r="P681" s="132"/>
      <c r="Q681" s="132"/>
      <c r="R681" s="132"/>
    </row>
    <row r="682" spans="1:18">
      <c r="A682" s="132"/>
      <c r="B682" s="132"/>
      <c r="C682" s="132"/>
      <c r="D682" s="132"/>
      <c r="E682" s="132"/>
      <c r="F682" s="132"/>
      <c r="G682" s="132"/>
      <c r="H682" s="132"/>
      <c r="I682" s="132"/>
      <c r="J682" s="132"/>
      <c r="K682" s="132"/>
      <c r="L682" s="132"/>
      <c r="M682" s="132"/>
      <c r="N682" s="132"/>
      <c r="O682" s="132"/>
      <c r="P682" s="132"/>
      <c r="Q682" s="132"/>
      <c r="R682" s="132"/>
    </row>
    <row r="683" spans="1:18">
      <c r="A683" s="132"/>
      <c r="B683" s="132"/>
      <c r="C683" s="132"/>
      <c r="D683" s="132"/>
      <c r="E683" s="132"/>
      <c r="F683" s="132"/>
      <c r="G683" s="132"/>
      <c r="H683" s="132"/>
      <c r="I683" s="132"/>
      <c r="J683" s="132"/>
      <c r="K683" s="132"/>
      <c r="L683" s="132"/>
      <c r="M683" s="132"/>
      <c r="N683" s="132"/>
      <c r="O683" s="132"/>
      <c r="P683" s="132"/>
      <c r="Q683" s="132"/>
      <c r="R683" s="132"/>
    </row>
    <row r="684" spans="1:18">
      <c r="A684" s="132"/>
      <c r="B684" s="132"/>
      <c r="C684" s="132"/>
      <c r="D684" s="132"/>
      <c r="E684" s="132"/>
      <c r="F684" s="132"/>
      <c r="G684" s="132"/>
      <c r="H684" s="132"/>
      <c r="I684" s="132"/>
      <c r="J684" s="132"/>
      <c r="K684" s="132"/>
      <c r="L684" s="132"/>
      <c r="M684" s="132"/>
      <c r="N684" s="132"/>
      <c r="O684" s="132"/>
      <c r="P684" s="132"/>
      <c r="Q684" s="132"/>
      <c r="R684" s="132"/>
    </row>
    <row r="685" spans="1:18">
      <c r="A685" s="132"/>
      <c r="B685" s="132"/>
      <c r="C685" s="132"/>
      <c r="D685" s="132"/>
      <c r="E685" s="132"/>
      <c r="F685" s="132"/>
      <c r="G685" s="132"/>
      <c r="H685" s="132"/>
      <c r="I685" s="132"/>
      <c r="J685" s="132"/>
      <c r="K685" s="132"/>
      <c r="L685" s="132"/>
      <c r="M685" s="132"/>
      <c r="N685" s="132"/>
      <c r="O685" s="132"/>
      <c r="P685" s="132"/>
      <c r="Q685" s="132"/>
      <c r="R685" s="132"/>
    </row>
    <row r="686" spans="1:18">
      <c r="A686" s="132"/>
      <c r="B686" s="132"/>
      <c r="C686" s="132"/>
      <c r="D686" s="132"/>
      <c r="E686" s="132"/>
      <c r="F686" s="132"/>
      <c r="G686" s="132"/>
      <c r="H686" s="132"/>
      <c r="I686" s="132"/>
      <c r="J686" s="132"/>
      <c r="K686" s="132"/>
      <c r="L686" s="132"/>
      <c r="M686" s="132"/>
      <c r="N686" s="132"/>
      <c r="O686" s="132"/>
      <c r="P686" s="132"/>
      <c r="Q686" s="132"/>
      <c r="R686" s="132"/>
    </row>
    <row r="687" spans="1:18">
      <c r="A687" s="132"/>
      <c r="B687" s="132"/>
      <c r="C687" s="132"/>
      <c r="D687" s="132"/>
      <c r="E687" s="132"/>
      <c r="F687" s="132"/>
      <c r="G687" s="132"/>
      <c r="H687" s="132"/>
      <c r="I687" s="132"/>
      <c r="J687" s="132"/>
      <c r="K687" s="132"/>
      <c r="L687" s="132"/>
      <c r="M687" s="132"/>
      <c r="N687" s="132"/>
      <c r="O687" s="132"/>
      <c r="P687" s="132"/>
      <c r="Q687" s="132"/>
      <c r="R687" s="132"/>
    </row>
    <row r="688" spans="1:18">
      <c r="A688" s="132"/>
      <c r="B688" s="132"/>
      <c r="C688" s="132"/>
      <c r="D688" s="132"/>
      <c r="E688" s="132"/>
      <c r="F688" s="132"/>
      <c r="G688" s="132"/>
      <c r="H688" s="132"/>
      <c r="I688" s="132"/>
      <c r="J688" s="132"/>
      <c r="K688" s="132"/>
      <c r="L688" s="132"/>
      <c r="M688" s="132"/>
      <c r="N688" s="132"/>
      <c r="O688" s="132"/>
      <c r="P688" s="132"/>
      <c r="Q688" s="132"/>
      <c r="R688" s="132"/>
    </row>
    <row r="689" spans="1:18">
      <c r="A689" s="132"/>
      <c r="B689" s="132"/>
      <c r="C689" s="132"/>
      <c r="D689" s="132"/>
      <c r="E689" s="132"/>
      <c r="F689" s="132"/>
      <c r="G689" s="132"/>
      <c r="H689" s="132"/>
      <c r="I689" s="132"/>
      <c r="J689" s="132"/>
      <c r="K689" s="132"/>
      <c r="L689" s="132"/>
      <c r="M689" s="132"/>
      <c r="N689" s="132"/>
      <c r="O689" s="132"/>
      <c r="P689" s="132"/>
      <c r="Q689" s="132"/>
      <c r="R689" s="132"/>
    </row>
    <row r="690" spans="1:18">
      <c r="A690" s="132"/>
      <c r="B690" s="132"/>
      <c r="C690" s="132"/>
      <c r="D690" s="132"/>
      <c r="E690" s="132"/>
      <c r="F690" s="132"/>
      <c r="G690" s="132"/>
      <c r="H690" s="132"/>
      <c r="I690" s="132"/>
      <c r="J690" s="132"/>
      <c r="K690" s="132"/>
      <c r="L690" s="132"/>
      <c r="M690" s="132"/>
      <c r="N690" s="132"/>
      <c r="O690" s="132"/>
      <c r="P690" s="132"/>
      <c r="Q690" s="132"/>
      <c r="R690" s="132"/>
    </row>
    <row r="691" spans="1:18">
      <c r="A691" s="132"/>
      <c r="B691" s="132"/>
      <c r="C691" s="132"/>
      <c r="D691" s="132"/>
      <c r="E691" s="132"/>
      <c r="F691" s="132"/>
      <c r="G691" s="132"/>
      <c r="H691" s="132"/>
      <c r="I691" s="132"/>
      <c r="J691" s="132"/>
      <c r="K691" s="132"/>
      <c r="L691" s="132"/>
      <c r="M691" s="132"/>
      <c r="N691" s="132"/>
      <c r="O691" s="132"/>
      <c r="P691" s="132"/>
      <c r="Q691" s="132"/>
      <c r="R691" s="132"/>
    </row>
    <row r="692" spans="1:18">
      <c r="A692" s="132"/>
      <c r="B692" s="132"/>
      <c r="C692" s="132"/>
      <c r="D692" s="132"/>
      <c r="E692" s="132"/>
      <c r="F692" s="132"/>
      <c r="G692" s="132"/>
      <c r="H692" s="132"/>
      <c r="I692" s="132"/>
      <c r="J692" s="132"/>
      <c r="K692" s="132"/>
      <c r="L692" s="132"/>
      <c r="M692" s="132"/>
      <c r="N692" s="132"/>
      <c r="O692" s="132"/>
      <c r="P692" s="132"/>
      <c r="Q692" s="132"/>
      <c r="R692" s="132"/>
    </row>
    <row r="693" spans="1:18">
      <c r="A693" s="132"/>
      <c r="B693" s="132"/>
      <c r="C693" s="132"/>
      <c r="D693" s="132"/>
      <c r="E693" s="132"/>
      <c r="F693" s="132"/>
      <c r="G693" s="132"/>
      <c r="H693" s="132"/>
      <c r="I693" s="132"/>
      <c r="J693" s="132"/>
      <c r="K693" s="132"/>
      <c r="L693" s="132"/>
      <c r="M693" s="132"/>
      <c r="N693" s="132"/>
      <c r="O693" s="132"/>
      <c r="P693" s="132"/>
      <c r="Q693" s="132"/>
      <c r="R693" s="132"/>
    </row>
    <row r="694" spans="1:18">
      <c r="A694" s="132"/>
      <c r="B694" s="132"/>
      <c r="C694" s="132"/>
      <c r="D694" s="132"/>
      <c r="E694" s="132"/>
      <c r="F694" s="132"/>
      <c r="G694" s="132"/>
      <c r="H694" s="132"/>
      <c r="I694" s="132"/>
      <c r="J694" s="132"/>
      <c r="K694" s="132"/>
      <c r="L694" s="132"/>
      <c r="M694" s="132"/>
      <c r="N694" s="132"/>
      <c r="O694" s="132"/>
      <c r="P694" s="132"/>
      <c r="Q694" s="132"/>
      <c r="R694" s="132"/>
    </row>
    <row r="695" spans="1:18">
      <c r="A695" s="132"/>
      <c r="B695" s="132"/>
      <c r="C695" s="132"/>
      <c r="D695" s="132"/>
      <c r="E695" s="132"/>
      <c r="F695" s="132"/>
      <c r="G695" s="132"/>
      <c r="H695" s="132"/>
      <c r="I695" s="132"/>
      <c r="J695" s="132"/>
      <c r="K695" s="132"/>
      <c r="L695" s="132"/>
      <c r="M695" s="132"/>
      <c r="N695" s="132"/>
      <c r="O695" s="132"/>
      <c r="P695" s="132"/>
      <c r="Q695" s="132"/>
      <c r="R695" s="132"/>
    </row>
    <row r="696" spans="1:18">
      <c r="A696" s="132"/>
      <c r="B696" s="132"/>
      <c r="C696" s="132"/>
      <c r="D696" s="132"/>
      <c r="E696" s="132"/>
      <c r="F696" s="132"/>
      <c r="G696" s="132"/>
      <c r="H696" s="132"/>
      <c r="I696" s="132"/>
      <c r="J696" s="132"/>
      <c r="K696" s="132"/>
      <c r="L696" s="132"/>
      <c r="M696" s="132"/>
      <c r="N696" s="132"/>
      <c r="O696" s="132"/>
      <c r="P696" s="132"/>
      <c r="Q696" s="132"/>
      <c r="R696" s="132"/>
    </row>
    <row r="697" spans="1:18">
      <c r="A697" s="132"/>
      <c r="B697" s="132"/>
      <c r="C697" s="132"/>
      <c r="D697" s="132"/>
      <c r="E697" s="132"/>
      <c r="F697" s="132"/>
      <c r="G697" s="132"/>
      <c r="H697" s="132"/>
      <c r="I697" s="132"/>
      <c r="J697" s="132"/>
      <c r="K697" s="132"/>
      <c r="L697" s="132"/>
      <c r="M697" s="132"/>
      <c r="N697" s="132"/>
      <c r="O697" s="132"/>
      <c r="P697" s="132"/>
      <c r="Q697" s="132"/>
      <c r="R697" s="132"/>
    </row>
    <row r="698" spans="1:18">
      <c r="A698" s="132"/>
      <c r="B698" s="132"/>
      <c r="C698" s="132"/>
      <c r="D698" s="132"/>
      <c r="E698" s="132"/>
      <c r="F698" s="132"/>
      <c r="G698" s="132"/>
      <c r="H698" s="132"/>
      <c r="I698" s="132"/>
      <c r="J698" s="132"/>
      <c r="K698" s="132"/>
      <c r="L698" s="132"/>
      <c r="M698" s="132"/>
      <c r="N698" s="132"/>
      <c r="O698" s="132"/>
      <c r="P698" s="132"/>
      <c r="Q698" s="132"/>
      <c r="R698" s="132"/>
    </row>
    <row r="699" spans="1:18">
      <c r="A699" s="132"/>
      <c r="B699" s="132"/>
      <c r="C699" s="132"/>
      <c r="D699" s="132"/>
      <c r="E699" s="132"/>
      <c r="F699" s="132"/>
      <c r="G699" s="132"/>
      <c r="H699" s="132"/>
      <c r="I699" s="132"/>
      <c r="J699" s="132"/>
      <c r="K699" s="132"/>
      <c r="L699" s="132"/>
      <c r="M699" s="132"/>
      <c r="N699" s="132"/>
      <c r="O699" s="132"/>
      <c r="P699" s="132"/>
      <c r="Q699" s="132"/>
      <c r="R699" s="132"/>
    </row>
    <row r="700" spans="1:18">
      <c r="A700" s="132"/>
      <c r="B700" s="132"/>
      <c r="C700" s="132"/>
      <c r="D700" s="132"/>
      <c r="E700" s="132"/>
      <c r="F700" s="132"/>
      <c r="G700" s="132"/>
      <c r="H700" s="132"/>
      <c r="I700" s="132"/>
      <c r="J700" s="132"/>
      <c r="K700" s="132"/>
      <c r="L700" s="132"/>
      <c r="M700" s="132"/>
      <c r="N700" s="132"/>
      <c r="O700" s="132"/>
      <c r="P700" s="132"/>
      <c r="Q700" s="132"/>
      <c r="R700" s="132"/>
    </row>
    <row r="701" spans="1:18">
      <c r="A701" s="132"/>
      <c r="B701" s="132"/>
      <c r="C701" s="132"/>
      <c r="D701" s="132"/>
      <c r="E701" s="132"/>
      <c r="F701" s="132"/>
      <c r="G701" s="132"/>
      <c r="H701" s="132"/>
      <c r="I701" s="132"/>
      <c r="J701" s="132"/>
      <c r="K701" s="132"/>
      <c r="L701" s="132"/>
      <c r="M701" s="132"/>
      <c r="N701" s="132"/>
      <c r="O701" s="132"/>
      <c r="P701" s="132"/>
      <c r="Q701" s="132"/>
      <c r="R701" s="132"/>
    </row>
    <row r="702" spans="1:18">
      <c r="A702" s="132"/>
      <c r="B702" s="132"/>
      <c r="C702" s="132"/>
      <c r="D702" s="132"/>
      <c r="E702" s="132"/>
      <c r="F702" s="132"/>
      <c r="G702" s="132"/>
      <c r="H702" s="132"/>
      <c r="I702" s="132"/>
      <c r="J702" s="132"/>
      <c r="K702" s="132"/>
      <c r="L702" s="132"/>
      <c r="M702" s="132"/>
      <c r="N702" s="132"/>
      <c r="O702" s="132"/>
      <c r="P702" s="132"/>
      <c r="Q702" s="132"/>
      <c r="R702" s="132"/>
    </row>
    <row r="703" spans="1:18">
      <c r="A703" s="132"/>
      <c r="B703" s="132"/>
      <c r="C703" s="132"/>
      <c r="D703" s="132"/>
      <c r="E703" s="132"/>
      <c r="F703" s="132"/>
      <c r="G703" s="132"/>
      <c r="H703" s="132"/>
      <c r="I703" s="132"/>
      <c r="J703" s="132"/>
      <c r="K703" s="132"/>
      <c r="L703" s="132"/>
      <c r="M703" s="132"/>
      <c r="N703" s="132"/>
      <c r="O703" s="132"/>
      <c r="P703" s="132"/>
      <c r="Q703" s="132"/>
      <c r="R703" s="132"/>
    </row>
    <row r="704" spans="1:18">
      <c r="A704" s="132"/>
      <c r="B704" s="132"/>
      <c r="C704" s="132"/>
      <c r="D704" s="132"/>
      <c r="E704" s="132"/>
      <c r="F704" s="132"/>
      <c r="G704" s="132"/>
      <c r="H704" s="132"/>
      <c r="I704" s="132"/>
      <c r="J704" s="132"/>
      <c r="K704" s="132"/>
      <c r="L704" s="132"/>
      <c r="M704" s="132"/>
      <c r="N704" s="132"/>
      <c r="O704" s="132"/>
      <c r="P704" s="132"/>
      <c r="Q704" s="132"/>
      <c r="R704" s="132"/>
    </row>
    <row r="705" spans="1:18">
      <c r="A705" s="132"/>
      <c r="B705" s="132"/>
      <c r="C705" s="132"/>
      <c r="D705" s="132"/>
      <c r="E705" s="132"/>
      <c r="F705" s="132"/>
      <c r="G705" s="132"/>
      <c r="H705" s="132"/>
      <c r="I705" s="132"/>
      <c r="J705" s="132"/>
      <c r="K705" s="132"/>
      <c r="L705" s="132"/>
      <c r="M705" s="132"/>
      <c r="N705" s="132"/>
      <c r="O705" s="132"/>
      <c r="P705" s="132"/>
      <c r="Q705" s="132"/>
      <c r="R705" s="132"/>
    </row>
    <row r="706" spans="1:18">
      <c r="A706" s="132"/>
      <c r="B706" s="132"/>
      <c r="C706" s="132"/>
      <c r="D706" s="132"/>
      <c r="E706" s="132"/>
      <c r="F706" s="132"/>
      <c r="G706" s="132"/>
      <c r="H706" s="132"/>
      <c r="I706" s="132"/>
      <c r="J706" s="132"/>
      <c r="K706" s="132"/>
      <c r="L706" s="132"/>
      <c r="M706" s="132"/>
      <c r="N706" s="132"/>
      <c r="O706" s="132"/>
      <c r="P706" s="132"/>
      <c r="Q706" s="132"/>
      <c r="R706" s="132"/>
    </row>
    <row r="707" spans="1:18">
      <c r="A707" s="132"/>
      <c r="B707" s="132"/>
      <c r="C707" s="132"/>
      <c r="D707" s="132"/>
      <c r="E707" s="132"/>
      <c r="F707" s="132"/>
      <c r="G707" s="132"/>
      <c r="H707" s="132"/>
      <c r="I707" s="132"/>
      <c r="J707" s="132"/>
      <c r="K707" s="132"/>
      <c r="L707" s="132"/>
      <c r="M707" s="132"/>
      <c r="N707" s="132"/>
      <c r="O707" s="132"/>
      <c r="P707" s="132"/>
      <c r="Q707" s="132"/>
      <c r="R707" s="132"/>
    </row>
    <row r="708" spans="1:18">
      <c r="A708" s="132"/>
      <c r="B708" s="132"/>
      <c r="C708" s="132"/>
      <c r="D708" s="132"/>
      <c r="E708" s="132"/>
      <c r="F708" s="132"/>
      <c r="G708" s="132"/>
      <c r="H708" s="132"/>
      <c r="I708" s="132"/>
      <c r="J708" s="132"/>
      <c r="K708" s="132"/>
      <c r="L708" s="132"/>
      <c r="M708" s="132"/>
      <c r="N708" s="132"/>
      <c r="O708" s="132"/>
      <c r="P708" s="132"/>
      <c r="Q708" s="132"/>
      <c r="R708" s="132"/>
    </row>
    <row r="709" spans="1:18">
      <c r="A709" s="132"/>
      <c r="B709" s="132"/>
      <c r="C709" s="132"/>
      <c r="D709" s="132"/>
      <c r="E709" s="132"/>
      <c r="F709" s="132"/>
      <c r="G709" s="132"/>
      <c r="H709" s="132"/>
      <c r="I709" s="132"/>
      <c r="J709" s="132"/>
      <c r="K709" s="132"/>
      <c r="L709" s="132"/>
      <c r="M709" s="132"/>
      <c r="N709" s="132"/>
      <c r="O709" s="132"/>
      <c r="P709" s="132"/>
      <c r="Q709" s="132"/>
      <c r="R709" s="132"/>
    </row>
    <row r="710" spans="1:18">
      <c r="A710" s="132"/>
      <c r="B710" s="132"/>
      <c r="C710" s="132"/>
      <c r="D710" s="132"/>
      <c r="E710" s="132"/>
      <c r="F710" s="132"/>
      <c r="G710" s="132"/>
      <c r="H710" s="132"/>
      <c r="I710" s="132"/>
      <c r="J710" s="132"/>
      <c r="K710" s="132"/>
      <c r="L710" s="132"/>
      <c r="M710" s="132"/>
      <c r="N710" s="132"/>
      <c r="O710" s="132"/>
      <c r="P710" s="132"/>
      <c r="Q710" s="132"/>
      <c r="R710" s="132"/>
    </row>
    <row r="711" spans="1:18">
      <c r="A711" s="132"/>
      <c r="B711" s="132"/>
      <c r="C711" s="132"/>
      <c r="D711" s="132"/>
      <c r="E711" s="132"/>
      <c r="F711" s="132"/>
      <c r="G711" s="132"/>
      <c r="H711" s="132"/>
      <c r="I711" s="132"/>
      <c r="J711" s="132"/>
      <c r="K711" s="132"/>
      <c r="L711" s="132"/>
      <c r="M711" s="132"/>
      <c r="N711" s="132"/>
      <c r="O711" s="132"/>
      <c r="P711" s="132"/>
      <c r="Q711" s="132"/>
      <c r="R711" s="132"/>
    </row>
    <row r="712" spans="1:18">
      <c r="A712" s="132"/>
      <c r="B712" s="132"/>
      <c r="C712" s="132"/>
      <c r="D712" s="132"/>
      <c r="E712" s="132"/>
      <c r="F712" s="132"/>
      <c r="G712" s="132"/>
      <c r="H712" s="132"/>
      <c r="I712" s="132"/>
      <c r="J712" s="132"/>
      <c r="K712" s="132"/>
      <c r="L712" s="132"/>
      <c r="M712" s="132"/>
      <c r="N712" s="132"/>
      <c r="O712" s="132"/>
      <c r="P712" s="132"/>
      <c r="Q712" s="132"/>
      <c r="R712" s="132"/>
    </row>
    <row r="713" spans="1:18">
      <c r="A713" s="132"/>
      <c r="B713" s="132"/>
      <c r="C713" s="132"/>
      <c r="D713" s="132"/>
      <c r="E713" s="132"/>
      <c r="F713" s="132"/>
      <c r="G713" s="132"/>
      <c r="H713" s="132"/>
      <c r="I713" s="132"/>
      <c r="J713" s="132"/>
      <c r="K713" s="132"/>
      <c r="L713" s="132"/>
      <c r="M713" s="132"/>
      <c r="N713" s="132"/>
      <c r="O713" s="132"/>
      <c r="P713" s="132"/>
      <c r="Q713" s="132"/>
      <c r="R713" s="132"/>
    </row>
    <row r="714" spans="1:18">
      <c r="A714" s="132"/>
      <c r="B714" s="132"/>
      <c r="C714" s="132"/>
      <c r="D714" s="132"/>
      <c r="E714" s="132"/>
      <c r="F714" s="132"/>
      <c r="G714" s="132"/>
      <c r="H714" s="132"/>
      <c r="I714" s="132"/>
      <c r="J714" s="132"/>
      <c r="K714" s="132"/>
      <c r="L714" s="132"/>
      <c r="M714" s="132"/>
      <c r="N714" s="132"/>
      <c r="O714" s="132"/>
      <c r="P714" s="132"/>
      <c r="Q714" s="132"/>
      <c r="R714" s="132"/>
    </row>
    <row r="715" spans="1:18">
      <c r="A715" s="132"/>
      <c r="B715" s="132"/>
      <c r="C715" s="132"/>
      <c r="D715" s="132"/>
      <c r="E715" s="132"/>
      <c r="F715" s="132"/>
      <c r="G715" s="132"/>
      <c r="H715" s="132"/>
      <c r="I715" s="132"/>
      <c r="J715" s="132"/>
      <c r="K715" s="132"/>
      <c r="L715" s="132"/>
      <c r="M715" s="132"/>
      <c r="N715" s="132"/>
      <c r="O715" s="132"/>
      <c r="P715" s="132"/>
      <c r="Q715" s="132"/>
      <c r="R715" s="132"/>
    </row>
    <row r="716" spans="1:18">
      <c r="A716" s="132"/>
      <c r="B716" s="132"/>
      <c r="C716" s="132"/>
      <c r="D716" s="132"/>
      <c r="E716" s="132"/>
      <c r="F716" s="132"/>
      <c r="G716" s="132"/>
      <c r="H716" s="132"/>
      <c r="I716" s="132"/>
      <c r="J716" s="132"/>
      <c r="K716" s="132"/>
      <c r="L716" s="132"/>
      <c r="M716" s="132"/>
      <c r="N716" s="132"/>
      <c r="O716" s="132"/>
      <c r="P716" s="132"/>
      <c r="Q716" s="132"/>
      <c r="R716" s="132"/>
    </row>
    <row r="717" spans="1:18">
      <c r="A717" s="132"/>
      <c r="B717" s="132"/>
      <c r="C717" s="132"/>
      <c r="D717" s="132"/>
      <c r="E717" s="132"/>
      <c r="F717" s="132"/>
      <c r="G717" s="132"/>
      <c r="H717" s="132"/>
      <c r="I717" s="132"/>
      <c r="J717" s="132"/>
      <c r="K717" s="132"/>
      <c r="L717" s="132"/>
      <c r="M717" s="132"/>
      <c r="N717" s="132"/>
      <c r="O717" s="132"/>
      <c r="P717" s="132"/>
      <c r="Q717" s="132"/>
      <c r="R717" s="132"/>
    </row>
    <row r="718" spans="1:18">
      <c r="A718" s="132"/>
      <c r="B718" s="132"/>
      <c r="C718" s="132"/>
      <c r="D718" s="132"/>
      <c r="E718" s="132"/>
      <c r="F718" s="132"/>
      <c r="G718" s="132"/>
      <c r="H718" s="132"/>
      <c r="I718" s="132"/>
      <c r="J718" s="132"/>
      <c r="K718" s="132"/>
      <c r="L718" s="132"/>
      <c r="M718" s="132"/>
      <c r="N718" s="132"/>
      <c r="O718" s="132"/>
      <c r="P718" s="132"/>
      <c r="Q718" s="132"/>
      <c r="R718" s="132"/>
    </row>
    <row r="719" spans="1:18">
      <c r="A719" s="132"/>
      <c r="B719" s="132"/>
      <c r="C719" s="132"/>
      <c r="D719" s="132"/>
      <c r="E719" s="132"/>
      <c r="F719" s="132"/>
      <c r="G719" s="132"/>
      <c r="H719" s="132"/>
      <c r="I719" s="132"/>
      <c r="J719" s="132"/>
      <c r="K719" s="132"/>
      <c r="L719" s="132"/>
      <c r="M719" s="132"/>
      <c r="N719" s="132"/>
      <c r="O719" s="132"/>
      <c r="P719" s="132"/>
      <c r="Q719" s="132"/>
      <c r="R719" s="132"/>
    </row>
    <row r="720" spans="1:18">
      <c r="A720" s="132"/>
      <c r="B720" s="132"/>
      <c r="C720" s="132"/>
      <c r="D720" s="132"/>
      <c r="E720" s="132"/>
      <c r="F720" s="132"/>
      <c r="G720" s="132"/>
      <c r="H720" s="132"/>
      <c r="I720" s="132"/>
      <c r="J720" s="132"/>
      <c r="K720" s="132"/>
      <c r="L720" s="132"/>
      <c r="M720" s="132"/>
      <c r="N720" s="132"/>
      <c r="O720" s="132"/>
      <c r="P720" s="132"/>
      <c r="Q720" s="132"/>
      <c r="R720" s="132"/>
    </row>
    <row r="721" spans="1:18">
      <c r="A721" s="132"/>
      <c r="B721" s="132"/>
      <c r="C721" s="132"/>
      <c r="D721" s="132"/>
      <c r="E721" s="132"/>
      <c r="F721" s="132"/>
      <c r="G721" s="132"/>
      <c r="H721" s="132"/>
      <c r="I721" s="132"/>
      <c r="J721" s="132"/>
      <c r="K721" s="132"/>
      <c r="L721" s="132"/>
      <c r="M721" s="132"/>
      <c r="N721" s="132"/>
      <c r="O721" s="132"/>
      <c r="P721" s="132"/>
      <c r="Q721" s="132"/>
      <c r="R721" s="132"/>
    </row>
    <row r="722" spans="1:18">
      <c r="A722" s="132"/>
      <c r="B722" s="132"/>
      <c r="C722" s="132"/>
      <c r="D722" s="132"/>
      <c r="E722" s="132"/>
      <c r="F722" s="132"/>
      <c r="G722" s="132"/>
      <c r="H722" s="132"/>
      <c r="I722" s="132"/>
      <c r="J722" s="132"/>
      <c r="K722" s="132"/>
      <c r="L722" s="132"/>
      <c r="M722" s="132"/>
      <c r="N722" s="132"/>
      <c r="O722" s="132"/>
      <c r="P722" s="132"/>
      <c r="Q722" s="132"/>
      <c r="R722" s="132"/>
    </row>
    <row r="723" spans="1:18">
      <c r="A723" s="132"/>
      <c r="B723" s="132"/>
      <c r="C723" s="132"/>
      <c r="D723" s="132"/>
      <c r="E723" s="132"/>
      <c r="F723" s="132"/>
      <c r="G723" s="132"/>
      <c r="H723" s="132"/>
      <c r="I723" s="132"/>
      <c r="J723" s="132"/>
      <c r="K723" s="132"/>
      <c r="L723" s="132"/>
      <c r="M723" s="132"/>
      <c r="N723" s="132"/>
      <c r="O723" s="132"/>
      <c r="P723" s="132"/>
      <c r="Q723" s="132"/>
      <c r="R723" s="132"/>
    </row>
    <row r="724" spans="1:18">
      <c r="A724" s="132"/>
      <c r="B724" s="132"/>
      <c r="C724" s="132"/>
      <c r="D724" s="132"/>
      <c r="E724" s="132"/>
      <c r="F724" s="132"/>
      <c r="G724" s="132"/>
      <c r="H724" s="132"/>
      <c r="I724" s="132"/>
      <c r="J724" s="132"/>
      <c r="K724" s="132"/>
      <c r="L724" s="132"/>
      <c r="M724" s="132"/>
      <c r="N724" s="132"/>
      <c r="O724" s="132"/>
      <c r="P724" s="132"/>
      <c r="Q724" s="132"/>
      <c r="R724" s="132"/>
    </row>
    <row r="725" spans="1:18">
      <c r="A725" s="132"/>
      <c r="B725" s="132"/>
      <c r="C725" s="132"/>
      <c r="D725" s="132"/>
      <c r="E725" s="132"/>
      <c r="F725" s="132"/>
      <c r="G725" s="132"/>
      <c r="H725" s="132"/>
      <c r="I725" s="132"/>
      <c r="J725" s="132"/>
      <c r="K725" s="132"/>
      <c r="L725" s="132"/>
      <c r="M725" s="132"/>
      <c r="N725" s="132"/>
      <c r="O725" s="132"/>
      <c r="P725" s="132"/>
      <c r="Q725" s="132"/>
      <c r="R725" s="132"/>
    </row>
    <row r="726" spans="1:18">
      <c r="A726" s="132"/>
      <c r="B726" s="132"/>
      <c r="C726" s="132"/>
      <c r="D726" s="132"/>
      <c r="E726" s="132"/>
      <c r="F726" s="132"/>
      <c r="G726" s="132"/>
      <c r="H726" s="132"/>
      <c r="I726" s="132"/>
      <c r="J726" s="132"/>
      <c r="K726" s="132"/>
      <c r="L726" s="132"/>
      <c r="M726" s="132"/>
      <c r="N726" s="132"/>
      <c r="O726" s="132"/>
      <c r="P726" s="132"/>
      <c r="Q726" s="132"/>
      <c r="R726" s="132"/>
    </row>
    <row r="727" spans="1:18">
      <c r="A727" s="132"/>
      <c r="B727" s="132"/>
      <c r="C727" s="132"/>
      <c r="D727" s="132"/>
      <c r="E727" s="132"/>
      <c r="F727" s="132"/>
      <c r="G727" s="132"/>
      <c r="H727" s="132"/>
      <c r="I727" s="132"/>
      <c r="J727" s="132"/>
      <c r="K727" s="132"/>
      <c r="L727" s="132"/>
      <c r="M727" s="132"/>
      <c r="N727" s="132"/>
      <c r="O727" s="132"/>
      <c r="P727" s="132"/>
      <c r="Q727" s="132"/>
      <c r="R727" s="132"/>
    </row>
    <row r="728" spans="1:18">
      <c r="A728" s="132"/>
      <c r="B728" s="132"/>
      <c r="C728" s="132"/>
      <c r="D728" s="132"/>
      <c r="E728" s="132"/>
      <c r="F728" s="132"/>
      <c r="G728" s="132"/>
      <c r="H728" s="132"/>
      <c r="I728" s="132"/>
      <c r="J728" s="132"/>
      <c r="K728" s="132"/>
      <c r="L728" s="132"/>
      <c r="M728" s="132"/>
      <c r="N728" s="132"/>
      <c r="O728" s="132"/>
      <c r="P728" s="132"/>
      <c r="Q728" s="132"/>
      <c r="R728" s="132"/>
    </row>
    <row r="729" spans="1:18">
      <c r="A729" s="132"/>
      <c r="B729" s="132"/>
      <c r="C729" s="132"/>
      <c r="D729" s="132"/>
      <c r="E729" s="132"/>
      <c r="F729" s="132"/>
      <c r="G729" s="132"/>
      <c r="H729" s="132"/>
      <c r="I729" s="132"/>
      <c r="J729" s="132"/>
      <c r="K729" s="132"/>
      <c r="L729" s="132"/>
      <c r="M729" s="132"/>
      <c r="N729" s="132"/>
      <c r="O729" s="132"/>
      <c r="P729" s="132"/>
      <c r="Q729" s="132"/>
      <c r="R729" s="132"/>
    </row>
    <row r="730" spans="1:18">
      <c r="A730" s="132"/>
      <c r="B730" s="132"/>
      <c r="C730" s="132"/>
      <c r="D730" s="132"/>
      <c r="E730" s="132"/>
      <c r="F730" s="132"/>
      <c r="G730" s="132"/>
      <c r="H730" s="132"/>
      <c r="I730" s="132"/>
      <c r="J730" s="132"/>
      <c r="K730" s="132"/>
      <c r="L730" s="132"/>
      <c r="M730" s="132"/>
      <c r="N730" s="132"/>
      <c r="O730" s="132"/>
      <c r="P730" s="132"/>
      <c r="Q730" s="132"/>
      <c r="R730" s="132"/>
    </row>
    <row r="731" spans="1:18">
      <c r="A731" s="132"/>
      <c r="B731" s="132"/>
      <c r="C731" s="132"/>
      <c r="D731" s="132"/>
      <c r="E731" s="132"/>
      <c r="F731" s="132"/>
      <c r="G731" s="132"/>
      <c r="H731" s="132"/>
      <c r="I731" s="132"/>
      <c r="J731" s="132"/>
      <c r="K731" s="132"/>
      <c r="L731" s="132"/>
      <c r="M731" s="132"/>
      <c r="N731" s="132"/>
      <c r="O731" s="132"/>
      <c r="P731" s="132"/>
      <c r="Q731" s="132"/>
      <c r="R731" s="132"/>
    </row>
    <row r="732" spans="1:18">
      <c r="A732" s="132"/>
      <c r="B732" s="132"/>
      <c r="C732" s="132"/>
      <c r="D732" s="132"/>
      <c r="E732" s="132"/>
      <c r="F732" s="132"/>
      <c r="G732" s="132"/>
      <c r="H732" s="132"/>
      <c r="I732" s="132"/>
      <c r="J732" s="132"/>
      <c r="K732" s="132"/>
      <c r="L732" s="132"/>
      <c r="M732" s="132"/>
      <c r="N732" s="132"/>
      <c r="O732" s="132"/>
      <c r="P732" s="132"/>
      <c r="Q732" s="132"/>
      <c r="R732" s="132"/>
    </row>
    <row r="733" spans="1:18">
      <c r="A733" s="132"/>
      <c r="B733" s="132"/>
      <c r="C733" s="132"/>
      <c r="D733" s="132"/>
      <c r="E733" s="132"/>
      <c r="F733" s="132"/>
      <c r="G733" s="132"/>
      <c r="H733" s="132"/>
      <c r="I733" s="132"/>
      <c r="J733" s="132"/>
      <c r="K733" s="132"/>
      <c r="L733" s="132"/>
      <c r="M733" s="132"/>
      <c r="N733" s="132"/>
      <c r="O733" s="132"/>
      <c r="P733" s="132"/>
      <c r="Q733" s="132"/>
      <c r="R733" s="132"/>
    </row>
    <row r="734" spans="1:18">
      <c r="A734" s="132"/>
      <c r="B734" s="132"/>
      <c r="C734" s="132"/>
      <c r="D734" s="132"/>
      <c r="E734" s="132"/>
      <c r="F734" s="132"/>
      <c r="G734" s="132"/>
      <c r="H734" s="132"/>
      <c r="I734" s="132"/>
      <c r="J734" s="132"/>
      <c r="K734" s="132"/>
      <c r="L734" s="132"/>
      <c r="M734" s="132"/>
      <c r="N734" s="132"/>
      <c r="O734" s="132"/>
      <c r="P734" s="132"/>
      <c r="Q734" s="132"/>
      <c r="R734" s="132"/>
    </row>
    <row r="735" spans="1:18">
      <c r="A735" s="132"/>
      <c r="B735" s="132"/>
      <c r="C735" s="132"/>
      <c r="D735" s="132"/>
      <c r="E735" s="132"/>
      <c r="F735" s="132"/>
      <c r="G735" s="132"/>
      <c r="H735" s="132"/>
      <c r="I735" s="132"/>
      <c r="J735" s="132"/>
      <c r="K735" s="132"/>
      <c r="L735" s="132"/>
      <c r="M735" s="132"/>
      <c r="N735" s="132"/>
      <c r="O735" s="132"/>
      <c r="P735" s="132"/>
      <c r="Q735" s="132"/>
      <c r="R735" s="132"/>
    </row>
    <row r="736" spans="1:18">
      <c r="A736" s="132"/>
      <c r="B736" s="132"/>
      <c r="C736" s="132"/>
      <c r="D736" s="132"/>
      <c r="E736" s="132"/>
      <c r="F736" s="132"/>
      <c r="G736" s="132"/>
      <c r="H736" s="132"/>
      <c r="I736" s="132"/>
      <c r="J736" s="132"/>
      <c r="K736" s="132"/>
      <c r="L736" s="132"/>
      <c r="M736" s="132"/>
      <c r="N736" s="132"/>
      <c r="O736" s="132"/>
      <c r="P736" s="132"/>
      <c r="Q736" s="132"/>
      <c r="R736" s="132"/>
    </row>
    <row r="737" spans="1:18">
      <c r="A737" s="132"/>
      <c r="B737" s="132"/>
      <c r="C737" s="132"/>
      <c r="D737" s="132"/>
      <c r="E737" s="132"/>
      <c r="F737" s="132"/>
      <c r="G737" s="132"/>
      <c r="H737" s="132"/>
      <c r="I737" s="132"/>
      <c r="J737" s="132"/>
      <c r="K737" s="132"/>
      <c r="L737" s="132"/>
      <c r="M737" s="132"/>
      <c r="N737" s="132"/>
      <c r="O737" s="132"/>
      <c r="P737" s="132"/>
      <c r="Q737" s="132"/>
      <c r="R737" s="132"/>
    </row>
    <row r="738" spans="1:18">
      <c r="A738" s="132"/>
      <c r="B738" s="132"/>
      <c r="C738" s="132"/>
      <c r="D738" s="132"/>
      <c r="E738" s="132"/>
      <c r="F738" s="132"/>
      <c r="G738" s="132"/>
      <c r="H738" s="132"/>
      <c r="I738" s="132"/>
      <c r="J738" s="132"/>
      <c r="K738" s="132"/>
      <c r="L738" s="132"/>
      <c r="M738" s="132"/>
      <c r="N738" s="132"/>
      <c r="O738" s="132"/>
      <c r="P738" s="132"/>
      <c r="Q738" s="132"/>
      <c r="R738" s="132"/>
    </row>
    <row r="739" spans="1:18">
      <c r="A739" s="132"/>
      <c r="B739" s="132"/>
      <c r="C739" s="132"/>
      <c r="D739" s="132"/>
      <c r="E739" s="132"/>
      <c r="F739" s="132"/>
      <c r="G739" s="132"/>
      <c r="H739" s="132"/>
      <c r="I739" s="132"/>
      <c r="J739" s="132"/>
      <c r="K739" s="132"/>
      <c r="L739" s="132"/>
      <c r="M739" s="132"/>
      <c r="N739" s="132"/>
      <c r="O739" s="132"/>
      <c r="P739" s="132"/>
      <c r="Q739" s="132"/>
      <c r="R739" s="132"/>
    </row>
    <row r="740" spans="1:18">
      <c r="A740" s="132"/>
      <c r="B740" s="132"/>
      <c r="C740" s="132"/>
      <c r="D740" s="132"/>
      <c r="E740" s="132"/>
      <c r="F740" s="132"/>
      <c r="G740" s="132"/>
      <c r="H740" s="132"/>
      <c r="I740" s="132"/>
      <c r="J740" s="132"/>
      <c r="K740" s="132"/>
      <c r="L740" s="132"/>
      <c r="M740" s="132"/>
      <c r="N740" s="132"/>
      <c r="O740" s="132"/>
      <c r="P740" s="132"/>
      <c r="Q740" s="132"/>
      <c r="R740" s="132"/>
    </row>
    <row r="741" spans="1:18">
      <c r="A741" s="132"/>
      <c r="B741" s="132"/>
      <c r="C741" s="132"/>
      <c r="D741" s="132"/>
      <c r="E741" s="132"/>
      <c r="F741" s="132"/>
      <c r="G741" s="132"/>
      <c r="H741" s="132"/>
      <c r="I741" s="132"/>
      <c r="J741" s="132"/>
      <c r="K741" s="132"/>
      <c r="L741" s="132"/>
      <c r="M741" s="132"/>
      <c r="N741" s="132"/>
      <c r="O741" s="132"/>
      <c r="P741" s="132"/>
      <c r="Q741" s="132"/>
      <c r="R741" s="132"/>
    </row>
    <row r="742" spans="1:18">
      <c r="A742" s="132"/>
      <c r="B742" s="132"/>
      <c r="C742" s="132"/>
      <c r="D742" s="132"/>
      <c r="E742" s="132"/>
      <c r="F742" s="132"/>
      <c r="G742" s="132"/>
      <c r="H742" s="132"/>
      <c r="I742" s="132"/>
      <c r="J742" s="132"/>
      <c r="K742" s="132"/>
      <c r="L742" s="132"/>
      <c r="M742" s="132"/>
      <c r="N742" s="132"/>
      <c r="O742" s="132"/>
      <c r="P742" s="132"/>
      <c r="Q742" s="132"/>
      <c r="R742" s="132"/>
    </row>
    <row r="743" spans="1:18">
      <c r="A743" s="132"/>
      <c r="B743" s="132"/>
      <c r="C743" s="132"/>
      <c r="D743" s="132"/>
      <c r="E743" s="132"/>
      <c r="F743" s="132"/>
      <c r="G743" s="132"/>
      <c r="H743" s="132"/>
      <c r="I743" s="132"/>
      <c r="J743" s="132"/>
      <c r="K743" s="132"/>
      <c r="L743" s="132"/>
      <c r="M743" s="132"/>
      <c r="N743" s="132"/>
      <c r="O743" s="132"/>
      <c r="P743" s="132"/>
      <c r="Q743" s="132"/>
      <c r="R743" s="132"/>
    </row>
    <row r="744" spans="1:18">
      <c r="A744" s="132"/>
      <c r="B744" s="132"/>
      <c r="C744" s="132"/>
      <c r="D744" s="132"/>
      <c r="E744" s="132"/>
      <c r="F744" s="132"/>
      <c r="G744" s="132"/>
      <c r="H744" s="132"/>
      <c r="I744" s="132"/>
      <c r="J744" s="132"/>
      <c r="K744" s="132"/>
      <c r="L744" s="132"/>
      <c r="M744" s="132"/>
      <c r="N744" s="132"/>
      <c r="O744" s="132"/>
      <c r="P744" s="132"/>
      <c r="Q744" s="132"/>
      <c r="R744" s="132"/>
    </row>
    <row r="745" spans="1:18">
      <c r="A745" s="132"/>
      <c r="B745" s="132"/>
      <c r="C745" s="132"/>
      <c r="D745" s="132"/>
      <c r="E745" s="132"/>
      <c r="F745" s="132"/>
      <c r="G745" s="132"/>
      <c r="H745" s="132"/>
      <c r="I745" s="132"/>
      <c r="J745" s="132"/>
      <c r="K745" s="132"/>
      <c r="L745" s="132"/>
      <c r="M745" s="132"/>
      <c r="N745" s="132"/>
      <c r="O745" s="132"/>
      <c r="P745" s="132"/>
      <c r="Q745" s="132"/>
      <c r="R745" s="132"/>
    </row>
    <row r="746" spans="1:18">
      <c r="A746" s="132"/>
      <c r="B746" s="132"/>
      <c r="C746" s="132"/>
      <c r="D746" s="132"/>
      <c r="E746" s="132"/>
      <c r="F746" s="132"/>
      <c r="G746" s="132"/>
      <c r="H746" s="132"/>
      <c r="I746" s="132"/>
      <c r="J746" s="132"/>
      <c r="K746" s="132"/>
      <c r="L746" s="132"/>
      <c r="M746" s="132"/>
      <c r="N746" s="132"/>
      <c r="O746" s="132"/>
      <c r="P746" s="132"/>
      <c r="Q746" s="132"/>
      <c r="R746" s="132"/>
    </row>
    <row r="747" spans="1:18">
      <c r="A747" s="132"/>
      <c r="B747" s="132"/>
      <c r="C747" s="132"/>
      <c r="D747" s="132"/>
      <c r="E747" s="132"/>
      <c r="F747" s="132"/>
      <c r="G747" s="132"/>
      <c r="H747" s="132"/>
      <c r="I747" s="132"/>
      <c r="J747" s="132"/>
      <c r="K747" s="132"/>
      <c r="L747" s="132"/>
      <c r="M747" s="132"/>
      <c r="N747" s="132"/>
      <c r="O747" s="132"/>
      <c r="P747" s="132"/>
      <c r="Q747" s="132"/>
      <c r="R747" s="132"/>
    </row>
    <row r="748" spans="1:18">
      <c r="A748" s="132"/>
      <c r="B748" s="132"/>
      <c r="C748" s="132"/>
      <c r="D748" s="132"/>
      <c r="E748" s="132"/>
      <c r="F748" s="132"/>
      <c r="G748" s="132"/>
      <c r="H748" s="132"/>
      <c r="I748" s="132"/>
      <c r="J748" s="132"/>
      <c r="K748" s="132"/>
      <c r="L748" s="132"/>
      <c r="M748" s="132"/>
      <c r="N748" s="132"/>
      <c r="O748" s="132"/>
      <c r="P748" s="132"/>
      <c r="Q748" s="132"/>
      <c r="R748" s="132"/>
    </row>
    <row r="749" spans="1:18">
      <c r="A749" s="132"/>
      <c r="B749" s="132"/>
      <c r="C749" s="132"/>
      <c r="D749" s="132"/>
      <c r="E749" s="132"/>
      <c r="F749" s="132"/>
      <c r="G749" s="132"/>
      <c r="H749" s="132"/>
      <c r="I749" s="132"/>
      <c r="J749" s="132"/>
      <c r="K749" s="132"/>
      <c r="L749" s="132"/>
      <c r="M749" s="132"/>
      <c r="N749" s="132"/>
      <c r="O749" s="132"/>
      <c r="P749" s="132"/>
      <c r="Q749" s="132"/>
      <c r="R749" s="132"/>
    </row>
    <row r="750" spans="1:18">
      <c r="A750" s="132"/>
      <c r="B750" s="132"/>
      <c r="C750" s="132"/>
      <c r="D750" s="132"/>
      <c r="E750" s="132"/>
      <c r="F750" s="132"/>
      <c r="G750" s="132"/>
      <c r="H750" s="132"/>
      <c r="I750" s="132"/>
      <c r="J750" s="132"/>
      <c r="K750" s="132"/>
      <c r="L750" s="132"/>
      <c r="M750" s="132"/>
      <c r="N750" s="132"/>
      <c r="O750" s="132"/>
      <c r="P750" s="132"/>
      <c r="Q750" s="132"/>
      <c r="R750" s="132"/>
    </row>
    <row r="751" spans="1:18">
      <c r="A751" s="132"/>
      <c r="B751" s="132"/>
      <c r="C751" s="132"/>
      <c r="D751" s="132"/>
      <c r="E751" s="132"/>
      <c r="F751" s="132"/>
      <c r="G751" s="132"/>
      <c r="H751" s="132"/>
      <c r="I751" s="132"/>
      <c r="J751" s="132"/>
      <c r="K751" s="132"/>
      <c r="L751" s="132"/>
      <c r="M751" s="132"/>
      <c r="N751" s="132"/>
      <c r="O751" s="132"/>
      <c r="P751" s="132"/>
      <c r="Q751" s="132"/>
      <c r="R751" s="132"/>
    </row>
    <row r="752" spans="1:18">
      <c r="A752" s="132"/>
      <c r="B752" s="132"/>
      <c r="C752" s="132"/>
      <c r="D752" s="132"/>
      <c r="E752" s="132"/>
      <c r="F752" s="132"/>
      <c r="G752" s="132"/>
      <c r="H752" s="132"/>
      <c r="I752" s="132"/>
      <c r="J752" s="132"/>
      <c r="K752" s="132"/>
      <c r="L752" s="132"/>
      <c r="M752" s="132"/>
      <c r="N752" s="132"/>
      <c r="O752" s="132"/>
      <c r="P752" s="132"/>
      <c r="Q752" s="132"/>
      <c r="R752" s="132"/>
    </row>
    <row r="753" spans="1:18">
      <c r="A753" s="132"/>
      <c r="B753" s="132"/>
      <c r="C753" s="132"/>
      <c r="D753" s="132"/>
      <c r="E753" s="132"/>
      <c r="F753" s="132"/>
      <c r="G753" s="132"/>
      <c r="H753" s="132"/>
      <c r="I753" s="132"/>
      <c r="J753" s="132"/>
      <c r="K753" s="132"/>
      <c r="L753" s="132"/>
      <c r="M753" s="132"/>
      <c r="N753" s="132"/>
      <c r="O753" s="132"/>
      <c r="P753" s="132"/>
      <c r="Q753" s="132"/>
      <c r="R753" s="132"/>
    </row>
    <row r="754" spans="1:18">
      <c r="A754" s="132"/>
      <c r="B754" s="132"/>
      <c r="C754" s="132"/>
      <c r="D754" s="132"/>
      <c r="E754" s="132"/>
      <c r="F754" s="132"/>
      <c r="G754" s="132"/>
      <c r="H754" s="132"/>
      <c r="I754" s="132"/>
      <c r="J754" s="132"/>
      <c r="K754" s="132"/>
      <c r="L754" s="132"/>
      <c r="M754" s="132"/>
      <c r="N754" s="132"/>
      <c r="O754" s="132"/>
      <c r="P754" s="132"/>
      <c r="Q754" s="132"/>
      <c r="R754" s="132"/>
    </row>
    <row r="755" spans="1:18">
      <c r="A755" s="132"/>
      <c r="B755" s="132"/>
      <c r="C755" s="132"/>
      <c r="D755" s="132"/>
      <c r="E755" s="132"/>
      <c r="F755" s="132"/>
      <c r="G755" s="132"/>
      <c r="H755" s="132"/>
      <c r="I755" s="132"/>
      <c r="J755" s="132"/>
      <c r="K755" s="132"/>
      <c r="L755" s="132"/>
      <c r="M755" s="132"/>
      <c r="N755" s="132"/>
      <c r="O755" s="132"/>
      <c r="P755" s="132"/>
      <c r="Q755" s="132"/>
      <c r="R755" s="132"/>
    </row>
    <row r="756" spans="1:18">
      <c r="A756" s="132"/>
      <c r="B756" s="132"/>
      <c r="C756" s="132"/>
      <c r="D756" s="132"/>
      <c r="E756" s="132"/>
      <c r="F756" s="132"/>
      <c r="G756" s="132"/>
      <c r="H756" s="132"/>
      <c r="I756" s="132"/>
      <c r="J756" s="132"/>
      <c r="K756" s="132"/>
      <c r="L756" s="132"/>
      <c r="M756" s="132"/>
      <c r="N756" s="132"/>
      <c r="O756" s="132"/>
      <c r="P756" s="132"/>
      <c r="Q756" s="132"/>
      <c r="R756" s="132"/>
    </row>
    <row r="757" spans="1:18">
      <c r="A757" s="132"/>
      <c r="B757" s="132"/>
      <c r="C757" s="132"/>
      <c r="D757" s="132"/>
      <c r="E757" s="132"/>
      <c r="F757" s="132"/>
      <c r="G757" s="132"/>
      <c r="H757" s="132"/>
      <c r="I757" s="132"/>
      <c r="J757" s="132"/>
      <c r="K757" s="132"/>
      <c r="L757" s="132"/>
      <c r="M757" s="132"/>
      <c r="N757" s="132"/>
      <c r="O757" s="132"/>
      <c r="P757" s="132"/>
      <c r="Q757" s="132"/>
      <c r="R757" s="132"/>
    </row>
    <row r="758" spans="1:18">
      <c r="A758" s="132"/>
      <c r="B758" s="132"/>
      <c r="C758" s="132"/>
      <c r="D758" s="132"/>
      <c r="E758" s="132"/>
      <c r="F758" s="132"/>
      <c r="G758" s="132"/>
      <c r="H758" s="132"/>
      <c r="I758" s="132"/>
      <c r="J758" s="132"/>
      <c r="K758" s="132"/>
      <c r="L758" s="132"/>
      <c r="M758" s="132"/>
      <c r="N758" s="132"/>
      <c r="O758" s="132"/>
      <c r="P758" s="132"/>
      <c r="Q758" s="132"/>
      <c r="R758" s="132"/>
    </row>
    <row r="759" spans="1:18">
      <c r="A759" s="132"/>
      <c r="B759" s="132"/>
      <c r="C759" s="132"/>
      <c r="D759" s="132"/>
      <c r="E759" s="132"/>
      <c r="F759" s="132"/>
      <c r="G759" s="132"/>
      <c r="H759" s="132"/>
      <c r="I759" s="132"/>
      <c r="J759" s="132"/>
      <c r="K759" s="132"/>
      <c r="L759" s="132"/>
      <c r="M759" s="132"/>
      <c r="N759" s="132"/>
      <c r="O759" s="132"/>
      <c r="P759" s="132"/>
      <c r="Q759" s="132"/>
      <c r="R759" s="132"/>
    </row>
    <row r="760" spans="1:18">
      <c r="A760" s="132"/>
      <c r="B760" s="132"/>
      <c r="C760" s="132"/>
      <c r="D760" s="132"/>
      <c r="E760" s="132"/>
      <c r="F760" s="132"/>
      <c r="G760" s="132"/>
      <c r="H760" s="132"/>
      <c r="I760" s="132"/>
      <c r="J760" s="132"/>
      <c r="K760" s="132"/>
      <c r="L760" s="132"/>
      <c r="M760" s="132"/>
      <c r="N760" s="132"/>
      <c r="O760" s="132"/>
      <c r="P760" s="132"/>
      <c r="Q760" s="132"/>
      <c r="R760" s="132"/>
    </row>
    <row r="761" spans="1:18">
      <c r="A761" s="132"/>
      <c r="B761" s="132"/>
      <c r="C761" s="132"/>
      <c r="D761" s="132"/>
      <c r="E761" s="132"/>
      <c r="F761" s="132"/>
      <c r="G761" s="132"/>
      <c r="H761" s="132"/>
      <c r="I761" s="132"/>
      <c r="J761" s="132"/>
      <c r="K761" s="132"/>
      <c r="L761" s="132"/>
      <c r="M761" s="132"/>
      <c r="N761" s="132"/>
      <c r="O761" s="132"/>
      <c r="P761" s="132"/>
      <c r="Q761" s="132"/>
      <c r="R761" s="132"/>
    </row>
    <row r="762" spans="1:18">
      <c r="A762" s="132"/>
      <c r="B762" s="132"/>
      <c r="C762" s="132"/>
      <c r="D762" s="132"/>
      <c r="E762" s="132"/>
      <c r="F762" s="132"/>
      <c r="G762" s="132"/>
      <c r="H762" s="132"/>
      <c r="I762" s="132"/>
      <c r="J762" s="132"/>
      <c r="K762" s="132"/>
      <c r="L762" s="132"/>
      <c r="M762" s="132"/>
      <c r="N762" s="132"/>
      <c r="O762" s="132"/>
      <c r="P762" s="132"/>
      <c r="Q762" s="132"/>
      <c r="R762" s="132"/>
    </row>
    <row r="763" spans="1:18">
      <c r="A763" s="132"/>
      <c r="B763" s="132"/>
      <c r="C763" s="132"/>
      <c r="D763" s="132"/>
      <c r="E763" s="132"/>
      <c r="F763" s="132"/>
      <c r="G763" s="132"/>
      <c r="H763" s="132"/>
      <c r="I763" s="132"/>
      <c r="J763" s="132"/>
      <c r="K763" s="132"/>
      <c r="L763" s="132"/>
      <c r="M763" s="132"/>
      <c r="N763" s="132"/>
      <c r="O763" s="132"/>
      <c r="P763" s="132"/>
      <c r="Q763" s="132"/>
      <c r="R763" s="132"/>
    </row>
    <row r="764" spans="1:18">
      <c r="A764" s="132"/>
      <c r="B764" s="132"/>
      <c r="C764" s="132"/>
      <c r="D764" s="132"/>
      <c r="E764" s="132"/>
      <c r="F764" s="132"/>
      <c r="G764" s="132"/>
      <c r="H764" s="132"/>
      <c r="I764" s="132"/>
      <c r="J764" s="132"/>
      <c r="K764" s="132"/>
      <c r="L764" s="132"/>
      <c r="M764" s="132"/>
      <c r="N764" s="132"/>
      <c r="O764" s="132"/>
      <c r="P764" s="132"/>
      <c r="Q764" s="132"/>
      <c r="R764" s="132"/>
    </row>
    <row r="765" spans="1:18">
      <c r="A765" s="132"/>
      <c r="B765" s="132"/>
      <c r="C765" s="132"/>
      <c r="D765" s="132"/>
      <c r="E765" s="132"/>
      <c r="F765" s="132"/>
      <c r="G765" s="132"/>
      <c r="H765" s="132"/>
      <c r="I765" s="132"/>
      <c r="J765" s="132"/>
      <c r="K765" s="132"/>
      <c r="L765" s="132"/>
      <c r="M765" s="132"/>
      <c r="N765" s="132"/>
      <c r="O765" s="132"/>
      <c r="P765" s="132"/>
      <c r="Q765" s="132"/>
      <c r="R765" s="132"/>
    </row>
    <row r="766" spans="1:18">
      <c r="A766" s="132"/>
      <c r="B766" s="132"/>
      <c r="C766" s="132"/>
      <c r="D766" s="132"/>
      <c r="E766" s="132"/>
      <c r="F766" s="132"/>
      <c r="G766" s="132"/>
      <c r="H766" s="132"/>
      <c r="I766" s="132"/>
      <c r="J766" s="132"/>
      <c r="K766" s="132"/>
      <c r="L766" s="132"/>
      <c r="M766" s="132"/>
      <c r="N766" s="132"/>
      <c r="O766" s="132"/>
      <c r="P766" s="132"/>
      <c r="Q766" s="132"/>
      <c r="R766" s="132"/>
    </row>
    <row r="767" spans="1:18">
      <c r="A767" s="132"/>
      <c r="B767" s="132"/>
      <c r="C767" s="132"/>
      <c r="D767" s="132"/>
      <c r="E767" s="132"/>
      <c r="F767" s="132"/>
      <c r="G767" s="132"/>
      <c r="H767" s="132"/>
      <c r="I767" s="132"/>
      <c r="J767" s="132"/>
      <c r="K767" s="132"/>
      <c r="L767" s="132"/>
      <c r="M767" s="132"/>
      <c r="N767" s="132"/>
      <c r="O767" s="132"/>
      <c r="P767" s="132"/>
      <c r="Q767" s="132"/>
      <c r="R767" s="132"/>
    </row>
    <row r="768" spans="1:18">
      <c r="A768" s="132"/>
      <c r="B768" s="132"/>
      <c r="C768" s="132"/>
      <c r="D768" s="132"/>
      <c r="E768" s="132"/>
      <c r="F768" s="132"/>
      <c r="G768" s="132"/>
      <c r="H768" s="132"/>
      <c r="I768" s="132"/>
      <c r="J768" s="132"/>
      <c r="K768" s="132"/>
      <c r="L768" s="132"/>
      <c r="M768" s="132"/>
      <c r="N768" s="132"/>
      <c r="O768" s="132"/>
      <c r="P768" s="132"/>
      <c r="Q768" s="132"/>
      <c r="R768" s="132"/>
    </row>
    <row r="769" spans="1:18">
      <c r="A769" s="132"/>
      <c r="B769" s="132"/>
      <c r="C769" s="132"/>
      <c r="D769" s="132"/>
      <c r="E769" s="132"/>
      <c r="F769" s="132"/>
      <c r="G769" s="132"/>
      <c r="H769" s="132"/>
      <c r="I769" s="132"/>
      <c r="J769" s="132"/>
      <c r="K769" s="132"/>
      <c r="L769" s="132"/>
      <c r="M769" s="132"/>
      <c r="N769" s="132"/>
      <c r="O769" s="132"/>
      <c r="P769" s="132"/>
      <c r="Q769" s="132"/>
      <c r="R769" s="132"/>
    </row>
    <row r="770" spans="1:18">
      <c r="A770" s="132"/>
      <c r="B770" s="132"/>
      <c r="C770" s="132"/>
      <c r="D770" s="132"/>
      <c r="E770" s="132"/>
      <c r="F770" s="132"/>
      <c r="G770" s="132"/>
      <c r="H770" s="132"/>
      <c r="I770" s="132"/>
      <c r="J770" s="132"/>
      <c r="K770" s="132"/>
      <c r="L770" s="132"/>
      <c r="M770" s="132"/>
      <c r="N770" s="132"/>
      <c r="O770" s="132"/>
      <c r="P770" s="132"/>
      <c r="Q770" s="132"/>
      <c r="R770" s="132"/>
    </row>
    <row r="771" spans="1:18">
      <c r="A771" s="132"/>
      <c r="B771" s="132"/>
      <c r="C771" s="132"/>
      <c r="D771" s="132"/>
      <c r="E771" s="132"/>
      <c r="F771" s="132"/>
      <c r="G771" s="132"/>
      <c r="H771" s="132"/>
      <c r="I771" s="132"/>
      <c r="J771" s="132"/>
      <c r="K771" s="132"/>
      <c r="L771" s="132"/>
      <c r="M771" s="132"/>
      <c r="N771" s="132"/>
      <c r="O771" s="132"/>
      <c r="P771" s="132"/>
      <c r="Q771" s="132"/>
      <c r="R771" s="132"/>
    </row>
    <row r="772" spans="1:18">
      <c r="A772" s="132"/>
      <c r="B772" s="132"/>
      <c r="C772" s="132"/>
      <c r="D772" s="132"/>
      <c r="E772" s="132"/>
      <c r="F772" s="132"/>
      <c r="G772" s="132"/>
      <c r="H772" s="132"/>
      <c r="I772" s="132"/>
      <c r="J772" s="132"/>
      <c r="K772" s="132"/>
      <c r="L772" s="132"/>
      <c r="M772" s="132"/>
      <c r="N772" s="132"/>
      <c r="O772" s="132"/>
      <c r="P772" s="132"/>
      <c r="Q772" s="132"/>
      <c r="R772" s="132"/>
    </row>
    <row r="773" spans="1:18">
      <c r="A773" s="132"/>
      <c r="B773" s="132"/>
      <c r="C773" s="132"/>
      <c r="D773" s="132"/>
      <c r="E773" s="132"/>
      <c r="F773" s="132"/>
      <c r="G773" s="132"/>
      <c r="H773" s="132"/>
      <c r="I773" s="132"/>
      <c r="J773" s="132"/>
      <c r="K773" s="132"/>
      <c r="L773" s="132"/>
      <c r="M773" s="132"/>
      <c r="N773" s="132"/>
      <c r="O773" s="132"/>
      <c r="P773" s="132"/>
      <c r="Q773" s="132"/>
      <c r="R773" s="132"/>
    </row>
    <row r="774" spans="1:18">
      <c r="A774" s="132"/>
      <c r="B774" s="132"/>
      <c r="C774" s="132"/>
      <c r="D774" s="132"/>
      <c r="E774" s="132"/>
      <c r="F774" s="132"/>
      <c r="G774" s="132"/>
      <c r="H774" s="132"/>
      <c r="I774" s="132"/>
      <c r="J774" s="132"/>
      <c r="K774" s="132"/>
      <c r="L774" s="132"/>
      <c r="M774" s="132"/>
      <c r="N774" s="132"/>
      <c r="O774" s="132"/>
      <c r="P774" s="132"/>
      <c r="Q774" s="132"/>
      <c r="R774" s="132"/>
    </row>
    <row r="775" spans="1:18">
      <c r="A775" s="132"/>
      <c r="B775" s="132"/>
      <c r="C775" s="132"/>
      <c r="D775" s="132"/>
      <c r="E775" s="132"/>
      <c r="F775" s="132"/>
      <c r="G775" s="132"/>
      <c r="H775" s="132"/>
      <c r="I775" s="132"/>
      <c r="J775" s="132"/>
      <c r="K775" s="132"/>
      <c r="L775" s="132"/>
      <c r="M775" s="132"/>
      <c r="N775" s="132"/>
      <c r="O775" s="132"/>
      <c r="P775" s="132"/>
      <c r="Q775" s="132"/>
      <c r="R775" s="132"/>
    </row>
    <row r="776" spans="1:18">
      <c r="A776" s="132"/>
      <c r="B776" s="132"/>
      <c r="C776" s="132"/>
      <c r="D776" s="132"/>
      <c r="E776" s="132"/>
      <c r="F776" s="132"/>
      <c r="G776" s="132"/>
      <c r="H776" s="132"/>
      <c r="I776" s="132"/>
      <c r="J776" s="132"/>
      <c r="K776" s="132"/>
      <c r="L776" s="132"/>
      <c r="M776" s="132"/>
      <c r="N776" s="132"/>
      <c r="O776" s="132"/>
      <c r="P776" s="132"/>
      <c r="Q776" s="132"/>
      <c r="R776" s="132"/>
    </row>
    <row r="777" spans="1:18">
      <c r="A777" s="132"/>
      <c r="B777" s="132"/>
      <c r="C777" s="132"/>
      <c r="D777" s="132"/>
      <c r="E777" s="132"/>
      <c r="F777" s="132"/>
      <c r="G777" s="132"/>
      <c r="H777" s="132"/>
      <c r="I777" s="132"/>
      <c r="J777" s="132"/>
      <c r="K777" s="132"/>
      <c r="L777" s="132"/>
      <c r="M777" s="132"/>
      <c r="N777" s="132"/>
      <c r="O777" s="132"/>
      <c r="P777" s="132"/>
      <c r="Q777" s="132"/>
      <c r="R777" s="132"/>
    </row>
    <row r="778" spans="1:18">
      <c r="A778" s="132"/>
      <c r="B778" s="132"/>
      <c r="C778" s="132"/>
      <c r="D778" s="132"/>
      <c r="E778" s="132"/>
      <c r="F778" s="132"/>
      <c r="G778" s="132"/>
      <c r="H778" s="132"/>
      <c r="I778" s="132"/>
      <c r="J778" s="132"/>
      <c r="K778" s="132"/>
      <c r="L778" s="132"/>
      <c r="M778" s="132"/>
      <c r="N778" s="132"/>
      <c r="O778" s="132"/>
      <c r="P778" s="132"/>
      <c r="Q778" s="132"/>
      <c r="R778" s="132"/>
    </row>
    <row r="779" spans="1:18">
      <c r="A779" s="132"/>
      <c r="B779" s="132"/>
      <c r="C779" s="132"/>
      <c r="D779" s="132"/>
      <c r="E779" s="132"/>
      <c r="F779" s="132"/>
      <c r="G779" s="132"/>
      <c r="H779" s="132"/>
      <c r="I779" s="132"/>
      <c r="J779" s="132"/>
      <c r="K779" s="132"/>
      <c r="L779" s="132"/>
      <c r="M779" s="132"/>
      <c r="N779" s="132"/>
      <c r="O779" s="132"/>
      <c r="P779" s="132"/>
      <c r="Q779" s="132"/>
      <c r="R779" s="132"/>
    </row>
    <row r="780" spans="1:18">
      <c r="A780" s="132"/>
      <c r="B780" s="132"/>
      <c r="C780" s="132"/>
      <c r="D780" s="132"/>
      <c r="E780" s="132"/>
      <c r="F780" s="132"/>
      <c r="G780" s="132"/>
      <c r="H780" s="132"/>
      <c r="I780" s="132"/>
      <c r="J780" s="132"/>
      <c r="K780" s="132"/>
      <c r="L780" s="132"/>
      <c r="M780" s="132"/>
      <c r="N780" s="132"/>
      <c r="O780" s="132"/>
      <c r="P780" s="132"/>
      <c r="Q780" s="132"/>
      <c r="R780" s="132"/>
    </row>
    <row r="781" spans="1:18">
      <c r="A781" s="132"/>
      <c r="B781" s="132"/>
      <c r="C781" s="132"/>
      <c r="D781" s="132"/>
      <c r="E781" s="132"/>
      <c r="F781" s="132"/>
      <c r="G781" s="132"/>
      <c r="H781" s="132"/>
      <c r="I781" s="132"/>
      <c r="J781" s="132"/>
      <c r="K781" s="132"/>
      <c r="L781" s="132"/>
      <c r="M781" s="132"/>
      <c r="N781" s="132"/>
      <c r="O781" s="132"/>
      <c r="P781" s="132"/>
      <c r="Q781" s="132"/>
      <c r="R781" s="132"/>
    </row>
    <row r="782" spans="1:18">
      <c r="A782" s="132"/>
      <c r="B782" s="132"/>
      <c r="C782" s="132"/>
      <c r="D782" s="132"/>
      <c r="E782" s="132"/>
      <c r="F782" s="132"/>
      <c r="G782" s="132"/>
      <c r="H782" s="132"/>
      <c r="I782" s="132"/>
      <c r="J782" s="132"/>
      <c r="K782" s="132"/>
      <c r="L782" s="132"/>
      <c r="M782" s="132"/>
      <c r="N782" s="132"/>
      <c r="O782" s="132"/>
      <c r="P782" s="132"/>
      <c r="Q782" s="132"/>
      <c r="R782" s="132"/>
    </row>
    <row r="783" spans="1:18">
      <c r="A783" s="132"/>
      <c r="B783" s="132"/>
      <c r="C783" s="132"/>
      <c r="D783" s="132"/>
      <c r="E783" s="132"/>
      <c r="F783" s="132"/>
      <c r="G783" s="132"/>
      <c r="H783" s="132"/>
      <c r="I783" s="132"/>
      <c r="J783" s="132"/>
      <c r="K783" s="132"/>
      <c r="L783" s="132"/>
      <c r="M783" s="132"/>
      <c r="N783" s="132"/>
      <c r="O783" s="132"/>
      <c r="P783" s="132"/>
      <c r="Q783" s="132"/>
      <c r="R783" s="132"/>
    </row>
    <row r="784" spans="1:18">
      <c r="A784" s="132"/>
      <c r="B784" s="132"/>
      <c r="C784" s="132"/>
      <c r="D784" s="132"/>
      <c r="E784" s="132"/>
      <c r="F784" s="132"/>
      <c r="G784" s="132"/>
      <c r="H784" s="132"/>
      <c r="I784" s="132"/>
      <c r="J784" s="132"/>
      <c r="K784" s="132"/>
      <c r="L784" s="132"/>
      <c r="M784" s="132"/>
      <c r="N784" s="132"/>
      <c r="O784" s="132"/>
      <c r="P784" s="132"/>
      <c r="Q784" s="132"/>
      <c r="R784" s="132"/>
    </row>
    <row r="785" spans="1:18">
      <c r="A785" s="132"/>
      <c r="B785" s="132"/>
      <c r="C785" s="132"/>
      <c r="D785" s="132"/>
      <c r="E785" s="132"/>
      <c r="F785" s="132"/>
      <c r="G785" s="132"/>
      <c r="H785" s="132"/>
      <c r="I785" s="132"/>
      <c r="J785" s="132"/>
      <c r="K785" s="132"/>
      <c r="L785" s="132"/>
      <c r="M785" s="132"/>
      <c r="N785" s="132"/>
      <c r="O785" s="132"/>
      <c r="P785" s="132"/>
      <c r="Q785" s="132"/>
      <c r="R785" s="132"/>
    </row>
    <row r="786" spans="1:18">
      <c r="A786" s="132"/>
      <c r="B786" s="132"/>
      <c r="C786" s="132"/>
      <c r="D786" s="132"/>
      <c r="E786" s="132"/>
      <c r="F786" s="132"/>
      <c r="G786" s="132"/>
      <c r="H786" s="132"/>
      <c r="I786" s="132"/>
      <c r="J786" s="132"/>
      <c r="K786" s="132"/>
      <c r="L786" s="132"/>
      <c r="M786" s="132"/>
      <c r="N786" s="132"/>
      <c r="O786" s="132"/>
      <c r="P786" s="132"/>
      <c r="Q786" s="132"/>
      <c r="R786" s="132"/>
    </row>
    <row r="787" spans="1:18">
      <c r="A787" s="132"/>
      <c r="B787" s="132"/>
      <c r="C787" s="132"/>
      <c r="D787" s="132"/>
      <c r="E787" s="132"/>
      <c r="F787" s="132"/>
      <c r="G787" s="132"/>
      <c r="H787" s="132"/>
      <c r="I787" s="132"/>
      <c r="J787" s="132"/>
      <c r="K787" s="132"/>
      <c r="L787" s="132"/>
      <c r="M787" s="132"/>
      <c r="N787" s="132"/>
      <c r="O787" s="132"/>
      <c r="P787" s="132"/>
      <c r="Q787" s="132"/>
      <c r="R787" s="132"/>
    </row>
    <row r="788" spans="1:18">
      <c r="A788" s="132"/>
      <c r="B788" s="132"/>
      <c r="C788" s="132"/>
      <c r="D788" s="132"/>
      <c r="E788" s="132"/>
      <c r="F788" s="132"/>
      <c r="G788" s="132"/>
      <c r="H788" s="132"/>
      <c r="I788" s="132"/>
      <c r="J788" s="132"/>
      <c r="K788" s="132"/>
      <c r="L788" s="132"/>
      <c r="M788" s="132"/>
      <c r="N788" s="132"/>
      <c r="O788" s="132"/>
      <c r="P788" s="132"/>
      <c r="Q788" s="132"/>
      <c r="R788" s="132"/>
    </row>
    <row r="789" spans="1:18">
      <c r="A789" s="132"/>
      <c r="B789" s="132"/>
      <c r="C789" s="132"/>
      <c r="D789" s="132"/>
      <c r="E789" s="132"/>
      <c r="F789" s="132"/>
      <c r="G789" s="132"/>
      <c r="H789" s="132"/>
      <c r="I789" s="132"/>
      <c r="J789" s="132"/>
      <c r="K789" s="132"/>
      <c r="L789" s="132"/>
      <c r="M789" s="132"/>
      <c r="N789" s="132"/>
      <c r="O789" s="132"/>
      <c r="P789" s="132"/>
      <c r="Q789" s="132"/>
      <c r="R789" s="132"/>
    </row>
    <row r="790" spans="1:18">
      <c r="A790" s="132"/>
      <c r="B790" s="132"/>
      <c r="C790" s="132"/>
      <c r="D790" s="132"/>
      <c r="E790" s="132"/>
      <c r="F790" s="132"/>
      <c r="G790" s="132"/>
      <c r="H790" s="132"/>
      <c r="I790" s="132"/>
      <c r="J790" s="132"/>
      <c r="K790" s="132"/>
      <c r="L790" s="132"/>
      <c r="M790" s="132"/>
      <c r="N790" s="132"/>
      <c r="O790" s="132"/>
      <c r="P790" s="132"/>
      <c r="Q790" s="132"/>
      <c r="R790" s="132"/>
    </row>
    <row r="791" spans="1:18">
      <c r="A791" s="132"/>
      <c r="B791" s="132"/>
      <c r="C791" s="132"/>
      <c r="D791" s="132"/>
      <c r="E791" s="132"/>
      <c r="F791" s="132"/>
      <c r="G791" s="132"/>
      <c r="H791" s="132"/>
      <c r="I791" s="132"/>
      <c r="J791" s="132"/>
      <c r="K791" s="132"/>
      <c r="L791" s="132"/>
      <c r="M791" s="132"/>
      <c r="N791" s="132"/>
      <c r="O791" s="132"/>
      <c r="P791" s="132"/>
      <c r="Q791" s="132"/>
      <c r="R791" s="132"/>
    </row>
    <row r="792" spans="1:18">
      <c r="A792" s="132"/>
      <c r="B792" s="132"/>
      <c r="C792" s="132"/>
      <c r="D792" s="132"/>
      <c r="E792" s="132"/>
      <c r="F792" s="132"/>
      <c r="G792" s="132"/>
      <c r="H792" s="132"/>
      <c r="I792" s="132"/>
      <c r="J792" s="132"/>
      <c r="K792" s="132"/>
      <c r="L792" s="132"/>
      <c r="M792" s="132"/>
      <c r="N792" s="132"/>
      <c r="O792" s="132"/>
      <c r="P792" s="132"/>
      <c r="Q792" s="132"/>
      <c r="R792" s="132"/>
    </row>
    <row r="793" spans="1:18">
      <c r="A793" s="132"/>
      <c r="B793" s="132"/>
      <c r="C793" s="132"/>
      <c r="D793" s="132"/>
      <c r="E793" s="132"/>
      <c r="F793" s="132"/>
      <c r="G793" s="132"/>
      <c r="H793" s="132"/>
      <c r="I793" s="132"/>
      <c r="J793" s="132"/>
      <c r="K793" s="132"/>
      <c r="L793" s="132"/>
      <c r="M793" s="132"/>
      <c r="N793" s="132"/>
      <c r="O793" s="132"/>
      <c r="P793" s="132"/>
      <c r="Q793" s="132"/>
      <c r="R793" s="132"/>
    </row>
    <row r="794" spans="1:18">
      <c r="A794" s="132"/>
      <c r="B794" s="132"/>
      <c r="C794" s="132"/>
      <c r="D794" s="132"/>
      <c r="E794" s="132"/>
      <c r="F794" s="132"/>
      <c r="G794" s="132"/>
      <c r="H794" s="132"/>
      <c r="I794" s="132"/>
      <c r="J794" s="132"/>
      <c r="K794" s="132"/>
      <c r="L794" s="132"/>
      <c r="M794" s="132"/>
      <c r="N794" s="132"/>
      <c r="O794" s="132"/>
      <c r="P794" s="132"/>
      <c r="Q794" s="132"/>
      <c r="R794" s="132"/>
    </row>
    <row r="795" spans="1:18">
      <c r="A795" s="132"/>
      <c r="B795" s="132"/>
      <c r="C795" s="132"/>
      <c r="D795" s="132"/>
      <c r="E795" s="132"/>
      <c r="F795" s="132"/>
      <c r="G795" s="132"/>
      <c r="H795" s="132"/>
      <c r="I795" s="132"/>
      <c r="J795" s="132"/>
      <c r="K795" s="132"/>
      <c r="L795" s="132"/>
      <c r="M795" s="132"/>
      <c r="N795" s="132"/>
      <c r="O795" s="132"/>
      <c r="P795" s="132"/>
      <c r="Q795" s="132"/>
      <c r="R795" s="132"/>
    </row>
    <row r="796" spans="1:18">
      <c r="A796" s="132"/>
      <c r="B796" s="132"/>
      <c r="C796" s="132"/>
      <c r="D796" s="132"/>
      <c r="E796" s="132"/>
      <c r="F796" s="132"/>
      <c r="G796" s="132"/>
      <c r="H796" s="132"/>
      <c r="I796" s="132"/>
      <c r="J796" s="132"/>
      <c r="K796" s="132"/>
      <c r="L796" s="132"/>
      <c r="M796" s="132"/>
      <c r="N796" s="132"/>
      <c r="O796" s="132"/>
      <c r="P796" s="132"/>
      <c r="Q796" s="132"/>
      <c r="R796" s="132"/>
    </row>
    <row r="797" spans="1:18">
      <c r="A797" s="132"/>
      <c r="B797" s="132"/>
      <c r="C797" s="132"/>
      <c r="D797" s="132"/>
      <c r="E797" s="132"/>
      <c r="F797" s="132"/>
      <c r="G797" s="132"/>
      <c r="H797" s="132"/>
      <c r="I797" s="132"/>
      <c r="J797" s="132"/>
      <c r="K797" s="132"/>
      <c r="L797" s="132"/>
      <c r="M797" s="132"/>
      <c r="N797" s="132"/>
      <c r="O797" s="132"/>
      <c r="P797" s="132"/>
      <c r="Q797" s="132"/>
      <c r="R797" s="132"/>
    </row>
    <row r="798" spans="1:18">
      <c r="A798" s="132"/>
      <c r="B798" s="132"/>
      <c r="C798" s="132"/>
      <c r="D798" s="132"/>
      <c r="E798" s="132"/>
      <c r="F798" s="132"/>
      <c r="G798" s="132"/>
      <c r="H798" s="132"/>
      <c r="I798" s="132"/>
      <c r="J798" s="132"/>
      <c r="K798" s="132"/>
      <c r="L798" s="132"/>
      <c r="M798" s="132"/>
      <c r="N798" s="132"/>
      <c r="O798" s="132"/>
      <c r="P798" s="132"/>
      <c r="Q798" s="132"/>
      <c r="R798" s="132"/>
    </row>
    <row r="799" spans="1:18">
      <c r="A799" s="132"/>
      <c r="B799" s="132"/>
      <c r="C799" s="132"/>
      <c r="D799" s="132"/>
      <c r="E799" s="132"/>
      <c r="F799" s="132"/>
      <c r="G799" s="132"/>
      <c r="H799" s="132"/>
      <c r="I799" s="132"/>
      <c r="J799" s="132"/>
      <c r="K799" s="132"/>
      <c r="L799" s="132"/>
      <c r="M799" s="132"/>
      <c r="N799" s="132"/>
      <c r="O799" s="132"/>
      <c r="P799" s="132"/>
      <c r="Q799" s="132"/>
      <c r="R799" s="132"/>
    </row>
    <row r="800" spans="1:18">
      <c r="A800" s="132"/>
      <c r="B800" s="132"/>
      <c r="C800" s="132"/>
      <c r="D800" s="132"/>
      <c r="E800" s="132"/>
      <c r="F800" s="132"/>
      <c r="G800" s="132"/>
      <c r="H800" s="132"/>
      <c r="I800" s="132"/>
      <c r="J800" s="132"/>
      <c r="K800" s="132"/>
      <c r="L800" s="132"/>
      <c r="M800" s="132"/>
      <c r="N800" s="132"/>
      <c r="O800" s="132"/>
      <c r="P800" s="132"/>
      <c r="Q800" s="132"/>
      <c r="R800" s="132"/>
    </row>
    <row r="801" spans="1:18">
      <c r="A801" s="132"/>
      <c r="B801" s="132"/>
      <c r="C801" s="132"/>
      <c r="D801" s="132"/>
      <c r="E801" s="132"/>
      <c r="F801" s="132"/>
      <c r="G801" s="132"/>
      <c r="H801" s="132"/>
      <c r="I801" s="132"/>
      <c r="J801" s="132"/>
      <c r="K801" s="132"/>
      <c r="L801" s="132"/>
      <c r="M801" s="132"/>
      <c r="N801" s="132"/>
      <c r="O801" s="132"/>
      <c r="P801" s="132"/>
      <c r="Q801" s="132"/>
      <c r="R801" s="132"/>
    </row>
    <row r="802" spans="1:18">
      <c r="A802" s="132"/>
      <c r="B802" s="132"/>
      <c r="C802" s="132"/>
      <c r="D802" s="132"/>
      <c r="E802" s="132"/>
      <c r="F802" s="132"/>
      <c r="G802" s="132"/>
      <c r="H802" s="132"/>
      <c r="I802" s="132"/>
      <c r="J802" s="132"/>
      <c r="K802" s="132"/>
      <c r="L802" s="132"/>
      <c r="M802" s="132"/>
      <c r="N802" s="132"/>
      <c r="O802" s="132"/>
      <c r="P802" s="132"/>
      <c r="Q802" s="132"/>
      <c r="R802" s="132"/>
    </row>
    <row r="803" spans="1:18">
      <c r="A803" s="132"/>
      <c r="B803" s="132"/>
      <c r="C803" s="132"/>
      <c r="D803" s="132"/>
      <c r="E803" s="132"/>
      <c r="F803" s="132"/>
      <c r="G803" s="132"/>
      <c r="H803" s="132"/>
      <c r="I803" s="132"/>
      <c r="J803" s="132"/>
      <c r="K803" s="132"/>
      <c r="L803" s="132"/>
      <c r="M803" s="132"/>
      <c r="N803" s="132"/>
      <c r="O803" s="132"/>
      <c r="P803" s="132"/>
      <c r="Q803" s="132"/>
      <c r="R803" s="132"/>
    </row>
    <row r="804" spans="1:18">
      <c r="A804" s="132"/>
      <c r="B804" s="132"/>
      <c r="C804" s="132"/>
      <c r="D804" s="132"/>
      <c r="E804" s="132"/>
      <c r="F804" s="132"/>
      <c r="G804" s="132"/>
      <c r="H804" s="132"/>
      <c r="I804" s="132"/>
      <c r="J804" s="132"/>
      <c r="K804" s="132"/>
      <c r="L804" s="132"/>
      <c r="M804" s="132"/>
      <c r="N804" s="132"/>
      <c r="O804" s="132"/>
      <c r="P804" s="132"/>
      <c r="Q804" s="132"/>
      <c r="R804" s="132"/>
    </row>
    <row r="805" spans="1:18">
      <c r="A805" s="132"/>
      <c r="B805" s="132"/>
      <c r="C805" s="132"/>
      <c r="D805" s="132"/>
      <c r="E805" s="132"/>
      <c r="F805" s="132"/>
      <c r="G805" s="132"/>
      <c r="H805" s="132"/>
      <c r="I805" s="132"/>
      <c r="J805" s="132"/>
      <c r="K805" s="132"/>
      <c r="L805" s="132"/>
      <c r="M805" s="132"/>
      <c r="N805" s="132"/>
      <c r="O805" s="132"/>
      <c r="P805" s="132"/>
      <c r="Q805" s="132"/>
      <c r="R805" s="132"/>
    </row>
    <row r="806" spans="1:18">
      <c r="A806" s="132"/>
      <c r="B806" s="132"/>
      <c r="C806" s="132"/>
      <c r="D806" s="132"/>
      <c r="E806" s="132"/>
      <c r="F806" s="132"/>
      <c r="G806" s="132"/>
      <c r="H806" s="132"/>
      <c r="I806" s="132"/>
      <c r="J806" s="132"/>
      <c r="K806" s="132"/>
      <c r="L806" s="132"/>
      <c r="M806" s="132"/>
      <c r="N806" s="132"/>
      <c r="O806" s="132"/>
      <c r="P806" s="132"/>
      <c r="Q806" s="132"/>
      <c r="R806" s="132"/>
    </row>
    <row r="807" spans="1:18">
      <c r="A807" s="132"/>
      <c r="B807" s="132"/>
      <c r="C807" s="132"/>
      <c r="D807" s="132"/>
      <c r="E807" s="132"/>
      <c r="F807" s="132"/>
      <c r="G807" s="132"/>
      <c r="H807" s="132"/>
      <c r="I807" s="132"/>
      <c r="J807" s="132"/>
      <c r="K807" s="132"/>
      <c r="L807" s="132"/>
      <c r="M807" s="132"/>
      <c r="N807" s="132"/>
      <c r="O807" s="132"/>
      <c r="P807" s="132"/>
      <c r="Q807" s="132"/>
      <c r="R807" s="132"/>
    </row>
    <row r="808" spans="1:18">
      <c r="A808" s="132"/>
      <c r="B808" s="132"/>
      <c r="C808" s="132"/>
      <c r="D808" s="132"/>
      <c r="E808" s="132"/>
      <c r="F808" s="132"/>
      <c r="G808" s="132"/>
      <c r="H808" s="132"/>
      <c r="I808" s="132"/>
      <c r="J808" s="132"/>
      <c r="K808" s="132"/>
      <c r="L808" s="132"/>
      <c r="M808" s="132"/>
      <c r="N808" s="132"/>
      <c r="O808" s="132"/>
      <c r="P808" s="132"/>
      <c r="Q808" s="132"/>
      <c r="R808" s="132"/>
    </row>
    <row r="809" spans="1:18">
      <c r="A809" s="132"/>
      <c r="B809" s="132"/>
      <c r="C809" s="132"/>
      <c r="D809" s="132"/>
      <c r="E809" s="132"/>
      <c r="F809" s="132"/>
      <c r="G809" s="132"/>
      <c r="H809" s="132"/>
      <c r="I809" s="132"/>
      <c r="J809" s="132"/>
      <c r="K809" s="132"/>
      <c r="L809" s="132"/>
      <c r="M809" s="132"/>
      <c r="N809" s="132"/>
      <c r="O809" s="132"/>
      <c r="P809" s="132"/>
      <c r="Q809" s="132"/>
      <c r="R809" s="132"/>
    </row>
    <row r="810" spans="1:18">
      <c r="A810" s="132"/>
      <c r="B810" s="132"/>
      <c r="C810" s="132"/>
      <c r="D810" s="132"/>
      <c r="E810" s="132"/>
      <c r="F810" s="132"/>
      <c r="G810" s="132"/>
      <c r="H810" s="132"/>
      <c r="I810" s="132"/>
      <c r="J810" s="132"/>
      <c r="K810" s="132"/>
      <c r="L810" s="132"/>
      <c r="M810" s="132"/>
      <c r="N810" s="132"/>
      <c r="O810" s="132"/>
      <c r="P810" s="132"/>
      <c r="Q810" s="132"/>
      <c r="R810" s="132"/>
    </row>
    <row r="811" spans="1:18">
      <c r="A811" s="132"/>
      <c r="B811" s="132"/>
      <c r="C811" s="132"/>
      <c r="D811" s="132"/>
      <c r="E811" s="132"/>
      <c r="F811" s="132"/>
      <c r="G811" s="132"/>
      <c r="H811" s="132"/>
      <c r="I811" s="132"/>
      <c r="J811" s="132"/>
      <c r="K811" s="132"/>
      <c r="L811" s="132"/>
      <c r="M811" s="132"/>
      <c r="N811" s="132"/>
      <c r="O811" s="132"/>
      <c r="P811" s="132"/>
      <c r="Q811" s="132"/>
      <c r="R811" s="132"/>
    </row>
    <row r="812" spans="1:18">
      <c r="A812" s="132"/>
      <c r="B812" s="132"/>
      <c r="C812" s="132"/>
      <c r="D812" s="132"/>
      <c r="E812" s="132"/>
      <c r="F812" s="132"/>
      <c r="G812" s="132"/>
      <c r="H812" s="132"/>
      <c r="I812" s="132"/>
      <c r="J812" s="132"/>
      <c r="K812" s="132"/>
      <c r="L812" s="132"/>
      <c r="M812" s="132"/>
      <c r="N812" s="132"/>
      <c r="O812" s="132"/>
      <c r="P812" s="132"/>
      <c r="Q812" s="132"/>
      <c r="R812" s="132"/>
    </row>
    <row r="813" spans="1:18">
      <c r="A813" s="132"/>
      <c r="B813" s="132"/>
      <c r="C813" s="132"/>
      <c r="D813" s="132"/>
      <c r="E813" s="132"/>
      <c r="F813" s="132"/>
      <c r="G813" s="132"/>
      <c r="H813" s="132"/>
      <c r="I813" s="132"/>
      <c r="J813" s="132"/>
      <c r="K813" s="132"/>
      <c r="L813" s="132"/>
      <c r="M813" s="132"/>
      <c r="N813" s="132"/>
      <c r="O813" s="132"/>
      <c r="P813" s="132"/>
      <c r="Q813" s="132"/>
      <c r="R813" s="132"/>
    </row>
    <row r="814" spans="1:18">
      <c r="A814" s="132"/>
      <c r="B814" s="132"/>
      <c r="C814" s="132"/>
      <c r="D814" s="132"/>
      <c r="E814" s="132"/>
      <c r="F814" s="132"/>
      <c r="G814" s="132"/>
      <c r="H814" s="132"/>
      <c r="I814" s="132"/>
      <c r="J814" s="132"/>
      <c r="K814" s="132"/>
      <c r="L814" s="132"/>
      <c r="M814" s="132"/>
      <c r="N814" s="132"/>
      <c r="O814" s="132"/>
      <c r="P814" s="132"/>
      <c r="Q814" s="132"/>
      <c r="R814" s="132"/>
    </row>
    <row r="815" spans="1:18">
      <c r="A815" s="132"/>
      <c r="B815" s="132"/>
      <c r="C815" s="132"/>
      <c r="D815" s="132"/>
      <c r="E815" s="132"/>
      <c r="F815" s="132"/>
      <c r="G815" s="132"/>
      <c r="H815" s="132"/>
      <c r="I815" s="132"/>
      <c r="J815" s="132"/>
      <c r="K815" s="132"/>
      <c r="L815" s="132"/>
      <c r="M815" s="132"/>
      <c r="N815" s="132"/>
      <c r="O815" s="132"/>
      <c r="P815" s="132"/>
      <c r="Q815" s="132"/>
      <c r="R815" s="132"/>
    </row>
    <row r="816" spans="1:18">
      <c r="A816" s="132"/>
      <c r="B816" s="132"/>
      <c r="C816" s="132"/>
      <c r="D816" s="132"/>
      <c r="E816" s="132"/>
      <c r="F816" s="132"/>
      <c r="G816" s="132"/>
      <c r="H816" s="132"/>
      <c r="I816" s="132"/>
      <c r="J816" s="132"/>
      <c r="K816" s="132"/>
      <c r="L816" s="132"/>
      <c r="M816" s="132"/>
      <c r="N816" s="132"/>
      <c r="O816" s="132"/>
      <c r="P816" s="132"/>
      <c r="Q816" s="132"/>
      <c r="R816" s="132"/>
    </row>
    <row r="817" spans="1:18">
      <c r="A817" s="132"/>
      <c r="B817" s="132"/>
      <c r="C817" s="132"/>
      <c r="D817" s="132"/>
      <c r="E817" s="132"/>
      <c r="F817" s="132"/>
      <c r="G817" s="132"/>
      <c r="H817" s="132"/>
      <c r="I817" s="132"/>
      <c r="J817" s="132"/>
      <c r="K817" s="132"/>
      <c r="L817" s="132"/>
      <c r="M817" s="132"/>
      <c r="N817" s="132"/>
      <c r="O817" s="132"/>
      <c r="P817" s="132"/>
      <c r="Q817" s="132"/>
      <c r="R817" s="132"/>
    </row>
    <row r="818" spans="1:18">
      <c r="A818" s="132"/>
      <c r="B818" s="132"/>
      <c r="C818" s="132"/>
      <c r="D818" s="132"/>
      <c r="E818" s="132"/>
      <c r="F818" s="132"/>
      <c r="G818" s="132"/>
      <c r="H818" s="132"/>
      <c r="I818" s="132"/>
      <c r="J818" s="132"/>
      <c r="K818" s="132"/>
      <c r="L818" s="132"/>
      <c r="M818" s="132"/>
      <c r="N818" s="132"/>
      <c r="O818" s="132"/>
      <c r="P818" s="132"/>
      <c r="Q818" s="132"/>
      <c r="R818" s="132"/>
    </row>
    <row r="819" spans="1:18">
      <c r="A819" s="132"/>
      <c r="B819" s="132"/>
      <c r="C819" s="132"/>
      <c r="D819" s="132"/>
      <c r="E819" s="132"/>
      <c r="F819" s="132"/>
      <c r="G819" s="132"/>
      <c r="H819" s="132"/>
      <c r="I819" s="132"/>
      <c r="J819" s="132"/>
      <c r="K819" s="132"/>
      <c r="L819" s="132"/>
      <c r="M819" s="132"/>
      <c r="N819" s="132"/>
      <c r="O819" s="132"/>
      <c r="P819" s="132"/>
      <c r="Q819" s="132"/>
      <c r="R819" s="132"/>
    </row>
    <row r="820" spans="1:18">
      <c r="A820" s="132"/>
      <c r="B820" s="132"/>
      <c r="C820" s="132"/>
      <c r="D820" s="132"/>
      <c r="E820" s="132"/>
      <c r="F820" s="132"/>
      <c r="G820" s="132"/>
      <c r="H820" s="132"/>
      <c r="I820" s="132"/>
      <c r="J820" s="132"/>
      <c r="K820" s="132"/>
      <c r="L820" s="132"/>
      <c r="M820" s="132"/>
      <c r="N820" s="132"/>
      <c r="O820" s="132"/>
      <c r="P820" s="132"/>
      <c r="Q820" s="132"/>
      <c r="R820" s="132"/>
    </row>
    <row r="821" spans="1:18">
      <c r="A821" s="132"/>
      <c r="B821" s="132"/>
      <c r="C821" s="132"/>
      <c r="D821" s="132"/>
      <c r="E821" s="132"/>
      <c r="F821" s="132"/>
      <c r="G821" s="132"/>
      <c r="H821" s="132"/>
      <c r="I821" s="132"/>
      <c r="J821" s="132"/>
      <c r="K821" s="132"/>
      <c r="L821" s="132"/>
      <c r="M821" s="132"/>
      <c r="N821" s="132"/>
      <c r="O821" s="132"/>
      <c r="P821" s="132"/>
      <c r="Q821" s="132"/>
      <c r="R821" s="132"/>
    </row>
    <row r="822" spans="1:18">
      <c r="A822" s="132"/>
      <c r="B822" s="132"/>
      <c r="C822" s="132"/>
      <c r="D822" s="132"/>
      <c r="E822" s="132"/>
      <c r="F822" s="132"/>
      <c r="G822" s="132"/>
      <c r="H822" s="132"/>
      <c r="I822" s="132"/>
      <c r="J822" s="132"/>
      <c r="K822" s="132"/>
      <c r="L822" s="132"/>
      <c r="M822" s="132"/>
      <c r="N822" s="132"/>
      <c r="O822" s="132"/>
      <c r="P822" s="132"/>
      <c r="Q822" s="132"/>
      <c r="R822" s="132"/>
    </row>
    <row r="823" spans="1:18">
      <c r="A823" s="132"/>
      <c r="B823" s="132"/>
      <c r="C823" s="132"/>
      <c r="D823" s="132"/>
      <c r="E823" s="132"/>
      <c r="F823" s="132"/>
      <c r="G823" s="132"/>
      <c r="H823" s="132"/>
      <c r="I823" s="132"/>
      <c r="J823" s="132"/>
      <c r="K823" s="132"/>
      <c r="L823" s="132"/>
      <c r="M823" s="132"/>
      <c r="N823" s="132"/>
      <c r="O823" s="132"/>
      <c r="P823" s="132"/>
      <c r="Q823" s="132"/>
      <c r="R823" s="132"/>
    </row>
    <row r="824" spans="1:18">
      <c r="A824" s="132"/>
      <c r="B824" s="132"/>
      <c r="C824" s="132"/>
      <c r="D824" s="132"/>
      <c r="E824" s="132"/>
      <c r="F824" s="132"/>
      <c r="G824" s="132"/>
      <c r="H824" s="132"/>
      <c r="I824" s="132"/>
      <c r="J824" s="132"/>
      <c r="K824" s="132"/>
      <c r="L824" s="132"/>
      <c r="M824" s="132"/>
      <c r="N824" s="132"/>
      <c r="O824" s="132"/>
      <c r="P824" s="132"/>
      <c r="Q824" s="132"/>
      <c r="R824" s="132"/>
    </row>
    <row r="825" spans="1:18">
      <c r="A825" s="132"/>
      <c r="B825" s="132"/>
      <c r="C825" s="132"/>
      <c r="D825" s="132"/>
      <c r="E825" s="132"/>
      <c r="F825" s="132"/>
      <c r="G825" s="132"/>
      <c r="H825" s="132"/>
      <c r="I825" s="132"/>
      <c r="J825" s="132"/>
      <c r="K825" s="132"/>
      <c r="L825" s="132"/>
      <c r="M825" s="132"/>
      <c r="N825" s="132"/>
      <c r="O825" s="132"/>
      <c r="P825" s="132"/>
      <c r="Q825" s="132"/>
      <c r="R825" s="132"/>
    </row>
    <row r="826" spans="1:18">
      <c r="A826" s="132"/>
      <c r="B826" s="132"/>
      <c r="C826" s="132"/>
      <c r="D826" s="132"/>
      <c r="E826" s="132"/>
      <c r="F826" s="132"/>
      <c r="G826" s="132"/>
      <c r="H826" s="132"/>
      <c r="I826" s="132"/>
      <c r="J826" s="132"/>
      <c r="K826" s="132"/>
      <c r="L826" s="132"/>
      <c r="M826" s="132"/>
      <c r="N826" s="132"/>
      <c r="O826" s="132"/>
      <c r="P826" s="132"/>
      <c r="Q826" s="132"/>
      <c r="R826" s="132"/>
    </row>
    <row r="827" spans="1:18">
      <c r="A827" s="132"/>
      <c r="B827" s="132"/>
      <c r="C827" s="132"/>
      <c r="D827" s="132"/>
      <c r="E827" s="132"/>
      <c r="F827" s="132"/>
      <c r="G827" s="132"/>
      <c r="H827" s="132"/>
      <c r="I827" s="132"/>
      <c r="J827" s="132"/>
      <c r="K827" s="132"/>
      <c r="L827" s="132"/>
      <c r="M827" s="132"/>
      <c r="N827" s="132"/>
      <c r="O827" s="132"/>
      <c r="P827" s="132"/>
      <c r="Q827" s="132"/>
      <c r="R827" s="132"/>
    </row>
    <row r="828" spans="1:18">
      <c r="A828" s="132"/>
      <c r="B828" s="132"/>
      <c r="C828" s="132"/>
      <c r="D828" s="132"/>
      <c r="E828" s="132"/>
      <c r="F828" s="132"/>
      <c r="G828" s="132"/>
      <c r="H828" s="132"/>
      <c r="I828" s="132"/>
      <c r="J828" s="132"/>
      <c r="K828" s="132"/>
      <c r="L828" s="132"/>
      <c r="M828" s="132"/>
      <c r="N828" s="132"/>
      <c r="O828" s="132"/>
      <c r="P828" s="132"/>
      <c r="Q828" s="132"/>
      <c r="R828" s="132"/>
    </row>
    <row r="829" spans="1:18">
      <c r="A829" s="132"/>
      <c r="B829" s="132"/>
      <c r="C829" s="132"/>
      <c r="D829" s="132"/>
      <c r="E829" s="132"/>
      <c r="F829" s="132"/>
      <c r="G829" s="132"/>
      <c r="H829" s="132"/>
      <c r="I829" s="132"/>
      <c r="J829" s="132"/>
      <c r="K829" s="132"/>
      <c r="L829" s="132"/>
      <c r="M829" s="132"/>
      <c r="N829" s="132"/>
      <c r="O829" s="132"/>
      <c r="P829" s="132"/>
      <c r="Q829" s="132"/>
      <c r="R829" s="132"/>
    </row>
    <row r="830" spans="1:18">
      <c r="A830" s="132"/>
      <c r="B830" s="132"/>
      <c r="C830" s="132"/>
      <c r="D830" s="132"/>
      <c r="E830" s="132"/>
      <c r="F830" s="132"/>
      <c r="G830" s="132"/>
      <c r="H830" s="132"/>
      <c r="I830" s="132"/>
      <c r="J830" s="132"/>
      <c r="K830" s="132"/>
      <c r="L830" s="132"/>
      <c r="M830" s="132"/>
      <c r="N830" s="132"/>
      <c r="O830" s="132"/>
      <c r="P830" s="132"/>
      <c r="Q830" s="132"/>
      <c r="R830" s="132"/>
    </row>
    <row r="831" spans="1:18">
      <c r="A831" s="132"/>
      <c r="B831" s="132"/>
      <c r="C831" s="132"/>
      <c r="D831" s="132"/>
      <c r="E831" s="132"/>
      <c r="F831" s="132"/>
      <c r="G831" s="132"/>
      <c r="H831" s="132"/>
      <c r="I831" s="132"/>
      <c r="J831" s="132"/>
      <c r="K831" s="132"/>
      <c r="L831" s="132"/>
      <c r="M831" s="132"/>
      <c r="N831" s="132"/>
      <c r="O831" s="132"/>
      <c r="P831" s="132"/>
      <c r="Q831" s="132"/>
      <c r="R831" s="132"/>
    </row>
    <row r="832" spans="1:18">
      <c r="A832" s="132"/>
      <c r="B832" s="132"/>
      <c r="C832" s="132"/>
      <c r="D832" s="132"/>
      <c r="E832" s="132"/>
      <c r="F832" s="132"/>
      <c r="G832" s="132"/>
      <c r="H832" s="132"/>
      <c r="I832" s="132"/>
      <c r="J832" s="132"/>
      <c r="K832" s="132"/>
      <c r="L832" s="132"/>
      <c r="M832" s="132"/>
      <c r="N832" s="132"/>
      <c r="O832" s="132"/>
      <c r="P832" s="132"/>
      <c r="Q832" s="132"/>
      <c r="R832" s="132"/>
    </row>
    <row r="833" spans="1:18">
      <c r="A833" s="132"/>
      <c r="B833" s="132"/>
      <c r="C833" s="132"/>
      <c r="D833" s="132"/>
      <c r="E833" s="132"/>
      <c r="F833" s="132"/>
      <c r="G833" s="132"/>
      <c r="H833" s="132"/>
      <c r="I833" s="132"/>
      <c r="J833" s="132"/>
      <c r="K833" s="132"/>
      <c r="L833" s="132"/>
      <c r="M833" s="132"/>
      <c r="N833" s="132"/>
      <c r="O833" s="132"/>
      <c r="P833" s="132"/>
      <c r="Q833" s="132"/>
      <c r="R833" s="132"/>
    </row>
    <row r="834" spans="1:18">
      <c r="A834" s="132"/>
      <c r="B834" s="132"/>
      <c r="C834" s="132"/>
      <c r="D834" s="132"/>
      <c r="E834" s="132"/>
      <c r="F834" s="132"/>
      <c r="G834" s="132"/>
      <c r="H834" s="132"/>
      <c r="I834" s="132"/>
      <c r="J834" s="132"/>
      <c r="K834" s="132"/>
      <c r="L834" s="132"/>
      <c r="M834" s="132"/>
      <c r="N834" s="132"/>
      <c r="O834" s="132"/>
      <c r="P834" s="132"/>
      <c r="Q834" s="132"/>
      <c r="R834" s="132"/>
    </row>
    <row r="835" spans="1:18">
      <c r="A835" s="132"/>
      <c r="B835" s="132"/>
      <c r="C835" s="132"/>
      <c r="D835" s="132"/>
      <c r="E835" s="132"/>
      <c r="F835" s="132"/>
      <c r="G835" s="132"/>
      <c r="H835" s="132"/>
      <c r="I835" s="132"/>
      <c r="J835" s="132"/>
      <c r="K835" s="132"/>
      <c r="L835" s="132"/>
      <c r="M835" s="132"/>
      <c r="N835" s="132"/>
      <c r="O835" s="132"/>
      <c r="P835" s="132"/>
      <c r="Q835" s="132"/>
      <c r="R835" s="132"/>
    </row>
    <row r="836" spans="1:18">
      <c r="A836" s="132"/>
      <c r="B836" s="132"/>
      <c r="C836" s="132"/>
      <c r="D836" s="132"/>
      <c r="E836" s="132"/>
      <c r="F836" s="132"/>
      <c r="G836" s="132"/>
      <c r="H836" s="132"/>
      <c r="I836" s="132"/>
      <c r="J836" s="132"/>
      <c r="K836" s="132"/>
      <c r="L836" s="132"/>
      <c r="M836" s="132"/>
      <c r="N836" s="132"/>
      <c r="O836" s="132"/>
      <c r="P836" s="132"/>
      <c r="Q836" s="132"/>
      <c r="R836" s="132"/>
    </row>
    <row r="837" spans="1:18">
      <c r="A837" s="132"/>
      <c r="B837" s="132"/>
      <c r="C837" s="132"/>
      <c r="D837" s="132"/>
      <c r="E837" s="132"/>
      <c r="F837" s="132"/>
      <c r="G837" s="132"/>
      <c r="H837" s="132"/>
      <c r="I837" s="132"/>
      <c r="J837" s="132"/>
      <c r="K837" s="132"/>
      <c r="L837" s="132"/>
      <c r="M837" s="132"/>
      <c r="N837" s="132"/>
      <c r="O837" s="132"/>
      <c r="P837" s="132"/>
      <c r="Q837" s="132"/>
      <c r="R837" s="132"/>
    </row>
    <row r="838" spans="1:18">
      <c r="A838" s="132"/>
      <c r="B838" s="132"/>
      <c r="C838" s="132"/>
      <c r="D838" s="132"/>
      <c r="E838" s="132"/>
      <c r="F838" s="132"/>
      <c r="G838" s="132"/>
      <c r="H838" s="132"/>
      <c r="I838" s="132"/>
      <c r="J838" s="132"/>
      <c r="K838" s="132"/>
      <c r="L838" s="132"/>
      <c r="M838" s="132"/>
      <c r="N838" s="132"/>
      <c r="O838" s="132"/>
      <c r="P838" s="132"/>
      <c r="Q838" s="132"/>
      <c r="R838" s="132"/>
    </row>
    <row r="839" spans="1:18">
      <c r="A839" s="132"/>
      <c r="B839" s="132"/>
      <c r="C839" s="132"/>
      <c r="D839" s="132"/>
      <c r="E839" s="132"/>
      <c r="F839" s="132"/>
      <c r="G839" s="132"/>
      <c r="H839" s="132"/>
      <c r="I839" s="132"/>
      <c r="J839" s="132"/>
      <c r="K839" s="132"/>
      <c r="L839" s="132"/>
      <c r="M839" s="132"/>
      <c r="N839" s="132"/>
      <c r="O839" s="132"/>
      <c r="P839" s="132"/>
      <c r="Q839" s="132"/>
      <c r="R839" s="132"/>
    </row>
    <row r="840" spans="1:18">
      <c r="A840" s="132"/>
      <c r="B840" s="132"/>
      <c r="C840" s="132"/>
      <c r="D840" s="132"/>
      <c r="E840" s="132"/>
      <c r="F840" s="132"/>
      <c r="G840" s="132"/>
      <c r="H840" s="132"/>
      <c r="I840" s="132"/>
      <c r="J840" s="132"/>
      <c r="K840" s="132"/>
      <c r="L840" s="132"/>
      <c r="M840" s="132"/>
      <c r="N840" s="132"/>
      <c r="O840" s="132"/>
      <c r="P840" s="132"/>
      <c r="Q840" s="132"/>
      <c r="R840" s="132"/>
    </row>
    <row r="841" spans="1:18">
      <c r="A841" s="132"/>
      <c r="B841" s="132"/>
      <c r="C841" s="132"/>
      <c r="D841" s="132"/>
      <c r="E841" s="132"/>
      <c r="F841" s="132"/>
      <c r="G841" s="132"/>
      <c r="H841" s="132"/>
      <c r="I841" s="132"/>
      <c r="J841" s="132"/>
      <c r="K841" s="132"/>
      <c r="L841" s="132"/>
      <c r="M841" s="132"/>
      <c r="N841" s="132"/>
      <c r="O841" s="132"/>
      <c r="P841" s="132"/>
      <c r="Q841" s="132"/>
      <c r="R841" s="132"/>
    </row>
    <row r="842" spans="1:18">
      <c r="A842" s="132"/>
      <c r="B842" s="132"/>
      <c r="C842" s="132"/>
      <c r="D842" s="132"/>
      <c r="E842" s="132"/>
      <c r="F842" s="132"/>
      <c r="G842" s="132"/>
      <c r="H842" s="132"/>
      <c r="I842" s="132"/>
      <c r="J842" s="132"/>
      <c r="K842" s="132"/>
      <c r="L842" s="132"/>
      <c r="M842" s="132"/>
      <c r="N842" s="132"/>
      <c r="O842" s="132"/>
      <c r="P842" s="132"/>
      <c r="Q842" s="132"/>
      <c r="R842" s="132"/>
    </row>
    <row r="843" spans="1:18">
      <c r="A843" s="132"/>
      <c r="B843" s="132"/>
      <c r="C843" s="132"/>
      <c r="D843" s="132"/>
      <c r="E843" s="132"/>
      <c r="F843" s="132"/>
      <c r="G843" s="132"/>
      <c r="H843" s="132"/>
      <c r="I843" s="132"/>
      <c r="J843" s="132"/>
      <c r="K843" s="132"/>
      <c r="L843" s="132"/>
      <c r="M843" s="132"/>
      <c r="N843" s="132"/>
      <c r="O843" s="132"/>
      <c r="P843" s="132"/>
      <c r="Q843" s="132"/>
      <c r="R843" s="132"/>
    </row>
    <row r="844" spans="1:18">
      <c r="A844" s="132"/>
      <c r="B844" s="132"/>
      <c r="C844" s="132"/>
      <c r="D844" s="132"/>
      <c r="E844" s="132"/>
      <c r="F844" s="132"/>
      <c r="G844" s="132"/>
      <c r="H844" s="132"/>
      <c r="I844" s="132"/>
      <c r="J844" s="132"/>
      <c r="K844" s="132"/>
      <c r="L844" s="132"/>
      <c r="M844" s="132"/>
      <c r="N844" s="132"/>
      <c r="O844" s="132"/>
      <c r="P844" s="132"/>
      <c r="Q844" s="132"/>
      <c r="R844" s="132"/>
    </row>
    <row r="845" spans="1:18">
      <c r="A845" s="132"/>
      <c r="B845" s="132"/>
      <c r="C845" s="132"/>
      <c r="D845" s="132"/>
      <c r="E845" s="132"/>
      <c r="F845" s="132"/>
      <c r="G845" s="132"/>
      <c r="H845" s="132"/>
      <c r="I845" s="132"/>
      <c r="J845" s="132"/>
      <c r="K845" s="132"/>
      <c r="L845" s="132"/>
      <c r="M845" s="132"/>
      <c r="N845" s="132"/>
      <c r="O845" s="132"/>
      <c r="P845" s="132"/>
      <c r="Q845" s="132"/>
      <c r="R845" s="132"/>
    </row>
    <row r="846" spans="1:18">
      <c r="A846" s="132"/>
      <c r="B846" s="132"/>
      <c r="C846" s="132"/>
      <c r="D846" s="132"/>
      <c r="E846" s="132"/>
      <c r="F846" s="132"/>
      <c r="G846" s="132"/>
      <c r="H846" s="132"/>
      <c r="I846" s="132"/>
      <c r="J846" s="132"/>
      <c r="K846" s="132"/>
      <c r="L846" s="132"/>
      <c r="M846" s="132"/>
      <c r="N846" s="132"/>
      <c r="O846" s="132"/>
      <c r="P846" s="132"/>
      <c r="Q846" s="132"/>
      <c r="R846" s="132"/>
    </row>
    <row r="847" spans="1:18">
      <c r="A847" s="132"/>
      <c r="B847" s="132"/>
      <c r="C847" s="132"/>
      <c r="D847" s="132"/>
      <c r="E847" s="132"/>
      <c r="F847" s="132"/>
      <c r="G847" s="132"/>
      <c r="H847" s="132"/>
      <c r="I847" s="132"/>
      <c r="J847" s="132"/>
      <c r="K847" s="132"/>
      <c r="L847" s="132"/>
      <c r="M847" s="132"/>
      <c r="N847" s="132"/>
      <c r="O847" s="132"/>
      <c r="P847" s="132"/>
      <c r="Q847" s="132"/>
      <c r="R847" s="132"/>
    </row>
    <row r="848" spans="1:18">
      <c r="A848" s="132"/>
      <c r="B848" s="132"/>
      <c r="C848" s="132"/>
      <c r="D848" s="132"/>
      <c r="E848" s="132"/>
      <c r="F848" s="132"/>
      <c r="G848" s="132"/>
      <c r="H848" s="132"/>
      <c r="I848" s="132"/>
      <c r="J848" s="132"/>
      <c r="K848" s="132"/>
      <c r="L848" s="132"/>
      <c r="M848" s="132"/>
      <c r="N848" s="132"/>
      <c r="O848" s="132"/>
      <c r="P848" s="132"/>
      <c r="Q848" s="132"/>
      <c r="R848" s="132"/>
    </row>
    <row r="849" spans="1:18">
      <c r="A849" s="132"/>
      <c r="B849" s="132"/>
      <c r="C849" s="132"/>
      <c r="D849" s="132"/>
      <c r="E849" s="132"/>
      <c r="F849" s="132"/>
      <c r="G849" s="132"/>
      <c r="H849" s="132"/>
      <c r="I849" s="132"/>
      <c r="J849" s="132"/>
      <c r="K849" s="132"/>
      <c r="L849" s="132"/>
      <c r="M849" s="132"/>
      <c r="N849" s="132"/>
      <c r="O849" s="132"/>
      <c r="P849" s="132"/>
      <c r="Q849" s="132"/>
      <c r="R849" s="132"/>
    </row>
    <row r="850" spans="1:18">
      <c r="A850" s="132"/>
      <c r="B850" s="132"/>
      <c r="C850" s="132"/>
      <c r="D850" s="132"/>
      <c r="E850" s="132"/>
      <c r="F850" s="132"/>
      <c r="G850" s="132"/>
      <c r="H850" s="132"/>
      <c r="I850" s="132"/>
      <c r="J850" s="132"/>
      <c r="K850" s="132"/>
      <c r="L850" s="132"/>
      <c r="M850" s="132"/>
      <c r="N850" s="132"/>
      <c r="O850" s="132"/>
      <c r="P850" s="132"/>
      <c r="Q850" s="132"/>
      <c r="R850" s="132"/>
    </row>
    <row r="851" spans="1:18">
      <c r="A851" s="132"/>
      <c r="B851" s="132"/>
      <c r="C851" s="132"/>
      <c r="D851" s="132"/>
      <c r="E851" s="132"/>
      <c r="F851" s="132"/>
      <c r="G851" s="132"/>
      <c r="H851" s="132"/>
      <c r="I851" s="132"/>
      <c r="J851" s="132"/>
      <c r="K851" s="132"/>
      <c r="L851" s="132"/>
      <c r="M851" s="132"/>
      <c r="N851" s="132"/>
      <c r="O851" s="132"/>
      <c r="P851" s="132"/>
      <c r="Q851" s="132"/>
      <c r="R851" s="132"/>
    </row>
    <row r="852" spans="1:18">
      <c r="A852" s="132"/>
      <c r="B852" s="132"/>
      <c r="C852" s="132"/>
      <c r="D852" s="132"/>
      <c r="E852" s="132"/>
      <c r="F852" s="132"/>
      <c r="G852" s="132"/>
      <c r="H852" s="132"/>
      <c r="I852" s="132"/>
      <c r="J852" s="132"/>
      <c r="K852" s="132"/>
      <c r="L852" s="132"/>
      <c r="M852" s="132"/>
      <c r="N852" s="132"/>
      <c r="O852" s="132"/>
      <c r="P852" s="132"/>
      <c r="Q852" s="132"/>
      <c r="R852" s="132"/>
    </row>
    <row r="853" spans="1:18">
      <c r="A853" s="132"/>
      <c r="B853" s="132"/>
      <c r="C853" s="132"/>
      <c r="D853" s="132"/>
      <c r="E853" s="132"/>
      <c r="F853" s="132"/>
      <c r="G853" s="132"/>
      <c r="H853" s="132"/>
      <c r="I853" s="132"/>
      <c r="J853" s="132"/>
      <c r="K853" s="132"/>
      <c r="L853" s="132"/>
      <c r="M853" s="132"/>
      <c r="N853" s="132"/>
      <c r="O853" s="132"/>
      <c r="P853" s="132"/>
      <c r="Q853" s="132"/>
      <c r="R853" s="132"/>
    </row>
    <row r="854" spans="1:18">
      <c r="A854" s="132"/>
      <c r="B854" s="132"/>
      <c r="C854" s="132"/>
      <c r="D854" s="132"/>
      <c r="E854" s="132"/>
      <c r="F854" s="132"/>
      <c r="G854" s="132"/>
      <c r="H854" s="132"/>
      <c r="I854" s="132"/>
      <c r="J854" s="132"/>
      <c r="K854" s="132"/>
      <c r="L854" s="132"/>
      <c r="M854" s="132"/>
      <c r="N854" s="132"/>
      <c r="O854" s="132"/>
      <c r="P854" s="132"/>
      <c r="Q854" s="132"/>
      <c r="R854" s="132"/>
    </row>
    <row r="855" spans="1:18">
      <c r="A855" s="132"/>
      <c r="B855" s="132"/>
      <c r="C855" s="132"/>
      <c r="D855" s="132"/>
      <c r="E855" s="132"/>
      <c r="F855" s="132"/>
      <c r="G855" s="132"/>
      <c r="H855" s="132"/>
      <c r="I855" s="132"/>
      <c r="J855" s="132"/>
      <c r="K855" s="132"/>
      <c r="L855" s="132"/>
      <c r="M855" s="132"/>
      <c r="N855" s="132"/>
      <c r="O855" s="132"/>
      <c r="P855" s="132"/>
      <c r="Q855" s="132"/>
      <c r="R855" s="132"/>
    </row>
    <row r="856" spans="1:18">
      <c r="A856" s="132"/>
      <c r="B856" s="132"/>
      <c r="C856" s="132"/>
      <c r="D856" s="132"/>
      <c r="E856" s="132"/>
      <c r="F856" s="132"/>
      <c r="G856" s="132"/>
      <c r="H856" s="132"/>
      <c r="I856" s="132"/>
      <c r="J856" s="132"/>
      <c r="K856" s="132"/>
      <c r="L856" s="132"/>
      <c r="M856" s="132"/>
      <c r="N856" s="132"/>
      <c r="O856" s="132"/>
      <c r="P856" s="132"/>
      <c r="Q856" s="132"/>
      <c r="R856" s="132"/>
    </row>
    <row r="857" spans="1:18">
      <c r="A857" s="132"/>
      <c r="B857" s="132"/>
      <c r="C857" s="132"/>
      <c r="D857" s="132"/>
      <c r="E857" s="132"/>
      <c r="F857" s="132"/>
      <c r="G857" s="132"/>
      <c r="H857" s="132"/>
      <c r="I857" s="132"/>
      <c r="J857" s="132"/>
      <c r="K857" s="132"/>
      <c r="L857" s="132"/>
      <c r="M857" s="132"/>
      <c r="N857" s="132"/>
      <c r="O857" s="132"/>
      <c r="P857" s="132"/>
      <c r="Q857" s="132"/>
      <c r="R857" s="132"/>
    </row>
    <row r="858" spans="1:18">
      <c r="A858" s="132"/>
      <c r="B858" s="132"/>
      <c r="C858" s="132"/>
      <c r="D858" s="132"/>
      <c r="E858" s="132"/>
      <c r="F858" s="132"/>
      <c r="G858" s="132"/>
      <c r="H858" s="132"/>
      <c r="I858" s="132"/>
      <c r="J858" s="132"/>
      <c r="K858" s="132"/>
      <c r="L858" s="132"/>
      <c r="M858" s="132"/>
      <c r="N858" s="132"/>
      <c r="O858" s="132"/>
      <c r="P858" s="132"/>
      <c r="Q858" s="132"/>
      <c r="R858" s="132"/>
    </row>
    <row r="859" spans="1:18">
      <c r="A859" s="132"/>
      <c r="B859" s="132"/>
      <c r="C859" s="132"/>
      <c r="D859" s="132"/>
      <c r="E859" s="132"/>
      <c r="F859" s="132"/>
      <c r="G859" s="132"/>
      <c r="H859" s="132"/>
      <c r="I859" s="132"/>
      <c r="J859" s="132"/>
      <c r="K859" s="132"/>
      <c r="L859" s="132"/>
      <c r="M859" s="132"/>
      <c r="N859" s="132"/>
      <c r="O859" s="132"/>
      <c r="P859" s="132"/>
      <c r="Q859" s="132"/>
      <c r="R859" s="132"/>
    </row>
    <row r="860" spans="1:18">
      <c r="A860" s="132"/>
      <c r="B860" s="132"/>
      <c r="C860" s="132"/>
      <c r="D860" s="132"/>
      <c r="E860" s="132"/>
      <c r="F860" s="132"/>
      <c r="G860" s="132"/>
      <c r="H860" s="132"/>
      <c r="I860" s="132"/>
      <c r="J860" s="132"/>
      <c r="K860" s="132"/>
      <c r="L860" s="132"/>
      <c r="M860" s="132"/>
      <c r="N860" s="132"/>
      <c r="O860" s="132"/>
      <c r="P860" s="132"/>
      <c r="Q860" s="132"/>
      <c r="R860" s="132"/>
    </row>
    <row r="861" spans="1:18">
      <c r="A861" s="132"/>
      <c r="B861" s="132"/>
      <c r="C861" s="132"/>
      <c r="D861" s="132"/>
      <c r="E861" s="132"/>
      <c r="F861" s="132"/>
      <c r="G861" s="132"/>
      <c r="H861" s="132"/>
      <c r="I861" s="132"/>
      <c r="J861" s="132"/>
      <c r="K861" s="132"/>
      <c r="L861" s="132"/>
      <c r="M861" s="132"/>
      <c r="N861" s="132"/>
      <c r="O861" s="132"/>
      <c r="P861" s="132"/>
      <c r="Q861" s="132"/>
      <c r="R861" s="132"/>
    </row>
    <row r="862" spans="1:18">
      <c r="A862" s="132"/>
      <c r="B862" s="132"/>
      <c r="C862" s="132"/>
      <c r="D862" s="132"/>
      <c r="E862" s="132"/>
      <c r="F862" s="132"/>
      <c r="G862" s="132"/>
      <c r="H862" s="132"/>
      <c r="I862" s="132"/>
      <c r="J862" s="132"/>
      <c r="K862" s="132"/>
      <c r="L862" s="132"/>
      <c r="M862" s="132"/>
      <c r="N862" s="132"/>
      <c r="O862" s="132"/>
      <c r="P862" s="132"/>
      <c r="Q862" s="132"/>
      <c r="R862" s="132"/>
    </row>
    <row r="863" spans="1:18">
      <c r="A863" s="132"/>
      <c r="B863" s="132"/>
      <c r="C863" s="132"/>
      <c r="D863" s="132"/>
      <c r="E863" s="132"/>
      <c r="F863" s="132"/>
      <c r="G863" s="132"/>
      <c r="H863" s="132"/>
      <c r="I863" s="132"/>
      <c r="J863" s="132"/>
      <c r="K863" s="132"/>
      <c r="L863" s="132"/>
      <c r="M863" s="132"/>
      <c r="N863" s="132"/>
      <c r="O863" s="132"/>
      <c r="P863" s="132"/>
      <c r="Q863" s="132"/>
      <c r="R863" s="132"/>
    </row>
    <row r="864" spans="1:18">
      <c r="A864" s="132"/>
      <c r="B864" s="132"/>
      <c r="C864" s="132"/>
      <c r="D864" s="132"/>
      <c r="E864" s="132"/>
      <c r="F864" s="132"/>
      <c r="G864" s="132"/>
      <c r="H864" s="132"/>
      <c r="I864" s="132"/>
      <c r="J864" s="132"/>
      <c r="K864" s="132"/>
      <c r="L864" s="132"/>
      <c r="M864" s="132"/>
      <c r="N864" s="132"/>
      <c r="O864" s="132"/>
      <c r="P864" s="132"/>
      <c r="Q864" s="132"/>
      <c r="R864" s="132"/>
    </row>
    <row r="865" spans="1:18">
      <c r="A865" s="132"/>
      <c r="B865" s="132"/>
      <c r="C865" s="132"/>
      <c r="D865" s="132"/>
      <c r="E865" s="132"/>
      <c r="F865" s="132"/>
      <c r="G865" s="132"/>
      <c r="H865" s="132"/>
      <c r="I865" s="132"/>
      <c r="J865" s="132"/>
      <c r="K865" s="132"/>
      <c r="L865" s="132"/>
      <c r="M865" s="132"/>
      <c r="N865" s="132"/>
      <c r="O865" s="132"/>
      <c r="P865" s="132"/>
      <c r="Q865" s="132"/>
      <c r="R865" s="132"/>
    </row>
    <row r="866" spans="1:18">
      <c r="A866" s="132"/>
      <c r="B866" s="132"/>
      <c r="C866" s="132"/>
      <c r="D866" s="132"/>
      <c r="E866" s="132"/>
      <c r="F866" s="132"/>
      <c r="G866" s="132"/>
      <c r="H866" s="132"/>
      <c r="I866" s="132"/>
      <c r="J866" s="132"/>
      <c r="K866" s="132"/>
      <c r="L866" s="132"/>
      <c r="M866" s="132"/>
      <c r="N866" s="132"/>
      <c r="O866" s="132"/>
      <c r="P866" s="132"/>
      <c r="Q866" s="132"/>
      <c r="R866" s="132"/>
    </row>
    <row r="867" spans="1:18">
      <c r="A867" s="132"/>
      <c r="B867" s="132"/>
      <c r="C867" s="132"/>
      <c r="D867" s="132"/>
      <c r="E867" s="132"/>
      <c r="F867" s="132"/>
      <c r="G867" s="132"/>
      <c r="H867" s="132"/>
      <c r="I867" s="132"/>
      <c r="J867" s="132"/>
      <c r="K867" s="132"/>
      <c r="L867" s="132"/>
      <c r="M867" s="132"/>
      <c r="N867" s="132"/>
      <c r="O867" s="132"/>
      <c r="P867" s="132"/>
      <c r="Q867" s="132"/>
      <c r="R867" s="132"/>
    </row>
    <row r="868" spans="1:18">
      <c r="A868" s="132"/>
      <c r="B868" s="132"/>
      <c r="C868" s="132"/>
      <c r="D868" s="132"/>
      <c r="E868" s="132"/>
      <c r="F868" s="132"/>
      <c r="G868" s="132"/>
      <c r="H868" s="132"/>
      <c r="I868" s="132"/>
      <c r="J868" s="132"/>
      <c r="K868" s="132"/>
      <c r="L868" s="132"/>
      <c r="M868" s="132"/>
      <c r="N868" s="132"/>
      <c r="O868" s="132"/>
      <c r="P868" s="132"/>
      <c r="Q868" s="132"/>
      <c r="R868" s="132"/>
    </row>
    <row r="869" spans="1:18">
      <c r="A869" s="132"/>
      <c r="B869" s="132"/>
      <c r="C869" s="132"/>
      <c r="D869" s="132"/>
      <c r="E869" s="132"/>
      <c r="F869" s="132"/>
      <c r="G869" s="132"/>
      <c r="H869" s="132"/>
      <c r="I869" s="132"/>
      <c r="J869" s="132"/>
      <c r="K869" s="132"/>
      <c r="L869" s="132"/>
      <c r="M869" s="132"/>
      <c r="N869" s="132"/>
      <c r="O869" s="132"/>
      <c r="P869" s="132"/>
      <c r="Q869" s="132"/>
      <c r="R869" s="132"/>
    </row>
    <row r="870" spans="1:18">
      <c r="A870" s="132"/>
      <c r="B870" s="132"/>
      <c r="C870" s="132"/>
      <c r="D870" s="132"/>
      <c r="E870" s="132"/>
      <c r="F870" s="132"/>
      <c r="G870" s="132"/>
      <c r="H870" s="132"/>
      <c r="I870" s="132"/>
      <c r="J870" s="132"/>
      <c r="K870" s="132"/>
      <c r="L870" s="132"/>
      <c r="M870" s="132"/>
      <c r="N870" s="132"/>
      <c r="O870" s="132"/>
      <c r="P870" s="132"/>
      <c r="Q870" s="132"/>
      <c r="R870" s="132"/>
    </row>
    <row r="871" spans="1:18">
      <c r="A871" s="132"/>
      <c r="B871" s="132"/>
      <c r="C871" s="132"/>
      <c r="D871" s="132"/>
      <c r="E871" s="132"/>
      <c r="F871" s="132"/>
      <c r="G871" s="132"/>
      <c r="H871" s="132"/>
      <c r="I871" s="132"/>
      <c r="J871" s="132"/>
      <c r="K871" s="132"/>
      <c r="L871" s="132"/>
      <c r="M871" s="132"/>
      <c r="N871" s="132"/>
      <c r="O871" s="132"/>
      <c r="P871" s="132"/>
      <c r="Q871" s="132"/>
      <c r="R871" s="132"/>
    </row>
    <row r="872" spans="1:18">
      <c r="A872" s="132"/>
      <c r="B872" s="132"/>
      <c r="C872" s="132"/>
      <c r="D872" s="132"/>
      <c r="E872" s="132"/>
      <c r="F872" s="132"/>
      <c r="G872" s="132"/>
      <c r="H872" s="132"/>
      <c r="I872" s="132"/>
      <c r="J872" s="132"/>
      <c r="K872" s="132"/>
      <c r="L872" s="132"/>
      <c r="M872" s="132"/>
      <c r="N872" s="132"/>
      <c r="O872" s="132"/>
      <c r="P872" s="132"/>
      <c r="Q872" s="132"/>
      <c r="R872" s="132"/>
    </row>
    <row r="873" spans="1:18">
      <c r="A873" s="132"/>
      <c r="B873" s="132"/>
      <c r="C873" s="132"/>
      <c r="D873" s="132"/>
      <c r="E873" s="132"/>
      <c r="F873" s="132"/>
      <c r="G873" s="132"/>
      <c r="H873" s="132"/>
      <c r="I873" s="132"/>
      <c r="J873" s="132"/>
      <c r="K873" s="132"/>
      <c r="L873" s="132"/>
      <c r="M873" s="132"/>
      <c r="N873" s="132"/>
      <c r="O873" s="132"/>
      <c r="P873" s="132"/>
      <c r="Q873" s="132"/>
      <c r="R873" s="132"/>
    </row>
    <row r="874" spans="1:18">
      <c r="A874" s="132"/>
      <c r="B874" s="132"/>
      <c r="C874" s="132"/>
      <c r="D874" s="132"/>
      <c r="E874" s="132"/>
      <c r="F874" s="132"/>
      <c r="G874" s="132"/>
      <c r="H874" s="132"/>
      <c r="I874" s="132"/>
      <c r="J874" s="132"/>
      <c r="K874" s="132"/>
      <c r="L874" s="132"/>
      <c r="M874" s="132"/>
      <c r="N874" s="132"/>
      <c r="O874" s="132"/>
      <c r="P874" s="132"/>
      <c r="Q874" s="132"/>
      <c r="R874" s="132"/>
    </row>
    <row r="875" spans="1:18">
      <c r="A875" s="132"/>
      <c r="B875" s="132"/>
      <c r="C875" s="132"/>
      <c r="D875" s="132"/>
      <c r="E875" s="132"/>
      <c r="F875" s="132"/>
      <c r="G875" s="132"/>
      <c r="H875" s="132"/>
      <c r="I875" s="132"/>
      <c r="J875" s="132"/>
      <c r="K875" s="132"/>
      <c r="L875" s="132"/>
      <c r="M875" s="132"/>
      <c r="N875" s="132"/>
      <c r="O875" s="132"/>
      <c r="P875" s="132"/>
      <c r="Q875" s="132"/>
      <c r="R875" s="132"/>
    </row>
    <row r="876" spans="1:18">
      <c r="A876" s="132"/>
      <c r="B876" s="132"/>
      <c r="C876" s="132"/>
      <c r="D876" s="132"/>
      <c r="E876" s="132"/>
      <c r="F876" s="132"/>
      <c r="G876" s="132"/>
      <c r="H876" s="132"/>
      <c r="I876" s="132"/>
      <c r="J876" s="132"/>
      <c r="K876" s="132"/>
      <c r="L876" s="132"/>
      <c r="M876" s="132"/>
      <c r="N876" s="132"/>
      <c r="O876" s="132"/>
      <c r="P876" s="132"/>
      <c r="Q876" s="132"/>
      <c r="R876" s="132"/>
    </row>
    <row r="877" spans="1:18">
      <c r="A877" s="132"/>
      <c r="B877" s="132"/>
      <c r="C877" s="132"/>
      <c r="D877" s="132"/>
      <c r="E877" s="132"/>
      <c r="F877" s="132"/>
      <c r="G877" s="132"/>
      <c r="H877" s="132"/>
      <c r="I877" s="132"/>
      <c r="J877" s="132"/>
      <c r="K877" s="132"/>
      <c r="L877" s="132"/>
      <c r="M877" s="132"/>
      <c r="N877" s="132"/>
      <c r="O877" s="132"/>
      <c r="P877" s="132"/>
      <c r="Q877" s="132"/>
      <c r="R877" s="132"/>
    </row>
    <row r="878" spans="1:18">
      <c r="A878" s="132"/>
      <c r="B878" s="132"/>
      <c r="C878" s="132"/>
      <c r="D878" s="132"/>
      <c r="E878" s="132"/>
      <c r="F878" s="132"/>
      <c r="G878" s="132"/>
      <c r="H878" s="132"/>
      <c r="I878" s="132"/>
      <c r="J878" s="132"/>
      <c r="K878" s="132"/>
      <c r="L878" s="132"/>
      <c r="M878" s="132"/>
      <c r="N878" s="132"/>
      <c r="O878" s="132"/>
      <c r="P878" s="132"/>
      <c r="Q878" s="132"/>
      <c r="R878" s="132"/>
    </row>
    <row r="879" spans="1:18">
      <c r="A879" s="132"/>
      <c r="B879" s="132"/>
      <c r="C879" s="132"/>
      <c r="D879" s="132"/>
      <c r="E879" s="132"/>
      <c r="F879" s="132"/>
      <c r="G879" s="132"/>
      <c r="H879" s="132"/>
      <c r="I879" s="132"/>
      <c r="J879" s="132"/>
      <c r="K879" s="132"/>
      <c r="L879" s="132"/>
      <c r="M879" s="132"/>
      <c r="N879" s="132"/>
      <c r="O879" s="132"/>
      <c r="P879" s="132"/>
      <c r="Q879" s="132"/>
      <c r="R879" s="132"/>
    </row>
    <row r="880" spans="1:18">
      <c r="A880" s="132"/>
      <c r="B880" s="132"/>
      <c r="C880" s="132"/>
      <c r="D880" s="132"/>
      <c r="E880" s="132"/>
      <c r="F880" s="132"/>
      <c r="G880" s="132"/>
      <c r="H880" s="132"/>
      <c r="I880" s="132"/>
      <c r="J880" s="132"/>
      <c r="K880" s="132"/>
      <c r="L880" s="132"/>
      <c r="M880" s="132"/>
      <c r="N880" s="132"/>
      <c r="O880" s="132"/>
      <c r="P880" s="132"/>
      <c r="Q880" s="132"/>
      <c r="R880" s="132"/>
    </row>
    <row r="881" spans="1:18">
      <c r="A881" s="132"/>
      <c r="B881" s="132"/>
      <c r="C881" s="132"/>
      <c r="D881" s="132"/>
      <c r="E881" s="132"/>
      <c r="F881" s="132"/>
      <c r="G881" s="132"/>
      <c r="H881" s="132"/>
      <c r="I881" s="132"/>
      <c r="J881" s="132"/>
      <c r="K881" s="132"/>
      <c r="L881" s="132"/>
      <c r="M881" s="132"/>
      <c r="N881" s="132"/>
      <c r="O881" s="132"/>
      <c r="P881" s="132"/>
      <c r="Q881" s="132"/>
      <c r="R881" s="132"/>
    </row>
    <row r="882" spans="1:18">
      <c r="A882" s="132"/>
      <c r="B882" s="132"/>
      <c r="C882" s="132"/>
      <c r="D882" s="132"/>
      <c r="E882" s="132"/>
      <c r="F882" s="132"/>
      <c r="G882" s="132"/>
      <c r="H882" s="132"/>
      <c r="I882" s="132"/>
      <c r="J882" s="132"/>
      <c r="K882" s="132"/>
      <c r="L882" s="132"/>
      <c r="M882" s="132"/>
      <c r="N882" s="132"/>
      <c r="O882" s="132"/>
      <c r="P882" s="132"/>
      <c r="Q882" s="132"/>
      <c r="R882" s="132"/>
    </row>
    <row r="883" spans="1:18">
      <c r="A883" s="132"/>
      <c r="B883" s="132"/>
      <c r="C883" s="132"/>
      <c r="D883" s="132"/>
      <c r="E883" s="132"/>
      <c r="F883" s="132"/>
      <c r="G883" s="132"/>
      <c r="H883" s="132"/>
      <c r="I883" s="132"/>
      <c r="J883" s="132"/>
      <c r="K883" s="132"/>
      <c r="L883" s="132"/>
      <c r="M883" s="132"/>
      <c r="N883" s="132"/>
      <c r="O883" s="132"/>
      <c r="P883" s="132"/>
      <c r="Q883" s="132"/>
      <c r="R883" s="132"/>
    </row>
    <row r="884" spans="1:18">
      <c r="A884" s="132"/>
      <c r="B884" s="132"/>
      <c r="C884" s="132"/>
      <c r="D884" s="132"/>
      <c r="E884" s="132"/>
      <c r="F884" s="132"/>
      <c r="G884" s="132"/>
      <c r="H884" s="132"/>
      <c r="I884" s="132"/>
      <c r="J884" s="132"/>
      <c r="K884" s="132"/>
      <c r="L884" s="132"/>
      <c r="M884" s="132"/>
      <c r="N884" s="132"/>
      <c r="O884" s="132"/>
      <c r="P884" s="132"/>
      <c r="Q884" s="132"/>
      <c r="R884" s="132"/>
    </row>
    <row r="885" spans="1:18">
      <c r="A885" s="132"/>
      <c r="B885" s="132"/>
      <c r="C885" s="132"/>
      <c r="D885" s="132"/>
      <c r="E885" s="132"/>
      <c r="F885" s="132"/>
      <c r="G885" s="132"/>
      <c r="H885" s="132"/>
      <c r="I885" s="132"/>
      <c r="J885" s="132"/>
      <c r="K885" s="132"/>
      <c r="L885" s="132"/>
      <c r="M885" s="132"/>
      <c r="N885" s="132"/>
      <c r="O885" s="132"/>
      <c r="P885" s="132"/>
      <c r="Q885" s="132"/>
      <c r="R885" s="132"/>
    </row>
    <row r="886" spans="1:18">
      <c r="A886" s="132"/>
      <c r="B886" s="132"/>
      <c r="C886" s="132"/>
      <c r="D886" s="132"/>
      <c r="E886" s="132"/>
      <c r="F886" s="132"/>
      <c r="G886" s="132"/>
      <c r="H886" s="132"/>
      <c r="I886" s="132"/>
      <c r="J886" s="132"/>
      <c r="K886" s="132"/>
      <c r="L886" s="132"/>
      <c r="M886" s="132"/>
      <c r="N886" s="132"/>
      <c r="O886" s="132"/>
      <c r="P886" s="132"/>
      <c r="Q886" s="132"/>
      <c r="R886" s="132"/>
    </row>
    <row r="887" spans="1:18">
      <c r="A887" s="132"/>
      <c r="B887" s="132"/>
      <c r="C887" s="132"/>
      <c r="D887" s="132"/>
      <c r="E887" s="132"/>
      <c r="F887" s="132"/>
      <c r="G887" s="132"/>
      <c r="H887" s="132"/>
      <c r="I887" s="132"/>
      <c r="J887" s="132"/>
      <c r="K887" s="132"/>
      <c r="L887" s="132"/>
      <c r="M887" s="132"/>
      <c r="N887" s="132"/>
      <c r="O887" s="132"/>
      <c r="P887" s="132"/>
      <c r="Q887" s="132"/>
      <c r="R887" s="132"/>
    </row>
    <row r="888" spans="1:18">
      <c r="A888" s="132"/>
      <c r="B888" s="132"/>
      <c r="C888" s="132"/>
      <c r="D888" s="132"/>
      <c r="E888" s="132"/>
      <c r="F888" s="132"/>
      <c r="G888" s="132"/>
      <c r="H888" s="132"/>
      <c r="I888" s="132"/>
      <c r="J888" s="132"/>
      <c r="K888" s="132"/>
      <c r="L888" s="132"/>
      <c r="M888" s="132"/>
      <c r="N888" s="132"/>
      <c r="O888" s="132"/>
      <c r="P888" s="132"/>
      <c r="Q888" s="132"/>
      <c r="R888" s="132"/>
    </row>
    <row r="889" spans="1:18">
      <c r="A889" s="132"/>
      <c r="B889" s="132"/>
      <c r="C889" s="132"/>
      <c r="D889" s="132"/>
      <c r="E889" s="132"/>
      <c r="F889" s="132"/>
      <c r="G889" s="132"/>
      <c r="H889" s="132"/>
      <c r="I889" s="132"/>
      <c r="J889" s="132"/>
      <c r="K889" s="132"/>
      <c r="L889" s="132"/>
      <c r="M889" s="132"/>
      <c r="N889" s="132"/>
      <c r="O889" s="132"/>
      <c r="P889" s="132"/>
      <c r="Q889" s="132"/>
      <c r="R889" s="132"/>
    </row>
    <row r="890" spans="1:18">
      <c r="A890" s="132"/>
      <c r="B890" s="132"/>
      <c r="C890" s="132"/>
      <c r="D890" s="132"/>
      <c r="E890" s="132"/>
      <c r="F890" s="132"/>
      <c r="G890" s="132"/>
      <c r="H890" s="132"/>
      <c r="I890" s="132"/>
      <c r="J890" s="132"/>
      <c r="K890" s="132"/>
      <c r="L890" s="132"/>
      <c r="M890" s="132"/>
      <c r="N890" s="132"/>
      <c r="O890" s="132"/>
      <c r="P890" s="132"/>
      <c r="Q890" s="132"/>
      <c r="R890" s="132"/>
    </row>
    <row r="891" spans="1:18">
      <c r="A891" s="132"/>
      <c r="B891" s="132"/>
      <c r="C891" s="132"/>
      <c r="D891" s="132"/>
      <c r="E891" s="132"/>
      <c r="F891" s="132"/>
      <c r="G891" s="132"/>
      <c r="H891" s="132"/>
      <c r="I891" s="132"/>
      <c r="J891" s="132"/>
      <c r="K891" s="132"/>
      <c r="L891" s="132"/>
      <c r="M891" s="132"/>
      <c r="N891" s="132"/>
      <c r="O891" s="132"/>
      <c r="P891" s="132"/>
      <c r="Q891" s="132"/>
      <c r="R891" s="132"/>
    </row>
    <row r="892" spans="1:18">
      <c r="A892" s="132"/>
      <c r="B892" s="132"/>
      <c r="C892" s="132"/>
      <c r="D892" s="132"/>
      <c r="E892" s="132"/>
      <c r="F892" s="132"/>
      <c r="G892" s="132"/>
      <c r="H892" s="132"/>
      <c r="I892" s="132"/>
      <c r="J892" s="132"/>
      <c r="K892" s="132"/>
      <c r="L892" s="132"/>
      <c r="M892" s="132"/>
      <c r="N892" s="132"/>
      <c r="O892" s="132"/>
      <c r="P892" s="132"/>
      <c r="Q892" s="132"/>
      <c r="R892" s="132"/>
    </row>
    <row r="893" spans="1:18">
      <c r="A893" s="132"/>
      <c r="B893" s="132"/>
      <c r="C893" s="132"/>
      <c r="D893" s="132"/>
      <c r="E893" s="132"/>
      <c r="F893" s="132"/>
      <c r="G893" s="132"/>
      <c r="H893" s="132"/>
      <c r="I893" s="132"/>
      <c r="J893" s="132"/>
      <c r="K893" s="132"/>
      <c r="L893" s="132"/>
      <c r="M893" s="132"/>
      <c r="N893" s="132"/>
      <c r="O893" s="132"/>
      <c r="P893" s="132"/>
      <c r="Q893" s="132"/>
      <c r="R893" s="132"/>
    </row>
    <row r="894" spans="1:18">
      <c r="A894" s="132"/>
      <c r="B894" s="132"/>
      <c r="C894" s="132"/>
      <c r="D894" s="132"/>
      <c r="E894" s="132"/>
      <c r="F894" s="132"/>
      <c r="G894" s="132"/>
      <c r="H894" s="132"/>
      <c r="I894" s="132"/>
      <c r="J894" s="132"/>
      <c r="K894" s="132"/>
      <c r="L894" s="132"/>
      <c r="M894" s="132"/>
      <c r="N894" s="132"/>
      <c r="O894" s="132"/>
      <c r="P894" s="132"/>
      <c r="Q894" s="132"/>
      <c r="R894" s="132"/>
    </row>
    <row r="895" spans="1:18">
      <c r="A895" s="132"/>
      <c r="B895" s="132"/>
      <c r="C895" s="132"/>
      <c r="D895" s="132"/>
      <c r="E895" s="132"/>
      <c r="F895" s="132"/>
      <c r="G895" s="132"/>
      <c r="H895" s="132"/>
      <c r="I895" s="132"/>
      <c r="J895" s="132"/>
      <c r="K895" s="132"/>
      <c r="L895" s="132"/>
      <c r="M895" s="132"/>
      <c r="N895" s="132"/>
      <c r="O895" s="132"/>
      <c r="P895" s="132"/>
      <c r="Q895" s="132"/>
      <c r="R895" s="132"/>
    </row>
    <row r="896" spans="1:18">
      <c r="A896" s="132"/>
      <c r="B896" s="132"/>
      <c r="C896" s="132"/>
      <c r="D896" s="132"/>
      <c r="E896" s="132"/>
      <c r="F896" s="132"/>
      <c r="G896" s="132"/>
      <c r="H896" s="132"/>
      <c r="I896" s="132"/>
      <c r="J896" s="132"/>
      <c r="K896" s="132"/>
      <c r="L896" s="132"/>
      <c r="M896" s="132"/>
      <c r="N896" s="132"/>
      <c r="O896" s="132"/>
      <c r="P896" s="132"/>
      <c r="Q896" s="132"/>
      <c r="R896" s="132"/>
    </row>
    <row r="897" spans="1:18">
      <c r="A897" s="132"/>
      <c r="B897" s="132"/>
      <c r="C897" s="132"/>
      <c r="D897" s="132"/>
      <c r="E897" s="132"/>
      <c r="F897" s="132"/>
      <c r="G897" s="132"/>
      <c r="H897" s="132"/>
      <c r="I897" s="132"/>
      <c r="J897" s="132"/>
      <c r="K897" s="132"/>
      <c r="L897" s="132"/>
      <c r="M897" s="132"/>
      <c r="N897" s="132"/>
      <c r="O897" s="132"/>
      <c r="P897" s="132"/>
      <c r="Q897" s="132"/>
      <c r="R897" s="132"/>
    </row>
    <row r="898" spans="1:18">
      <c r="A898" s="132"/>
      <c r="B898" s="132"/>
      <c r="C898" s="132"/>
      <c r="D898" s="132"/>
      <c r="E898" s="132"/>
      <c r="F898" s="132"/>
      <c r="G898" s="132"/>
      <c r="H898" s="132"/>
      <c r="I898" s="132"/>
      <c r="J898" s="132"/>
      <c r="K898" s="132"/>
      <c r="L898" s="132"/>
      <c r="M898" s="132"/>
      <c r="N898" s="132"/>
      <c r="O898" s="132"/>
      <c r="P898" s="132"/>
      <c r="Q898" s="132"/>
      <c r="R898" s="132"/>
    </row>
    <row r="899" spans="1:18">
      <c r="A899" s="132"/>
      <c r="B899" s="132"/>
      <c r="C899" s="132"/>
      <c r="D899" s="132"/>
      <c r="E899" s="132"/>
      <c r="F899" s="132"/>
      <c r="G899" s="132"/>
      <c r="H899" s="132"/>
      <c r="I899" s="132"/>
      <c r="J899" s="132"/>
      <c r="K899" s="132"/>
      <c r="L899" s="132"/>
      <c r="M899" s="132"/>
      <c r="N899" s="132"/>
      <c r="O899" s="132"/>
      <c r="P899" s="132"/>
      <c r="Q899" s="132"/>
      <c r="R899" s="132"/>
    </row>
    <row r="900" spans="1:18">
      <c r="A900" s="132"/>
      <c r="B900" s="132"/>
      <c r="C900" s="132"/>
      <c r="D900" s="132"/>
      <c r="E900" s="132"/>
      <c r="F900" s="132"/>
      <c r="G900" s="132"/>
      <c r="H900" s="132"/>
      <c r="I900" s="132"/>
      <c r="J900" s="132"/>
      <c r="K900" s="132"/>
      <c r="L900" s="132"/>
      <c r="M900" s="132"/>
      <c r="N900" s="132"/>
      <c r="O900" s="132"/>
      <c r="P900" s="132"/>
      <c r="Q900" s="132"/>
      <c r="R900" s="132"/>
    </row>
    <row r="901" spans="1:18">
      <c r="A901" s="132"/>
      <c r="B901" s="132"/>
      <c r="C901" s="132"/>
      <c r="D901" s="132"/>
      <c r="E901" s="132"/>
      <c r="F901" s="132"/>
      <c r="G901" s="132"/>
      <c r="H901" s="132"/>
      <c r="I901" s="132"/>
      <c r="J901" s="132"/>
      <c r="K901" s="132"/>
      <c r="L901" s="132"/>
      <c r="M901" s="132"/>
      <c r="N901" s="132"/>
      <c r="O901" s="132"/>
      <c r="P901" s="132"/>
      <c r="Q901" s="132"/>
      <c r="R901" s="132"/>
    </row>
    <row r="902" spans="1:18">
      <c r="A902" s="132"/>
      <c r="B902" s="132"/>
      <c r="C902" s="132"/>
      <c r="D902" s="132"/>
      <c r="E902" s="132"/>
      <c r="F902" s="132"/>
      <c r="G902" s="132"/>
      <c r="H902" s="132"/>
      <c r="I902" s="132"/>
      <c r="J902" s="132"/>
      <c r="K902" s="132"/>
      <c r="L902" s="132"/>
      <c r="M902" s="132"/>
      <c r="N902" s="132"/>
      <c r="O902" s="132"/>
      <c r="P902" s="132"/>
      <c r="Q902" s="132"/>
      <c r="R902" s="132"/>
    </row>
    <row r="903" spans="1:18">
      <c r="A903" s="132"/>
      <c r="B903" s="132"/>
      <c r="C903" s="132"/>
      <c r="D903" s="132"/>
      <c r="E903" s="132"/>
      <c r="F903" s="132"/>
      <c r="G903" s="132"/>
      <c r="H903" s="132"/>
      <c r="I903" s="132"/>
      <c r="J903" s="132"/>
      <c r="K903" s="132"/>
      <c r="L903" s="132"/>
      <c r="M903" s="132"/>
      <c r="N903" s="132"/>
      <c r="O903" s="132"/>
      <c r="P903" s="132"/>
      <c r="Q903" s="132"/>
      <c r="R903" s="132"/>
    </row>
    <row r="904" spans="1:18">
      <c r="A904" s="132"/>
      <c r="B904" s="132"/>
      <c r="C904" s="132"/>
      <c r="D904" s="132"/>
      <c r="E904" s="132"/>
      <c r="F904" s="132"/>
      <c r="G904" s="132"/>
      <c r="H904" s="132"/>
      <c r="I904" s="132"/>
      <c r="J904" s="132"/>
      <c r="K904" s="132"/>
      <c r="L904" s="132"/>
      <c r="M904" s="132"/>
      <c r="N904" s="132"/>
      <c r="O904" s="132"/>
      <c r="P904" s="132"/>
      <c r="Q904" s="132"/>
      <c r="R904" s="132"/>
    </row>
    <row r="905" spans="1:18">
      <c r="A905" s="132"/>
      <c r="B905" s="132"/>
      <c r="C905" s="132"/>
      <c r="D905" s="132"/>
      <c r="E905" s="132"/>
      <c r="F905" s="132"/>
      <c r="G905" s="132"/>
      <c r="H905" s="132"/>
      <c r="I905" s="132"/>
      <c r="J905" s="132"/>
      <c r="K905" s="132"/>
      <c r="L905" s="132"/>
      <c r="M905" s="132"/>
      <c r="N905" s="132"/>
      <c r="O905" s="132"/>
      <c r="P905" s="132"/>
      <c r="Q905" s="132"/>
      <c r="R905" s="132"/>
    </row>
    <row r="906" spans="1:18">
      <c r="A906" s="132"/>
      <c r="B906" s="132"/>
      <c r="C906" s="132"/>
      <c r="D906" s="132"/>
      <c r="E906" s="132"/>
      <c r="F906" s="132"/>
      <c r="G906" s="132"/>
      <c r="H906" s="132"/>
      <c r="I906" s="132"/>
      <c r="J906" s="132"/>
      <c r="K906" s="132"/>
      <c r="L906" s="132"/>
      <c r="M906" s="132"/>
      <c r="N906" s="132"/>
      <c r="O906" s="132"/>
      <c r="P906" s="132"/>
      <c r="Q906" s="132"/>
      <c r="R906" s="132"/>
    </row>
    <row r="907" spans="1:18">
      <c r="A907" s="132"/>
      <c r="B907" s="132"/>
      <c r="C907" s="132"/>
      <c r="D907" s="132"/>
      <c r="E907" s="132"/>
      <c r="F907" s="132"/>
      <c r="G907" s="132"/>
      <c r="H907" s="132"/>
      <c r="I907" s="132"/>
      <c r="J907" s="132"/>
      <c r="K907" s="132"/>
      <c r="L907" s="132"/>
      <c r="M907" s="132"/>
      <c r="N907" s="132"/>
      <c r="O907" s="132"/>
      <c r="P907" s="132"/>
      <c r="Q907" s="132"/>
      <c r="R907" s="132"/>
    </row>
    <row r="908" spans="1:18">
      <c r="A908" s="132"/>
      <c r="B908" s="132"/>
      <c r="C908" s="132"/>
      <c r="D908" s="132"/>
      <c r="E908" s="132"/>
      <c r="F908" s="132"/>
      <c r="G908" s="132"/>
      <c r="H908" s="132"/>
      <c r="I908" s="132"/>
      <c r="J908" s="132"/>
      <c r="K908" s="132"/>
      <c r="L908" s="132"/>
      <c r="M908" s="132"/>
      <c r="N908" s="132"/>
      <c r="O908" s="132"/>
      <c r="P908" s="132"/>
      <c r="Q908" s="132"/>
      <c r="R908" s="132"/>
    </row>
    <row r="909" spans="1:18">
      <c r="A909" s="132"/>
      <c r="B909" s="132"/>
      <c r="C909" s="132"/>
      <c r="D909" s="132"/>
      <c r="E909" s="132"/>
      <c r="F909" s="132"/>
      <c r="G909" s="132"/>
      <c r="H909" s="132"/>
      <c r="I909" s="132"/>
      <c r="J909" s="132"/>
      <c r="K909" s="132"/>
      <c r="L909" s="132"/>
      <c r="M909" s="132"/>
      <c r="N909" s="132"/>
      <c r="O909" s="132"/>
      <c r="P909" s="132"/>
      <c r="Q909" s="132"/>
      <c r="R909" s="132"/>
    </row>
    <row r="910" spans="1:18">
      <c r="A910" s="132"/>
      <c r="B910" s="132"/>
      <c r="C910" s="132"/>
      <c r="D910" s="132"/>
      <c r="E910" s="132"/>
      <c r="F910" s="132"/>
      <c r="G910" s="132"/>
      <c r="H910" s="132"/>
      <c r="I910" s="132"/>
      <c r="J910" s="132"/>
      <c r="K910" s="132"/>
      <c r="L910" s="132"/>
      <c r="M910" s="132"/>
      <c r="N910" s="132"/>
      <c r="O910" s="132"/>
      <c r="P910" s="132"/>
      <c r="Q910" s="132"/>
      <c r="R910" s="132"/>
    </row>
    <row r="911" spans="1:18">
      <c r="A911" s="132"/>
      <c r="B911" s="132"/>
      <c r="C911" s="132"/>
      <c r="D911" s="132"/>
      <c r="E911" s="132"/>
      <c r="F911" s="132"/>
      <c r="G911" s="132"/>
      <c r="H911" s="132"/>
      <c r="I911" s="132"/>
      <c r="J911" s="132"/>
      <c r="K911" s="132"/>
      <c r="L911" s="132"/>
      <c r="M911" s="132"/>
      <c r="N911" s="132"/>
      <c r="O911" s="132"/>
      <c r="P911" s="132"/>
      <c r="Q911" s="132"/>
      <c r="R911" s="132"/>
    </row>
    <row r="912" spans="1:18">
      <c r="A912" s="132"/>
      <c r="B912" s="132"/>
      <c r="C912" s="132"/>
      <c r="D912" s="132"/>
      <c r="E912" s="132"/>
      <c r="F912" s="132"/>
      <c r="G912" s="132"/>
      <c r="H912" s="132"/>
      <c r="I912" s="132"/>
      <c r="J912" s="132"/>
      <c r="K912" s="132"/>
      <c r="L912" s="132"/>
      <c r="M912" s="132"/>
      <c r="N912" s="132"/>
      <c r="O912" s="132"/>
      <c r="P912" s="132"/>
      <c r="Q912" s="132"/>
      <c r="R912" s="132"/>
    </row>
    <row r="913" spans="1:18">
      <c r="A913" s="132"/>
      <c r="B913" s="132"/>
      <c r="C913" s="132"/>
      <c r="D913" s="132"/>
      <c r="E913" s="132"/>
      <c r="F913" s="132"/>
      <c r="G913" s="132"/>
      <c r="H913" s="132"/>
      <c r="I913" s="132"/>
      <c r="J913" s="132"/>
      <c r="K913" s="132"/>
      <c r="L913" s="132"/>
      <c r="M913" s="132"/>
      <c r="N913" s="132"/>
      <c r="O913" s="132"/>
      <c r="P913" s="132"/>
      <c r="Q913" s="132"/>
      <c r="R913" s="132"/>
    </row>
    <row r="914" spans="1:18">
      <c r="A914" s="132"/>
      <c r="B914" s="132"/>
      <c r="C914" s="132"/>
      <c r="D914" s="132"/>
      <c r="E914" s="132"/>
      <c r="F914" s="132"/>
      <c r="G914" s="132"/>
      <c r="H914" s="132"/>
      <c r="I914" s="132"/>
      <c r="J914" s="132"/>
      <c r="K914" s="132"/>
      <c r="L914" s="132"/>
      <c r="M914" s="132"/>
      <c r="N914" s="132"/>
      <c r="O914" s="132"/>
      <c r="P914" s="132"/>
      <c r="Q914" s="132"/>
      <c r="R914" s="132"/>
    </row>
    <row r="915" spans="1:18">
      <c r="A915" s="132"/>
      <c r="B915" s="132"/>
      <c r="C915" s="132"/>
      <c r="D915" s="132"/>
      <c r="E915" s="132"/>
      <c r="F915" s="132"/>
      <c r="G915" s="132"/>
      <c r="H915" s="132"/>
      <c r="I915" s="132"/>
      <c r="J915" s="132"/>
      <c r="K915" s="132"/>
      <c r="L915" s="132"/>
      <c r="M915" s="132"/>
      <c r="N915" s="132"/>
      <c r="O915" s="132"/>
      <c r="P915" s="132"/>
      <c r="Q915" s="132"/>
      <c r="R915" s="132"/>
    </row>
    <row r="916" spans="1:18">
      <c r="A916" s="132"/>
      <c r="B916" s="132"/>
      <c r="C916" s="132"/>
      <c r="D916" s="132"/>
      <c r="E916" s="132"/>
      <c r="F916" s="132"/>
      <c r="G916" s="132"/>
      <c r="H916" s="132"/>
      <c r="I916" s="132"/>
      <c r="J916" s="132"/>
      <c r="K916" s="132"/>
      <c r="L916" s="132"/>
      <c r="M916" s="132"/>
      <c r="N916" s="132"/>
      <c r="O916" s="132"/>
      <c r="P916" s="132"/>
      <c r="Q916" s="132"/>
      <c r="R916" s="132"/>
    </row>
    <row r="917" spans="1:18">
      <c r="A917" s="132"/>
      <c r="B917" s="132"/>
      <c r="C917" s="132"/>
      <c r="D917" s="132"/>
      <c r="E917" s="132"/>
      <c r="F917" s="132"/>
      <c r="G917" s="132"/>
      <c r="H917" s="132"/>
      <c r="I917" s="132"/>
      <c r="J917" s="132"/>
      <c r="K917" s="132"/>
      <c r="L917" s="132"/>
      <c r="M917" s="132"/>
      <c r="N917" s="132"/>
      <c r="O917" s="132"/>
      <c r="P917" s="132"/>
      <c r="Q917" s="132"/>
      <c r="R917" s="132"/>
    </row>
    <row r="918" spans="1:18">
      <c r="A918" s="132"/>
      <c r="B918" s="132"/>
      <c r="C918" s="132"/>
      <c r="D918" s="132"/>
      <c r="E918" s="132"/>
      <c r="F918" s="132"/>
      <c r="G918" s="132"/>
      <c r="H918" s="132"/>
      <c r="I918" s="132"/>
      <c r="J918" s="132"/>
      <c r="K918" s="132"/>
      <c r="L918" s="132"/>
      <c r="M918" s="132"/>
      <c r="N918" s="132"/>
      <c r="O918" s="132"/>
      <c r="P918" s="132"/>
      <c r="Q918" s="132"/>
      <c r="R918" s="132"/>
    </row>
    <row r="919" spans="1:18">
      <c r="A919" s="132"/>
      <c r="B919" s="132"/>
      <c r="C919" s="132"/>
      <c r="D919" s="132"/>
      <c r="E919" s="132"/>
      <c r="F919" s="132"/>
      <c r="G919" s="132"/>
      <c r="H919" s="132"/>
      <c r="I919" s="132"/>
      <c r="J919" s="132"/>
      <c r="K919" s="132"/>
      <c r="L919" s="132"/>
      <c r="M919" s="132"/>
      <c r="N919" s="132"/>
      <c r="O919" s="132"/>
      <c r="P919" s="132"/>
      <c r="Q919" s="132"/>
      <c r="R919" s="132"/>
    </row>
    <row r="920" spans="1:18">
      <c r="A920" s="132"/>
      <c r="B920" s="132"/>
      <c r="C920" s="132"/>
      <c r="D920" s="132"/>
      <c r="E920" s="132"/>
      <c r="F920" s="132"/>
      <c r="G920" s="132"/>
      <c r="H920" s="132"/>
      <c r="I920" s="132"/>
      <c r="J920" s="132"/>
      <c r="K920" s="132"/>
      <c r="L920" s="132"/>
      <c r="M920" s="132"/>
      <c r="N920" s="132"/>
      <c r="O920" s="132"/>
      <c r="P920" s="132"/>
      <c r="Q920" s="132"/>
      <c r="R920" s="132"/>
    </row>
    <row r="921" spans="1:18">
      <c r="A921" s="132"/>
      <c r="B921" s="132"/>
      <c r="C921" s="132"/>
      <c r="D921" s="132"/>
      <c r="E921" s="132"/>
      <c r="F921" s="132"/>
      <c r="G921" s="132"/>
      <c r="H921" s="132"/>
      <c r="I921" s="132"/>
      <c r="J921" s="132"/>
      <c r="K921" s="132"/>
      <c r="L921" s="132"/>
      <c r="M921" s="132"/>
      <c r="N921" s="132"/>
      <c r="O921" s="132"/>
      <c r="P921" s="132"/>
      <c r="Q921" s="132"/>
      <c r="R921" s="132"/>
    </row>
    <row r="922" spans="1:18">
      <c r="A922" s="132"/>
      <c r="B922" s="132"/>
      <c r="C922" s="132"/>
      <c r="D922" s="132"/>
      <c r="E922" s="132"/>
      <c r="F922" s="132"/>
      <c r="G922" s="132"/>
      <c r="H922" s="132"/>
      <c r="I922" s="132"/>
      <c r="J922" s="132"/>
      <c r="K922" s="132"/>
      <c r="L922" s="132"/>
      <c r="M922" s="132"/>
      <c r="N922" s="132"/>
      <c r="O922" s="132"/>
      <c r="P922" s="132"/>
      <c r="Q922" s="132"/>
      <c r="R922" s="132"/>
    </row>
    <row r="923" spans="1:18">
      <c r="A923" s="132"/>
      <c r="B923" s="132"/>
      <c r="C923" s="132"/>
      <c r="D923" s="132"/>
      <c r="E923" s="132"/>
      <c r="F923" s="132"/>
      <c r="G923" s="132"/>
      <c r="H923" s="132"/>
      <c r="I923" s="132"/>
      <c r="J923" s="132"/>
      <c r="K923" s="132"/>
      <c r="L923" s="132"/>
      <c r="M923" s="132"/>
      <c r="N923" s="132"/>
      <c r="O923" s="132"/>
      <c r="P923" s="132"/>
      <c r="Q923" s="132"/>
      <c r="R923" s="132"/>
    </row>
    <row r="924" spans="1:18">
      <c r="A924" s="132"/>
      <c r="B924" s="132"/>
      <c r="C924" s="132"/>
      <c r="D924" s="132"/>
      <c r="E924" s="132"/>
      <c r="F924" s="132"/>
      <c r="G924" s="132"/>
      <c r="H924" s="132"/>
      <c r="I924" s="132"/>
      <c r="J924" s="132"/>
      <c r="K924" s="132"/>
      <c r="L924" s="132"/>
      <c r="M924" s="132"/>
      <c r="N924" s="132"/>
      <c r="O924" s="132"/>
      <c r="P924" s="132"/>
      <c r="Q924" s="132"/>
      <c r="R924" s="132"/>
    </row>
    <row r="925" spans="1:18">
      <c r="A925" s="132"/>
      <c r="B925" s="132"/>
      <c r="C925" s="132"/>
      <c r="D925" s="132"/>
      <c r="E925" s="132"/>
      <c r="F925" s="132"/>
      <c r="G925" s="132"/>
      <c r="H925" s="132"/>
      <c r="I925" s="132"/>
      <c r="J925" s="132"/>
      <c r="K925" s="132"/>
      <c r="L925" s="132"/>
      <c r="M925" s="132"/>
      <c r="N925" s="132"/>
      <c r="O925" s="132"/>
      <c r="P925" s="132"/>
      <c r="Q925" s="132"/>
      <c r="R925" s="132"/>
    </row>
    <row r="926" spans="1:18">
      <c r="A926" s="132"/>
      <c r="B926" s="132"/>
      <c r="C926" s="132"/>
      <c r="D926" s="132"/>
      <c r="E926" s="132"/>
      <c r="F926" s="132"/>
      <c r="G926" s="132"/>
      <c r="H926" s="132"/>
      <c r="I926" s="132"/>
      <c r="J926" s="132"/>
      <c r="K926" s="132"/>
      <c r="L926" s="132"/>
      <c r="M926" s="132"/>
      <c r="N926" s="132"/>
      <c r="O926" s="132"/>
      <c r="P926" s="132"/>
      <c r="Q926" s="132"/>
      <c r="R926" s="132"/>
    </row>
    <row r="927" spans="1:18">
      <c r="A927" s="132"/>
      <c r="B927" s="132"/>
      <c r="C927" s="132"/>
      <c r="D927" s="132"/>
      <c r="E927" s="132"/>
      <c r="F927" s="132"/>
      <c r="G927" s="132"/>
      <c r="H927" s="132"/>
      <c r="I927" s="132"/>
      <c r="J927" s="132"/>
      <c r="K927" s="132"/>
      <c r="L927" s="132"/>
      <c r="M927" s="132"/>
      <c r="N927" s="132"/>
      <c r="O927" s="132"/>
      <c r="P927" s="132"/>
      <c r="Q927" s="132"/>
      <c r="R927" s="132"/>
    </row>
    <row r="928" spans="1:18">
      <c r="A928" s="132"/>
      <c r="B928" s="132"/>
      <c r="C928" s="132"/>
      <c r="D928" s="132"/>
      <c r="E928" s="132"/>
      <c r="F928" s="132"/>
      <c r="G928" s="132"/>
      <c r="H928" s="132"/>
      <c r="I928" s="132"/>
      <c r="J928" s="132"/>
      <c r="K928" s="132"/>
      <c r="L928" s="132"/>
      <c r="M928" s="132"/>
      <c r="N928" s="132"/>
      <c r="O928" s="132"/>
      <c r="P928" s="132"/>
      <c r="Q928" s="132"/>
      <c r="R928" s="132"/>
    </row>
    <row r="929" spans="1:18">
      <c r="A929" s="132"/>
      <c r="B929" s="132"/>
      <c r="C929" s="132"/>
      <c r="D929" s="132"/>
      <c r="E929" s="132"/>
      <c r="F929" s="132"/>
      <c r="G929" s="132"/>
      <c r="H929" s="132"/>
      <c r="I929" s="132"/>
      <c r="J929" s="132"/>
      <c r="K929" s="132"/>
      <c r="L929" s="132"/>
      <c r="M929" s="132"/>
      <c r="N929" s="132"/>
      <c r="O929" s="132"/>
      <c r="P929" s="132"/>
      <c r="Q929" s="132"/>
      <c r="R929" s="132"/>
    </row>
    <row r="930" spans="1:18">
      <c r="A930" s="132"/>
      <c r="B930" s="132"/>
      <c r="C930" s="132"/>
      <c r="D930" s="132"/>
      <c r="E930" s="132"/>
      <c r="F930" s="132"/>
      <c r="G930" s="132"/>
      <c r="H930" s="132"/>
      <c r="I930" s="132"/>
      <c r="J930" s="132"/>
      <c r="K930" s="132"/>
      <c r="L930" s="132"/>
      <c r="M930" s="132"/>
      <c r="N930" s="132"/>
      <c r="O930" s="132"/>
      <c r="P930" s="132"/>
      <c r="Q930" s="132"/>
      <c r="R930" s="132"/>
    </row>
    <row r="931" spans="1:18">
      <c r="A931" s="132"/>
      <c r="B931" s="132"/>
      <c r="C931" s="132"/>
      <c r="D931" s="132"/>
      <c r="E931" s="132"/>
      <c r="F931" s="132"/>
      <c r="G931" s="132"/>
      <c r="H931" s="132"/>
      <c r="I931" s="132"/>
      <c r="J931" s="132"/>
      <c r="K931" s="132"/>
      <c r="L931" s="132"/>
      <c r="M931" s="132"/>
      <c r="N931" s="132"/>
      <c r="O931" s="132"/>
      <c r="P931" s="132"/>
      <c r="Q931" s="132"/>
      <c r="R931" s="132"/>
    </row>
    <row r="932" spans="1:18">
      <c r="A932" s="132"/>
      <c r="B932" s="132"/>
      <c r="C932" s="132"/>
      <c r="D932" s="132"/>
      <c r="E932" s="132"/>
      <c r="F932" s="132"/>
      <c r="G932" s="132"/>
      <c r="H932" s="132"/>
      <c r="I932" s="132"/>
      <c r="J932" s="132"/>
      <c r="K932" s="132"/>
      <c r="L932" s="132"/>
      <c r="M932" s="132"/>
      <c r="N932" s="132"/>
      <c r="O932" s="132"/>
      <c r="P932" s="132"/>
      <c r="Q932" s="132"/>
      <c r="R932" s="132"/>
    </row>
    <row r="933" spans="1:18">
      <c r="A933" s="132"/>
      <c r="B933" s="132"/>
      <c r="C933" s="132"/>
      <c r="D933" s="132"/>
      <c r="E933" s="132"/>
      <c r="F933" s="132"/>
      <c r="G933" s="132"/>
      <c r="H933" s="132"/>
      <c r="I933" s="132"/>
      <c r="J933" s="132"/>
      <c r="K933" s="132"/>
      <c r="L933" s="132"/>
      <c r="M933" s="132"/>
      <c r="N933" s="132"/>
      <c r="O933" s="132"/>
      <c r="P933" s="132"/>
      <c r="Q933" s="132"/>
      <c r="R933" s="132"/>
    </row>
    <row r="934" spans="1:18">
      <c r="A934" s="132"/>
      <c r="B934" s="132"/>
      <c r="C934" s="132"/>
      <c r="D934" s="132"/>
      <c r="E934" s="132"/>
      <c r="F934" s="132"/>
      <c r="G934" s="132"/>
      <c r="H934" s="132"/>
      <c r="I934" s="132"/>
      <c r="J934" s="132"/>
      <c r="K934" s="132"/>
      <c r="L934" s="132"/>
      <c r="M934" s="132"/>
      <c r="N934" s="132"/>
      <c r="O934" s="132"/>
      <c r="P934" s="132"/>
      <c r="Q934" s="132"/>
      <c r="R934" s="132"/>
    </row>
    <row r="935" spans="1:18">
      <c r="A935" s="132"/>
      <c r="B935" s="132"/>
      <c r="C935" s="132"/>
      <c r="D935" s="132"/>
      <c r="E935" s="132"/>
      <c r="F935" s="132"/>
      <c r="G935" s="132"/>
      <c r="H935" s="132"/>
      <c r="I935" s="132"/>
      <c r="J935" s="132"/>
      <c r="K935" s="132"/>
      <c r="L935" s="132"/>
      <c r="M935" s="132"/>
      <c r="N935" s="132"/>
      <c r="O935" s="132"/>
      <c r="P935" s="132"/>
      <c r="Q935" s="132"/>
      <c r="R935" s="132"/>
    </row>
    <row r="936" spans="1:18">
      <c r="A936" s="132"/>
      <c r="B936" s="132"/>
      <c r="C936" s="132"/>
      <c r="D936" s="132"/>
      <c r="E936" s="132"/>
      <c r="F936" s="132"/>
      <c r="G936" s="132"/>
      <c r="H936" s="132"/>
      <c r="I936" s="132"/>
      <c r="J936" s="132"/>
      <c r="K936" s="132"/>
      <c r="L936" s="132"/>
      <c r="M936" s="132"/>
      <c r="N936" s="132"/>
      <c r="O936" s="132"/>
      <c r="P936" s="132"/>
      <c r="Q936" s="132"/>
      <c r="R936" s="132"/>
    </row>
    <row r="937" spans="1:18">
      <c r="A937" s="132"/>
      <c r="B937" s="132"/>
      <c r="C937" s="132"/>
      <c r="D937" s="132"/>
      <c r="E937" s="132"/>
      <c r="F937" s="132"/>
      <c r="G937" s="132"/>
      <c r="H937" s="132"/>
      <c r="I937" s="132"/>
      <c r="J937" s="132"/>
      <c r="K937" s="132"/>
      <c r="L937" s="132"/>
      <c r="M937" s="132"/>
      <c r="N937" s="132"/>
      <c r="O937" s="132"/>
      <c r="P937" s="132"/>
      <c r="Q937" s="132"/>
      <c r="R937" s="132"/>
    </row>
    <row r="938" spans="1:18">
      <c r="A938" s="132"/>
      <c r="B938" s="132"/>
      <c r="C938" s="132"/>
      <c r="D938" s="132"/>
      <c r="E938" s="132"/>
      <c r="F938" s="132"/>
      <c r="G938" s="132"/>
      <c r="H938" s="132"/>
      <c r="I938" s="132"/>
      <c r="J938" s="132"/>
      <c r="K938" s="132"/>
      <c r="L938" s="132"/>
      <c r="M938" s="132"/>
      <c r="N938" s="132"/>
      <c r="O938" s="132"/>
      <c r="P938" s="132"/>
      <c r="Q938" s="132"/>
      <c r="R938" s="132"/>
    </row>
    <row r="939" spans="1:18">
      <c r="A939" s="132"/>
      <c r="B939" s="132"/>
      <c r="C939" s="132"/>
      <c r="D939" s="132"/>
      <c r="E939" s="132"/>
      <c r="F939" s="132"/>
      <c r="G939" s="132"/>
      <c r="H939" s="132"/>
      <c r="I939" s="132"/>
      <c r="J939" s="132"/>
      <c r="K939" s="132"/>
      <c r="L939" s="132"/>
      <c r="M939" s="132"/>
      <c r="N939" s="132"/>
      <c r="O939" s="132"/>
      <c r="P939" s="132"/>
      <c r="Q939" s="132"/>
      <c r="R939" s="132"/>
    </row>
    <row r="940" spans="1:18">
      <c r="A940" s="132"/>
      <c r="B940" s="132"/>
      <c r="C940" s="132"/>
      <c r="D940" s="132"/>
      <c r="E940" s="132"/>
      <c r="F940" s="132"/>
      <c r="G940" s="132"/>
      <c r="H940" s="132"/>
      <c r="I940" s="132"/>
      <c r="J940" s="132"/>
      <c r="K940" s="132"/>
      <c r="L940" s="132"/>
      <c r="M940" s="132"/>
      <c r="N940" s="132"/>
      <c r="O940" s="132"/>
      <c r="P940" s="132"/>
      <c r="Q940" s="132"/>
      <c r="R940" s="132"/>
    </row>
    <row r="941" spans="1:18">
      <c r="A941" s="132"/>
      <c r="B941" s="132"/>
      <c r="C941" s="132"/>
      <c r="D941" s="132"/>
      <c r="E941" s="132"/>
      <c r="F941" s="132"/>
      <c r="G941" s="132"/>
      <c r="H941" s="132"/>
      <c r="I941" s="132"/>
      <c r="J941" s="132"/>
      <c r="K941" s="132"/>
      <c r="L941" s="132"/>
      <c r="M941" s="132"/>
      <c r="N941" s="132"/>
      <c r="O941" s="132"/>
      <c r="P941" s="132"/>
      <c r="Q941" s="132"/>
      <c r="R941" s="132"/>
    </row>
    <row r="942" spans="1:18">
      <c r="A942" s="132"/>
      <c r="B942" s="132"/>
      <c r="C942" s="132"/>
      <c r="D942" s="132"/>
      <c r="E942" s="132"/>
      <c r="F942" s="132"/>
      <c r="G942" s="132"/>
      <c r="H942" s="132"/>
      <c r="I942" s="132"/>
      <c r="J942" s="132"/>
      <c r="K942" s="132"/>
      <c r="L942" s="132"/>
      <c r="M942" s="132"/>
      <c r="N942" s="132"/>
      <c r="O942" s="132"/>
      <c r="P942" s="132"/>
      <c r="Q942" s="132"/>
      <c r="R942" s="132"/>
    </row>
    <row r="943" spans="1:18">
      <c r="A943" s="132"/>
      <c r="B943" s="132"/>
      <c r="C943" s="132"/>
      <c r="D943" s="132"/>
      <c r="E943" s="132"/>
      <c r="F943" s="132"/>
      <c r="G943" s="132"/>
      <c r="H943" s="132"/>
      <c r="I943" s="132"/>
      <c r="J943" s="132"/>
      <c r="K943" s="132"/>
      <c r="L943" s="132"/>
      <c r="M943" s="132"/>
      <c r="N943" s="132"/>
      <c r="O943" s="132"/>
      <c r="P943" s="132"/>
      <c r="Q943" s="132"/>
      <c r="R943" s="132"/>
    </row>
    <row r="944" spans="1:18">
      <c r="A944" s="132"/>
      <c r="B944" s="132"/>
      <c r="C944" s="132"/>
      <c r="D944" s="132"/>
      <c r="E944" s="132"/>
      <c r="F944" s="132"/>
      <c r="G944" s="132"/>
      <c r="H944" s="132"/>
      <c r="I944" s="132"/>
      <c r="J944" s="132"/>
      <c r="K944" s="132"/>
      <c r="L944" s="132"/>
      <c r="M944" s="132"/>
      <c r="N944" s="132"/>
      <c r="O944" s="132"/>
      <c r="P944" s="132"/>
      <c r="Q944" s="132"/>
      <c r="R944" s="132"/>
    </row>
    <row r="945" spans="1:18">
      <c r="A945" s="132"/>
      <c r="B945" s="132"/>
      <c r="C945" s="132"/>
      <c r="D945" s="132"/>
      <c r="E945" s="132"/>
      <c r="F945" s="132"/>
      <c r="G945" s="132"/>
      <c r="H945" s="132"/>
      <c r="I945" s="132"/>
      <c r="J945" s="132"/>
      <c r="K945" s="132"/>
      <c r="L945" s="132"/>
      <c r="M945" s="132"/>
      <c r="N945" s="132"/>
      <c r="O945" s="132"/>
      <c r="P945" s="132"/>
      <c r="Q945" s="132"/>
      <c r="R945" s="132"/>
    </row>
    <row r="946" spans="1:18">
      <c r="A946" s="132"/>
      <c r="B946" s="132"/>
      <c r="C946" s="132"/>
      <c r="D946" s="132"/>
      <c r="E946" s="132"/>
      <c r="F946" s="132"/>
      <c r="G946" s="132"/>
      <c r="H946" s="132"/>
      <c r="I946" s="132"/>
      <c r="J946" s="132"/>
      <c r="K946" s="132"/>
      <c r="L946" s="132"/>
      <c r="M946" s="132"/>
      <c r="N946" s="132"/>
      <c r="O946" s="132"/>
      <c r="P946" s="132"/>
      <c r="Q946" s="132"/>
      <c r="R946" s="132"/>
    </row>
    <row r="947" spans="1:18">
      <c r="A947" s="132"/>
      <c r="B947" s="132"/>
      <c r="C947" s="132"/>
      <c r="D947" s="132"/>
      <c r="E947" s="132"/>
      <c r="F947" s="132"/>
      <c r="G947" s="132"/>
      <c r="H947" s="132"/>
      <c r="I947" s="132"/>
      <c r="J947" s="132"/>
      <c r="K947" s="132"/>
      <c r="L947" s="132"/>
      <c r="M947" s="132"/>
      <c r="N947" s="132"/>
      <c r="O947" s="132"/>
      <c r="P947" s="132"/>
      <c r="Q947" s="132"/>
      <c r="R947" s="132"/>
    </row>
    <row r="948" spans="1:18">
      <c r="A948" s="132"/>
      <c r="B948" s="132"/>
      <c r="C948" s="132"/>
      <c r="D948" s="132"/>
      <c r="E948" s="132"/>
      <c r="F948" s="132"/>
      <c r="G948" s="132"/>
      <c r="H948" s="132"/>
      <c r="I948" s="132"/>
      <c r="J948" s="132"/>
      <c r="K948" s="132"/>
      <c r="L948" s="132"/>
      <c r="M948" s="132"/>
      <c r="N948" s="132"/>
      <c r="O948" s="132"/>
      <c r="P948" s="132"/>
      <c r="Q948" s="132"/>
      <c r="R948" s="132"/>
    </row>
    <row r="949" spans="1:18">
      <c r="A949" s="132"/>
      <c r="B949" s="132"/>
      <c r="C949" s="132"/>
      <c r="D949" s="132"/>
      <c r="E949" s="132"/>
      <c r="F949" s="132"/>
      <c r="G949" s="132"/>
      <c r="H949" s="132"/>
      <c r="I949" s="132"/>
      <c r="J949" s="132"/>
      <c r="K949" s="132"/>
      <c r="L949" s="132"/>
      <c r="M949" s="132"/>
      <c r="N949" s="132"/>
      <c r="O949" s="132"/>
      <c r="P949" s="132"/>
      <c r="Q949" s="132"/>
      <c r="R949" s="132"/>
    </row>
    <row r="950" spans="1:18">
      <c r="A950" s="132"/>
      <c r="B950" s="132"/>
      <c r="C950" s="132"/>
      <c r="D950" s="132"/>
      <c r="E950" s="132"/>
      <c r="F950" s="132"/>
      <c r="G950" s="132"/>
      <c r="H950" s="132"/>
      <c r="I950" s="132"/>
      <c r="J950" s="132"/>
      <c r="K950" s="132"/>
      <c r="L950" s="132"/>
      <c r="M950" s="132"/>
      <c r="N950" s="132"/>
      <c r="O950" s="132"/>
      <c r="P950" s="132"/>
      <c r="Q950" s="132"/>
      <c r="R950" s="132"/>
    </row>
    <row r="951" spans="1:18">
      <c r="A951" s="132"/>
      <c r="B951" s="132"/>
      <c r="C951" s="132"/>
      <c r="D951" s="132"/>
      <c r="E951" s="132"/>
      <c r="F951" s="132"/>
      <c r="G951" s="132"/>
      <c r="H951" s="132"/>
      <c r="I951" s="132"/>
      <c r="J951" s="132"/>
      <c r="K951" s="132"/>
      <c r="L951" s="132"/>
      <c r="M951" s="132"/>
      <c r="N951" s="132"/>
      <c r="O951" s="132"/>
      <c r="P951" s="132"/>
      <c r="Q951" s="132"/>
      <c r="R951" s="132"/>
    </row>
    <row r="952" spans="1:18">
      <c r="A952" s="132"/>
      <c r="B952" s="132"/>
      <c r="C952" s="132"/>
      <c r="D952" s="132"/>
      <c r="E952" s="132"/>
      <c r="F952" s="132"/>
      <c r="G952" s="132"/>
      <c r="H952" s="132"/>
      <c r="I952" s="132"/>
      <c r="J952" s="132"/>
      <c r="K952" s="132"/>
      <c r="L952" s="132"/>
      <c r="M952" s="132"/>
      <c r="N952" s="132"/>
      <c r="O952" s="132"/>
      <c r="P952" s="132"/>
      <c r="Q952" s="132"/>
      <c r="R952" s="132"/>
    </row>
    <row r="953" spans="1:18">
      <c r="A953" s="132"/>
      <c r="B953" s="132"/>
      <c r="C953" s="132"/>
      <c r="D953" s="132"/>
      <c r="E953" s="132"/>
      <c r="F953" s="132"/>
      <c r="G953" s="132"/>
      <c r="H953" s="132"/>
      <c r="I953" s="132"/>
      <c r="J953" s="132"/>
      <c r="K953" s="132"/>
      <c r="L953" s="132"/>
      <c r="M953" s="132"/>
      <c r="N953" s="132"/>
      <c r="O953" s="132"/>
      <c r="P953" s="132"/>
      <c r="Q953" s="132"/>
      <c r="R953" s="132"/>
    </row>
    <row r="954" spans="1:18">
      <c r="A954" s="132"/>
      <c r="B954" s="132"/>
      <c r="C954" s="132"/>
      <c r="D954" s="132"/>
      <c r="E954" s="132"/>
      <c r="F954" s="132"/>
      <c r="G954" s="132"/>
      <c r="H954" s="132"/>
      <c r="I954" s="132"/>
      <c r="J954" s="132"/>
      <c r="K954" s="132"/>
      <c r="L954" s="132"/>
      <c r="M954" s="132"/>
      <c r="N954" s="132"/>
      <c r="O954" s="132"/>
      <c r="P954" s="132"/>
      <c r="Q954" s="132"/>
      <c r="R954" s="132"/>
    </row>
    <row r="955" spans="1:18">
      <c r="A955" s="132"/>
      <c r="B955" s="132"/>
      <c r="C955" s="132"/>
      <c r="D955" s="132"/>
      <c r="E955" s="132"/>
      <c r="F955" s="132"/>
      <c r="G955" s="132"/>
      <c r="H955" s="132"/>
      <c r="I955" s="132"/>
      <c r="J955" s="132"/>
      <c r="K955" s="132"/>
      <c r="L955" s="132"/>
      <c r="M955" s="132"/>
      <c r="N955" s="132"/>
      <c r="O955" s="132"/>
      <c r="P955" s="132"/>
      <c r="Q955" s="132"/>
      <c r="R955" s="132"/>
    </row>
    <row r="956" spans="1:18">
      <c r="A956" s="132"/>
      <c r="B956" s="132"/>
      <c r="C956" s="132"/>
      <c r="D956" s="132"/>
      <c r="E956" s="132"/>
      <c r="F956" s="132"/>
      <c r="G956" s="132"/>
      <c r="H956" s="132"/>
      <c r="I956" s="132"/>
      <c r="J956" s="132"/>
      <c r="K956" s="132"/>
      <c r="L956" s="132"/>
      <c r="M956" s="132"/>
      <c r="N956" s="132"/>
      <c r="O956" s="132"/>
      <c r="P956" s="132"/>
      <c r="Q956" s="132"/>
      <c r="R956" s="132"/>
    </row>
    <row r="957" spans="1:18">
      <c r="A957" s="132"/>
      <c r="B957" s="132"/>
      <c r="C957" s="132"/>
      <c r="D957" s="132"/>
      <c r="E957" s="132"/>
      <c r="F957" s="132"/>
      <c r="G957" s="132"/>
      <c r="H957" s="132"/>
      <c r="I957" s="132"/>
      <c r="J957" s="132"/>
      <c r="K957" s="132"/>
      <c r="L957" s="132"/>
      <c r="M957" s="132"/>
      <c r="N957" s="132"/>
      <c r="O957" s="132"/>
      <c r="P957" s="132"/>
      <c r="Q957" s="132"/>
      <c r="R957" s="132"/>
    </row>
    <row r="958" spans="1:18">
      <c r="A958" s="132"/>
      <c r="B958" s="132"/>
      <c r="C958" s="132"/>
      <c r="D958" s="132"/>
      <c r="E958" s="132"/>
      <c r="F958" s="132"/>
      <c r="G958" s="132"/>
      <c r="H958" s="132"/>
      <c r="I958" s="132"/>
      <c r="J958" s="132"/>
      <c r="K958" s="132"/>
      <c r="L958" s="132"/>
      <c r="M958" s="132"/>
      <c r="N958" s="132"/>
      <c r="O958" s="132"/>
      <c r="P958" s="132"/>
      <c r="Q958" s="132"/>
      <c r="R958" s="132"/>
    </row>
    <row r="959" spans="1:18">
      <c r="A959" s="132"/>
      <c r="B959" s="132"/>
      <c r="C959" s="132"/>
      <c r="D959" s="132"/>
      <c r="E959" s="132"/>
      <c r="F959" s="132"/>
      <c r="G959" s="132"/>
      <c r="H959" s="132"/>
      <c r="I959" s="132"/>
      <c r="J959" s="132"/>
      <c r="K959" s="132"/>
      <c r="L959" s="132"/>
      <c r="M959" s="132"/>
      <c r="N959" s="132"/>
      <c r="O959" s="132"/>
      <c r="P959" s="132"/>
      <c r="Q959" s="132"/>
      <c r="R959" s="132"/>
    </row>
    <row r="960" spans="1:18">
      <c r="A960" s="132"/>
      <c r="B960" s="132"/>
      <c r="C960" s="132"/>
      <c r="D960" s="132"/>
      <c r="E960" s="132"/>
      <c r="F960" s="132"/>
      <c r="G960" s="132"/>
      <c r="H960" s="132"/>
      <c r="I960" s="132"/>
      <c r="J960" s="132"/>
      <c r="K960" s="132"/>
      <c r="L960" s="132"/>
      <c r="M960" s="132"/>
      <c r="N960" s="132"/>
      <c r="O960" s="132"/>
      <c r="P960" s="132"/>
      <c r="Q960" s="132"/>
      <c r="R960" s="132"/>
    </row>
    <row r="961" spans="1:18">
      <c r="A961" s="132"/>
      <c r="B961" s="132"/>
      <c r="C961" s="132"/>
      <c r="D961" s="132"/>
      <c r="E961" s="132"/>
      <c r="F961" s="132"/>
      <c r="G961" s="132"/>
      <c r="H961" s="132"/>
      <c r="I961" s="132"/>
      <c r="J961" s="132"/>
      <c r="K961" s="132"/>
      <c r="L961" s="132"/>
      <c r="M961" s="132"/>
      <c r="N961" s="132"/>
      <c r="O961" s="132"/>
      <c r="P961" s="132"/>
      <c r="Q961" s="132"/>
      <c r="R961" s="132"/>
    </row>
    <row r="962" spans="1:18">
      <c r="A962" s="132"/>
      <c r="B962" s="132"/>
      <c r="C962" s="132"/>
      <c r="D962" s="132"/>
      <c r="E962" s="132"/>
      <c r="F962" s="132"/>
      <c r="G962" s="132"/>
      <c r="H962" s="132"/>
      <c r="I962" s="132"/>
      <c r="J962" s="132"/>
      <c r="K962" s="132"/>
      <c r="L962" s="132"/>
      <c r="M962" s="132"/>
      <c r="N962" s="132"/>
      <c r="O962" s="132"/>
      <c r="P962" s="132"/>
      <c r="Q962" s="132"/>
      <c r="R962" s="132"/>
    </row>
    <row r="963" spans="1:18">
      <c r="A963" s="132"/>
      <c r="B963" s="132"/>
      <c r="C963" s="132"/>
      <c r="D963" s="132"/>
      <c r="E963" s="132"/>
      <c r="F963" s="132"/>
      <c r="G963" s="132"/>
      <c r="H963" s="132"/>
      <c r="I963" s="132"/>
      <c r="J963" s="132"/>
      <c r="K963" s="132"/>
      <c r="L963" s="132"/>
      <c r="M963" s="132"/>
      <c r="N963" s="132"/>
      <c r="O963" s="132"/>
      <c r="P963" s="132"/>
      <c r="Q963" s="132"/>
      <c r="R963" s="132"/>
    </row>
    <row r="964" spans="1:18">
      <c r="A964" s="132"/>
      <c r="B964" s="132"/>
      <c r="C964" s="132"/>
      <c r="D964" s="132"/>
      <c r="E964" s="132"/>
      <c r="F964" s="132"/>
      <c r="G964" s="132"/>
      <c r="H964" s="132"/>
      <c r="I964" s="132"/>
      <c r="J964" s="132"/>
      <c r="K964" s="132"/>
      <c r="L964" s="132"/>
      <c r="M964" s="132"/>
      <c r="N964" s="132"/>
      <c r="O964" s="132"/>
      <c r="P964" s="132"/>
      <c r="Q964" s="132"/>
      <c r="R964" s="132"/>
    </row>
    <row r="965" spans="1:18">
      <c r="A965" s="132"/>
      <c r="B965" s="132"/>
      <c r="C965" s="132"/>
      <c r="D965" s="132"/>
      <c r="E965" s="132"/>
      <c r="F965" s="132"/>
      <c r="G965" s="132"/>
      <c r="H965" s="132"/>
      <c r="I965" s="132"/>
      <c r="J965" s="132"/>
      <c r="K965" s="132"/>
      <c r="L965" s="132"/>
      <c r="M965" s="132"/>
      <c r="N965" s="132"/>
      <c r="O965" s="132"/>
      <c r="P965" s="132"/>
      <c r="Q965" s="132"/>
      <c r="R965" s="132"/>
    </row>
    <row r="966" spans="1:18">
      <c r="A966" s="132"/>
      <c r="B966" s="132"/>
      <c r="C966" s="132"/>
      <c r="D966" s="132"/>
      <c r="E966" s="132"/>
      <c r="F966" s="132"/>
      <c r="G966" s="132"/>
      <c r="H966" s="132"/>
      <c r="I966" s="132"/>
      <c r="J966" s="132"/>
      <c r="K966" s="132"/>
      <c r="L966" s="132"/>
      <c r="M966" s="132"/>
      <c r="N966" s="132"/>
      <c r="O966" s="132"/>
      <c r="P966" s="132"/>
      <c r="Q966" s="132"/>
      <c r="R966" s="132"/>
    </row>
    <row r="967" spans="1:18">
      <c r="A967" s="132"/>
      <c r="B967" s="132"/>
      <c r="C967" s="132"/>
      <c r="D967" s="132"/>
      <c r="E967" s="132"/>
      <c r="F967" s="132"/>
      <c r="G967" s="132"/>
      <c r="H967" s="132"/>
      <c r="I967" s="132"/>
      <c r="J967" s="132"/>
      <c r="K967" s="132"/>
      <c r="L967" s="132"/>
      <c r="M967" s="132"/>
      <c r="N967" s="132"/>
      <c r="O967" s="132"/>
      <c r="P967" s="132"/>
      <c r="Q967" s="132"/>
      <c r="R967" s="132"/>
    </row>
    <row r="968" spans="1:18">
      <c r="A968" s="132"/>
      <c r="B968" s="132"/>
      <c r="C968" s="132"/>
      <c r="D968" s="132"/>
      <c r="E968" s="132"/>
      <c r="F968" s="132"/>
      <c r="G968" s="132"/>
      <c r="H968" s="132"/>
      <c r="I968" s="132"/>
      <c r="J968" s="132"/>
      <c r="K968" s="132"/>
      <c r="L968" s="132"/>
      <c r="M968" s="132"/>
      <c r="N968" s="132"/>
      <c r="O968" s="132"/>
      <c r="P968" s="132"/>
      <c r="Q968" s="132"/>
      <c r="R968" s="132"/>
    </row>
    <row r="969" spans="1:18">
      <c r="A969" s="132"/>
      <c r="B969" s="132"/>
      <c r="C969" s="132"/>
      <c r="D969" s="132"/>
      <c r="E969" s="132"/>
      <c r="F969" s="132"/>
      <c r="G969" s="132"/>
      <c r="H969" s="132"/>
      <c r="I969" s="132"/>
      <c r="J969" s="132"/>
      <c r="K969" s="132"/>
      <c r="L969" s="132"/>
      <c r="M969" s="132"/>
      <c r="N969" s="132"/>
      <c r="O969" s="132"/>
      <c r="P969" s="132"/>
      <c r="Q969" s="132"/>
      <c r="R969" s="132"/>
    </row>
    <row r="970" spans="1:18">
      <c r="A970" s="132"/>
      <c r="B970" s="132"/>
      <c r="C970" s="132"/>
      <c r="D970" s="132"/>
      <c r="E970" s="132"/>
      <c r="F970" s="132"/>
      <c r="G970" s="132"/>
      <c r="H970" s="132"/>
      <c r="I970" s="132"/>
      <c r="J970" s="132"/>
      <c r="K970" s="132"/>
      <c r="L970" s="132"/>
      <c r="M970" s="132"/>
      <c r="N970" s="132"/>
      <c r="O970" s="132"/>
      <c r="P970" s="132"/>
      <c r="Q970" s="132"/>
      <c r="R970" s="132"/>
    </row>
    <row r="971" spans="1:18">
      <c r="A971" s="132"/>
      <c r="B971" s="132"/>
      <c r="C971" s="132"/>
      <c r="D971" s="132"/>
      <c r="E971" s="132"/>
      <c r="F971" s="132"/>
      <c r="G971" s="132"/>
      <c r="H971" s="132"/>
      <c r="I971" s="132"/>
      <c r="J971" s="132"/>
      <c r="K971" s="132"/>
      <c r="L971" s="132"/>
      <c r="M971" s="132"/>
      <c r="N971" s="132"/>
      <c r="O971" s="132"/>
      <c r="P971" s="132"/>
      <c r="Q971" s="132"/>
      <c r="R971" s="132"/>
    </row>
    <row r="972" spans="1:18">
      <c r="A972" s="132"/>
      <c r="B972" s="132"/>
      <c r="C972" s="132"/>
      <c r="D972" s="132"/>
      <c r="E972" s="132"/>
      <c r="F972" s="132"/>
      <c r="G972" s="132"/>
      <c r="H972" s="132"/>
      <c r="I972" s="132"/>
      <c r="J972" s="132"/>
      <c r="K972" s="132"/>
      <c r="L972" s="132"/>
      <c r="M972" s="132"/>
      <c r="N972" s="132"/>
      <c r="O972" s="132"/>
      <c r="P972" s="132"/>
      <c r="Q972" s="132"/>
      <c r="R972" s="132"/>
    </row>
    <row r="973" spans="1:18">
      <c r="A973" s="132"/>
      <c r="B973" s="132"/>
      <c r="C973" s="132"/>
      <c r="D973" s="132"/>
      <c r="E973" s="132"/>
      <c r="F973" s="132"/>
      <c r="G973" s="132"/>
      <c r="H973" s="132"/>
      <c r="I973" s="132"/>
      <c r="J973" s="132"/>
      <c r="K973" s="132"/>
      <c r="L973" s="132"/>
      <c r="M973" s="132"/>
      <c r="N973" s="132"/>
      <c r="O973" s="132"/>
      <c r="P973" s="132"/>
      <c r="Q973" s="132"/>
      <c r="R973" s="132"/>
    </row>
    <row r="974" spans="1:18">
      <c r="A974" s="132"/>
      <c r="B974" s="132"/>
      <c r="C974" s="132"/>
      <c r="D974" s="132"/>
      <c r="E974" s="132"/>
      <c r="F974" s="132"/>
      <c r="G974" s="132"/>
      <c r="H974" s="132"/>
      <c r="I974" s="132"/>
      <c r="J974" s="132"/>
      <c r="K974" s="132"/>
      <c r="L974" s="132"/>
      <c r="M974" s="132"/>
      <c r="N974" s="132"/>
      <c r="O974" s="132"/>
      <c r="P974" s="132"/>
      <c r="Q974" s="132"/>
      <c r="R974" s="132"/>
    </row>
    <row r="975" spans="1:18">
      <c r="A975" s="132"/>
      <c r="B975" s="132"/>
      <c r="C975" s="132"/>
      <c r="D975" s="132"/>
      <c r="E975" s="132"/>
      <c r="F975" s="132"/>
      <c r="G975" s="132"/>
      <c r="H975" s="132"/>
      <c r="I975" s="132"/>
      <c r="J975" s="132"/>
      <c r="K975" s="132"/>
      <c r="L975" s="132"/>
      <c r="M975" s="132"/>
      <c r="N975" s="132"/>
      <c r="O975" s="132"/>
      <c r="P975" s="132"/>
      <c r="Q975" s="132"/>
      <c r="R975" s="132"/>
    </row>
    <row r="976" spans="1:18">
      <c r="A976" s="132"/>
      <c r="B976" s="132"/>
      <c r="C976" s="132"/>
      <c r="D976" s="132"/>
      <c r="E976" s="132"/>
      <c r="F976" s="132"/>
      <c r="G976" s="132"/>
      <c r="H976" s="132"/>
      <c r="I976" s="132"/>
      <c r="J976" s="132"/>
      <c r="K976" s="132"/>
      <c r="L976" s="132"/>
      <c r="M976" s="132"/>
      <c r="N976" s="132"/>
      <c r="O976" s="132"/>
      <c r="P976" s="132"/>
      <c r="Q976" s="132"/>
      <c r="R976" s="132"/>
    </row>
    <row r="977" spans="1:18">
      <c r="A977" s="132"/>
      <c r="B977" s="132"/>
      <c r="C977" s="132"/>
      <c r="D977" s="132"/>
      <c r="E977" s="132"/>
      <c r="F977" s="132"/>
      <c r="G977" s="132"/>
      <c r="H977" s="132"/>
      <c r="I977" s="132"/>
      <c r="J977" s="132"/>
      <c r="K977" s="132"/>
      <c r="L977" s="132"/>
      <c r="M977" s="132"/>
      <c r="N977" s="132"/>
      <c r="O977" s="132"/>
      <c r="P977" s="132"/>
      <c r="Q977" s="132"/>
      <c r="R977" s="132"/>
    </row>
    <row r="978" spans="1:18">
      <c r="A978" s="132"/>
      <c r="B978" s="132"/>
      <c r="C978" s="132"/>
      <c r="D978" s="132"/>
      <c r="E978" s="132"/>
      <c r="F978" s="132"/>
      <c r="G978" s="132"/>
      <c r="H978" s="132"/>
      <c r="I978" s="132"/>
      <c r="J978" s="132"/>
      <c r="K978" s="132"/>
      <c r="L978" s="132"/>
      <c r="M978" s="132"/>
      <c r="N978" s="132"/>
      <c r="O978" s="132"/>
      <c r="P978" s="132"/>
      <c r="Q978" s="132"/>
      <c r="R978" s="132"/>
    </row>
    <row r="979" spans="1:18">
      <c r="A979" s="132"/>
      <c r="B979" s="132"/>
      <c r="C979" s="132"/>
      <c r="D979" s="132"/>
      <c r="E979" s="132"/>
      <c r="F979" s="132"/>
      <c r="G979" s="132"/>
      <c r="H979" s="132"/>
      <c r="I979" s="132"/>
      <c r="J979" s="132"/>
      <c r="K979" s="132"/>
      <c r="L979" s="132"/>
      <c r="M979" s="132"/>
      <c r="N979" s="132"/>
      <c r="O979" s="132"/>
      <c r="P979" s="132"/>
      <c r="Q979" s="132"/>
      <c r="R979" s="132"/>
    </row>
    <row r="980" spans="1:18">
      <c r="A980" s="132"/>
      <c r="B980" s="132"/>
      <c r="C980" s="132"/>
      <c r="D980" s="132"/>
      <c r="E980" s="132"/>
      <c r="F980" s="132"/>
      <c r="G980" s="132"/>
      <c r="H980" s="132"/>
      <c r="I980" s="132"/>
      <c r="J980" s="132"/>
      <c r="K980" s="132"/>
      <c r="L980" s="132"/>
      <c r="M980" s="132"/>
      <c r="N980" s="132"/>
      <c r="O980" s="132"/>
      <c r="P980" s="132"/>
      <c r="Q980" s="132"/>
      <c r="R980" s="132"/>
    </row>
    <row r="981" spans="1:18">
      <c r="A981" s="132"/>
      <c r="B981" s="132"/>
      <c r="C981" s="132"/>
      <c r="D981" s="132"/>
      <c r="E981" s="132"/>
      <c r="F981" s="132"/>
      <c r="G981" s="132"/>
      <c r="H981" s="132"/>
      <c r="I981" s="132"/>
      <c r="J981" s="132"/>
      <c r="K981" s="132"/>
      <c r="L981" s="132"/>
      <c r="M981" s="132"/>
      <c r="N981" s="132"/>
      <c r="O981" s="132"/>
      <c r="P981" s="132"/>
      <c r="Q981" s="132"/>
      <c r="R981" s="132"/>
    </row>
    <row r="982" spans="1:18">
      <c r="A982" s="132"/>
      <c r="B982" s="132"/>
      <c r="C982" s="132"/>
      <c r="D982" s="132"/>
      <c r="E982" s="132"/>
      <c r="F982" s="132"/>
      <c r="G982" s="132"/>
      <c r="H982" s="132"/>
      <c r="I982" s="132"/>
      <c r="J982" s="132"/>
      <c r="K982" s="132"/>
      <c r="L982" s="132"/>
      <c r="M982" s="132"/>
      <c r="N982" s="132"/>
      <c r="O982" s="132"/>
      <c r="P982" s="132"/>
      <c r="Q982" s="132"/>
      <c r="R982" s="132"/>
    </row>
    <row r="983" spans="1:18">
      <c r="A983" s="132"/>
      <c r="B983" s="132"/>
      <c r="C983" s="132"/>
      <c r="D983" s="132"/>
      <c r="E983" s="132"/>
      <c r="F983" s="132"/>
      <c r="G983" s="132"/>
      <c r="H983" s="132"/>
      <c r="I983" s="132"/>
      <c r="J983" s="132"/>
      <c r="K983" s="132"/>
      <c r="L983" s="132"/>
      <c r="M983" s="132"/>
      <c r="N983" s="132"/>
      <c r="O983" s="132"/>
      <c r="P983" s="132"/>
      <c r="Q983" s="132"/>
      <c r="R983" s="132"/>
    </row>
    <row r="984" spans="1:18">
      <c r="A984" s="132"/>
      <c r="B984" s="132"/>
      <c r="C984" s="132"/>
      <c r="D984" s="132"/>
      <c r="E984" s="132"/>
      <c r="F984" s="132"/>
      <c r="G984" s="132"/>
      <c r="H984" s="132"/>
      <c r="I984" s="132"/>
      <c r="J984" s="132"/>
      <c r="K984" s="132"/>
      <c r="L984" s="132"/>
      <c r="M984" s="132"/>
      <c r="N984" s="132"/>
      <c r="O984" s="132"/>
      <c r="P984" s="132"/>
      <c r="Q984" s="132"/>
      <c r="R984" s="132"/>
    </row>
    <row r="985" spans="1:18">
      <c r="A985" s="132"/>
      <c r="B985" s="132"/>
      <c r="C985" s="132"/>
      <c r="D985" s="132"/>
      <c r="E985" s="132"/>
      <c r="F985" s="132"/>
      <c r="G985" s="132"/>
      <c r="H985" s="132"/>
      <c r="I985" s="132"/>
      <c r="J985" s="132"/>
      <c r="K985" s="132"/>
      <c r="L985" s="132"/>
      <c r="M985" s="132"/>
      <c r="N985" s="132"/>
      <c r="O985" s="132"/>
      <c r="P985" s="132"/>
      <c r="Q985" s="132"/>
      <c r="R985" s="132"/>
    </row>
  </sheetData>
  <mergeCells count="2">
    <mergeCell ref="B2:L2"/>
    <mergeCell ref="B23:L23"/>
  </mergeCells>
  <pageMargins left="0.23622047244094491" right="0" top="0.35433070866141736" bottom="0.35433070866141736" header="0.31496062992125984" footer="0.31496062992125984"/>
  <pageSetup scale="6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FF0000"/>
  </sheetPr>
  <dimension ref="A1"/>
  <sheetViews>
    <sheetView workbookViewId="0">
      <selection activeCell="F34" sqref="F34"/>
    </sheetView>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002060"/>
  </sheetPr>
  <dimension ref="B2:AC108"/>
  <sheetViews>
    <sheetView showGridLines="0" topLeftCell="H1" zoomScaleNormal="100" workbookViewId="0">
      <selection activeCell="U12" sqref="U12"/>
    </sheetView>
  </sheetViews>
  <sheetFormatPr defaultRowHeight="15"/>
  <cols>
    <col min="1" max="1" width="1.85546875" customWidth="1"/>
    <col min="2" max="2" width="10.42578125" bestFit="1" customWidth="1"/>
    <col min="7" max="7" width="8.28515625" bestFit="1" customWidth="1"/>
    <col min="8" max="8" width="9.5703125" bestFit="1" customWidth="1"/>
    <col min="11" max="11" width="10.42578125" bestFit="1" customWidth="1"/>
    <col min="19" max="19" width="12.85546875" customWidth="1"/>
    <col min="20" max="20" width="9" customWidth="1"/>
    <col min="21" max="21" width="22.7109375" customWidth="1"/>
  </cols>
  <sheetData>
    <row r="2" spans="2:20">
      <c r="B2" s="424" t="s">
        <v>471</v>
      </c>
      <c r="C2" s="424"/>
      <c r="D2" s="424"/>
      <c r="E2" s="424"/>
      <c r="F2" s="424"/>
      <c r="G2" s="424"/>
      <c r="H2" s="424"/>
      <c r="K2" s="424" t="s">
        <v>472</v>
      </c>
      <c r="L2" s="424"/>
      <c r="M2" s="424"/>
      <c r="N2" s="424"/>
      <c r="O2" s="424"/>
      <c r="P2" s="424"/>
      <c r="Q2" s="424"/>
    </row>
    <row r="3" spans="2:20">
      <c r="B3" s="162" t="s">
        <v>290</v>
      </c>
      <c r="C3" s="163" t="s">
        <v>58</v>
      </c>
      <c r="D3" s="163" t="s">
        <v>291</v>
      </c>
      <c r="E3" s="163" t="s">
        <v>292</v>
      </c>
      <c r="F3" s="163" t="s">
        <v>286</v>
      </c>
      <c r="G3" s="163" t="s">
        <v>293</v>
      </c>
      <c r="H3" s="154" t="s">
        <v>294</v>
      </c>
      <c r="K3" s="162" t="s">
        <v>290</v>
      </c>
      <c r="L3" s="163" t="s">
        <v>58</v>
      </c>
      <c r="M3" s="163" t="s">
        <v>291</v>
      </c>
      <c r="N3" s="163" t="s">
        <v>292</v>
      </c>
      <c r="O3" s="163" t="s">
        <v>286</v>
      </c>
      <c r="P3" s="163" t="s">
        <v>8866</v>
      </c>
      <c r="Q3" s="154" t="s">
        <v>294</v>
      </c>
    </row>
    <row r="4" spans="2:20">
      <c r="B4" s="156">
        <v>46187</v>
      </c>
      <c r="C4" s="155">
        <v>24013.1</v>
      </c>
      <c r="D4" s="155">
        <v>23984.85</v>
      </c>
      <c r="E4" s="155">
        <v>24189.25</v>
      </c>
      <c r="F4" s="155">
        <v>23817.8</v>
      </c>
      <c r="G4" t="s">
        <v>295</v>
      </c>
      <c r="H4" s="160">
        <v>1.6500000000000001E-2</v>
      </c>
      <c r="I4" s="130"/>
      <c r="K4" s="156">
        <v>46187</v>
      </c>
      <c r="L4" s="155">
        <v>402.35</v>
      </c>
      <c r="M4" s="155">
        <v>397.75</v>
      </c>
      <c r="N4" s="155">
        <v>405.6</v>
      </c>
      <c r="O4" s="155">
        <v>395.55</v>
      </c>
      <c r="P4">
        <v>32.799999999999997</v>
      </c>
      <c r="Q4" s="160">
        <v>2.24E-2</v>
      </c>
    </row>
    <row r="5" spans="2:20">
      <c r="B5" s="156">
        <v>46180</v>
      </c>
      <c r="C5" s="155">
        <v>23622.9</v>
      </c>
      <c r="D5" s="155">
        <v>23080.7</v>
      </c>
      <c r="E5" s="155">
        <v>23645.35</v>
      </c>
      <c r="F5" s="155">
        <v>23070.15</v>
      </c>
      <c r="G5" t="s">
        <v>295</v>
      </c>
      <c r="H5" s="160">
        <v>1.0999999999999999E-2</v>
      </c>
      <c r="K5" s="156">
        <v>46180</v>
      </c>
      <c r="L5" s="155">
        <v>393.55</v>
      </c>
      <c r="M5" s="155">
        <v>404.05</v>
      </c>
      <c r="N5" s="155">
        <v>409.1</v>
      </c>
      <c r="O5" s="155">
        <v>388</v>
      </c>
      <c r="P5">
        <v>23.94</v>
      </c>
      <c r="Q5" s="160">
        <v>-3.8199999999999998E-2</v>
      </c>
    </row>
    <row r="6" spans="2:20">
      <c r="B6" s="156">
        <v>46173</v>
      </c>
      <c r="C6" s="155">
        <v>23366.7</v>
      </c>
      <c r="D6" s="155">
        <v>23654.5</v>
      </c>
      <c r="E6" s="155">
        <v>23733.7</v>
      </c>
      <c r="F6" s="155">
        <v>23151.5</v>
      </c>
      <c r="G6" t="s">
        <v>296</v>
      </c>
      <c r="H6" s="160">
        <v>-7.7000000000000002E-3</v>
      </c>
      <c r="K6" s="156">
        <v>46173</v>
      </c>
      <c r="L6" s="155">
        <v>409.2</v>
      </c>
      <c r="M6" s="155">
        <v>421.7</v>
      </c>
      <c r="N6" s="155">
        <v>423.75</v>
      </c>
      <c r="O6" s="155">
        <v>406.55</v>
      </c>
      <c r="P6">
        <v>20.9</v>
      </c>
      <c r="Q6" s="160">
        <v>-2.75E-2</v>
      </c>
    </row>
    <row r="7" spans="2:20">
      <c r="B7" s="156">
        <v>46166</v>
      </c>
      <c r="C7" s="155">
        <v>23547.75</v>
      </c>
      <c r="D7" s="155">
        <v>23940.25</v>
      </c>
      <c r="E7" s="155">
        <v>24089.8</v>
      </c>
      <c r="F7" s="155">
        <v>23484.75</v>
      </c>
      <c r="G7" t="s">
        <v>297</v>
      </c>
      <c r="H7" s="160">
        <v>-7.1999999999999998E-3</v>
      </c>
      <c r="K7" s="156">
        <v>46166</v>
      </c>
      <c r="L7" s="155">
        <v>420.75</v>
      </c>
      <c r="M7" s="155">
        <v>411.25</v>
      </c>
      <c r="N7" s="155">
        <v>434</v>
      </c>
      <c r="O7" s="155">
        <v>409.4</v>
      </c>
      <c r="P7">
        <v>27.34</v>
      </c>
      <c r="Q7" s="160">
        <v>2.9000000000000001E-2</v>
      </c>
      <c r="S7" s="254" t="s">
        <v>497</v>
      </c>
      <c r="T7" s="255">
        <f>V36</f>
        <v>1.2649327086733677</v>
      </c>
    </row>
    <row r="8" spans="2:20">
      <c r="B8" s="156">
        <v>46159</v>
      </c>
      <c r="C8" s="155">
        <v>23719.3</v>
      </c>
      <c r="D8" s="155">
        <v>23482.2</v>
      </c>
      <c r="E8" s="155">
        <v>23859.9</v>
      </c>
      <c r="F8" s="155">
        <v>23317.1</v>
      </c>
      <c r="G8" t="s">
        <v>298</v>
      </c>
      <c r="H8" s="160">
        <v>3.2000000000000002E-3</v>
      </c>
      <c r="K8" s="156">
        <v>46159</v>
      </c>
      <c r="L8" s="155">
        <v>408.9</v>
      </c>
      <c r="M8" s="155">
        <v>404.6</v>
      </c>
      <c r="N8" s="155">
        <v>418.5</v>
      </c>
      <c r="O8" s="155">
        <v>395.95</v>
      </c>
      <c r="P8">
        <v>27.27</v>
      </c>
      <c r="Q8" s="160">
        <v>4.7000000000000002E-3</v>
      </c>
      <c r="S8" s="254" t="s">
        <v>498</v>
      </c>
      <c r="T8" s="255">
        <f>V22</f>
        <v>0.60117530656070817</v>
      </c>
    </row>
    <row r="9" spans="2:20">
      <c r="B9" s="156">
        <v>46152</v>
      </c>
      <c r="C9" s="155">
        <v>23643.5</v>
      </c>
      <c r="D9" s="155">
        <v>23970.1</v>
      </c>
      <c r="E9" s="155">
        <v>23997.45</v>
      </c>
      <c r="F9" s="155">
        <v>23262.55</v>
      </c>
      <c r="G9" t="s">
        <v>299</v>
      </c>
      <c r="H9" s="160">
        <v>-2.1999999999999999E-2</v>
      </c>
      <c r="K9" s="156">
        <v>46152</v>
      </c>
      <c r="L9" s="155">
        <v>407</v>
      </c>
      <c r="M9" s="155">
        <v>434</v>
      </c>
      <c r="N9" s="155">
        <v>437.95</v>
      </c>
      <c r="O9" s="155">
        <v>390.8</v>
      </c>
      <c r="P9">
        <v>42.08</v>
      </c>
      <c r="Q9" s="160">
        <v>-6.6500000000000004E-2</v>
      </c>
    </row>
    <row r="10" spans="2:20">
      <c r="B10" s="156">
        <v>46145</v>
      </c>
      <c r="C10" s="155">
        <v>24176.15</v>
      </c>
      <c r="D10" s="155">
        <v>24063.55</v>
      </c>
      <c r="E10" s="155">
        <v>24482.1</v>
      </c>
      <c r="F10" s="155">
        <v>23882.05</v>
      </c>
      <c r="G10" t="s">
        <v>300</v>
      </c>
      <c r="H10" s="160">
        <v>7.4000000000000003E-3</v>
      </c>
      <c r="K10" s="156">
        <v>46145</v>
      </c>
      <c r="L10" s="155">
        <v>436</v>
      </c>
      <c r="M10" s="155">
        <v>445.5</v>
      </c>
      <c r="N10" s="155">
        <v>448</v>
      </c>
      <c r="O10" s="155">
        <v>434.7</v>
      </c>
      <c r="P10">
        <v>25.5</v>
      </c>
      <c r="Q10" s="160">
        <v>-1.9199999999999998E-2</v>
      </c>
    </row>
    <row r="11" spans="2:20">
      <c r="B11" s="156">
        <v>46138</v>
      </c>
      <c r="C11" s="155">
        <v>23997.55</v>
      </c>
      <c r="D11" s="155">
        <v>23945.45</v>
      </c>
      <c r="E11" s="155">
        <v>24334.7</v>
      </c>
      <c r="F11" s="155">
        <v>23796.85</v>
      </c>
      <c r="G11" t="s">
        <v>301</v>
      </c>
      <c r="H11" s="160">
        <v>4.1999999999999997E-3</v>
      </c>
      <c r="K11" s="156">
        <v>46138</v>
      </c>
      <c r="L11" s="155">
        <v>444.55</v>
      </c>
      <c r="M11" s="155">
        <v>436.6</v>
      </c>
      <c r="N11" s="155">
        <v>464.9</v>
      </c>
      <c r="O11" s="155">
        <v>435.2</v>
      </c>
      <c r="P11">
        <v>46.09</v>
      </c>
      <c r="Q11" s="160">
        <v>2.1999999999999999E-2</v>
      </c>
    </row>
    <row r="12" spans="2:20">
      <c r="B12" s="156">
        <v>46131</v>
      </c>
      <c r="C12" s="155">
        <v>23897.95</v>
      </c>
      <c r="D12" s="155">
        <v>24391.5</v>
      </c>
      <c r="E12" s="155">
        <v>24601.7</v>
      </c>
      <c r="F12" s="155">
        <v>23813.65</v>
      </c>
      <c r="G12" t="s">
        <v>302</v>
      </c>
      <c r="H12" s="160">
        <v>-1.8700000000000001E-2</v>
      </c>
      <c r="K12" s="156">
        <v>46131</v>
      </c>
      <c r="L12" s="155">
        <v>435</v>
      </c>
      <c r="M12" s="155">
        <v>427.5</v>
      </c>
      <c r="N12" s="155">
        <v>440.8</v>
      </c>
      <c r="O12" s="155">
        <v>424.45</v>
      </c>
      <c r="P12">
        <v>42.75</v>
      </c>
      <c r="Q12" s="160">
        <v>1.7299999999999999E-2</v>
      </c>
    </row>
    <row r="13" spans="2:20">
      <c r="B13" s="156">
        <v>46124</v>
      </c>
      <c r="C13" s="155">
        <v>24353.55</v>
      </c>
      <c r="D13" s="155">
        <v>23589.599999999999</v>
      </c>
      <c r="E13" s="155">
        <v>24400.95</v>
      </c>
      <c r="F13" s="155">
        <v>23555.599999999999</v>
      </c>
      <c r="G13" t="s">
        <v>303</v>
      </c>
      <c r="H13" s="160">
        <v>1.26E-2</v>
      </c>
      <c r="K13" s="156">
        <v>46124</v>
      </c>
      <c r="L13" s="155">
        <v>427.6</v>
      </c>
      <c r="M13" s="155">
        <v>394.95</v>
      </c>
      <c r="N13" s="155">
        <v>432</v>
      </c>
      <c r="O13" s="155">
        <v>390.25</v>
      </c>
      <c r="P13">
        <v>59.7</v>
      </c>
      <c r="Q13" s="160">
        <v>7.0699999999999999E-2</v>
      </c>
    </row>
    <row r="14" spans="2:20">
      <c r="B14" s="156">
        <v>46117</v>
      </c>
      <c r="C14" s="155">
        <v>24050.6</v>
      </c>
      <c r="D14" s="155">
        <v>22780.3</v>
      </c>
      <c r="E14" s="155">
        <v>24074.05</v>
      </c>
      <c r="F14" s="155">
        <v>22542.95</v>
      </c>
      <c r="G14" t="s">
        <v>304</v>
      </c>
      <c r="H14" s="160">
        <v>5.8900000000000001E-2</v>
      </c>
      <c r="K14" s="156">
        <v>46117</v>
      </c>
      <c r="L14" s="155">
        <v>399.35</v>
      </c>
      <c r="M14" s="155">
        <v>385.05</v>
      </c>
      <c r="N14" s="155">
        <v>401.35</v>
      </c>
      <c r="O14" s="155">
        <v>378.45</v>
      </c>
      <c r="P14">
        <v>33.04</v>
      </c>
      <c r="Q14" s="160">
        <v>3.73E-2</v>
      </c>
    </row>
    <row r="15" spans="2:20">
      <c r="B15" s="156">
        <v>46110</v>
      </c>
      <c r="C15" s="155">
        <v>22713.1</v>
      </c>
      <c r="D15" s="155">
        <v>22549.65</v>
      </c>
      <c r="E15" s="155">
        <v>22941.3</v>
      </c>
      <c r="F15" s="155">
        <v>22182.55</v>
      </c>
      <c r="G15" t="s">
        <v>305</v>
      </c>
      <c r="H15" s="160">
        <v>-4.7000000000000002E-3</v>
      </c>
      <c r="K15" s="156">
        <v>46110</v>
      </c>
      <c r="L15" s="155">
        <v>385</v>
      </c>
      <c r="M15" s="155">
        <v>381</v>
      </c>
      <c r="N15" s="155">
        <v>390.9</v>
      </c>
      <c r="O15" s="155">
        <v>368</v>
      </c>
      <c r="P15">
        <v>25.05</v>
      </c>
      <c r="Q15" s="160">
        <v>-1.8E-3</v>
      </c>
    </row>
    <row r="16" spans="2:20">
      <c r="B16" s="156">
        <v>46103</v>
      </c>
      <c r="C16" s="155">
        <v>22819.599999999999</v>
      </c>
      <c r="D16" s="155">
        <v>22824.35</v>
      </c>
      <c r="E16" s="155">
        <v>23465.35</v>
      </c>
      <c r="F16" s="155">
        <v>22471.25</v>
      </c>
      <c r="G16" t="s">
        <v>306</v>
      </c>
      <c r="H16" s="160">
        <v>-1.2800000000000001E-2</v>
      </c>
      <c r="K16" s="156">
        <v>46103</v>
      </c>
      <c r="L16" s="155">
        <v>385.7</v>
      </c>
      <c r="M16" s="155">
        <v>402.7</v>
      </c>
      <c r="N16" s="155">
        <v>403.3</v>
      </c>
      <c r="O16" s="155">
        <v>373</v>
      </c>
      <c r="P16">
        <v>41.8</v>
      </c>
      <c r="Q16" s="160">
        <v>-4.1500000000000002E-2</v>
      </c>
    </row>
    <row r="17" spans="2:26">
      <c r="B17" s="156">
        <v>46096</v>
      </c>
      <c r="C17" s="155">
        <v>23114.5</v>
      </c>
      <c r="D17" s="155">
        <v>23116.1</v>
      </c>
      <c r="E17" s="155">
        <v>23862.25</v>
      </c>
      <c r="F17" s="155">
        <v>22930.35</v>
      </c>
      <c r="G17" t="s">
        <v>307</v>
      </c>
      <c r="H17" s="160">
        <v>-1.6000000000000001E-3</v>
      </c>
      <c r="K17" s="156">
        <v>46096</v>
      </c>
      <c r="L17" s="155">
        <v>402.4</v>
      </c>
      <c r="M17" s="155">
        <v>395.55</v>
      </c>
      <c r="N17" s="155">
        <v>418.45</v>
      </c>
      <c r="O17" s="155">
        <v>385</v>
      </c>
      <c r="P17">
        <v>60.74</v>
      </c>
      <c r="Q17" s="160">
        <v>1.89E-2</v>
      </c>
    </row>
    <row r="18" spans="2:26">
      <c r="B18" s="156">
        <v>46089</v>
      </c>
      <c r="C18" s="155">
        <v>23151.1</v>
      </c>
      <c r="D18" s="155">
        <v>23868.05</v>
      </c>
      <c r="E18" s="155">
        <v>24303.8</v>
      </c>
      <c r="F18" s="155">
        <v>23112</v>
      </c>
      <c r="G18" t="s">
        <v>308</v>
      </c>
      <c r="H18" s="160">
        <v>-5.3100000000000001E-2</v>
      </c>
      <c r="K18" s="156">
        <v>46089</v>
      </c>
      <c r="L18" s="155">
        <v>394.95</v>
      </c>
      <c r="M18" s="155">
        <v>366.5</v>
      </c>
      <c r="N18" s="155">
        <v>407.35</v>
      </c>
      <c r="O18" s="155">
        <v>365.15</v>
      </c>
      <c r="P18">
        <v>56.5</v>
      </c>
      <c r="Q18" s="160">
        <v>5.1799999999999999E-2</v>
      </c>
    </row>
    <row r="19" spans="2:26">
      <c r="B19" s="156">
        <v>46082</v>
      </c>
      <c r="C19" s="155">
        <v>24450.45</v>
      </c>
      <c r="D19" s="155">
        <v>24659.25</v>
      </c>
      <c r="E19" s="155">
        <v>24989.35</v>
      </c>
      <c r="F19" s="155">
        <v>24305.4</v>
      </c>
      <c r="G19" t="s">
        <v>309</v>
      </c>
      <c r="H19" s="160">
        <v>-2.8899999999999999E-2</v>
      </c>
      <c r="K19" s="156">
        <v>46082</v>
      </c>
      <c r="L19" s="155">
        <v>375.5</v>
      </c>
      <c r="M19" s="155">
        <v>356</v>
      </c>
      <c r="N19" s="155">
        <v>385.25</v>
      </c>
      <c r="O19" s="155">
        <v>356</v>
      </c>
      <c r="P19">
        <v>21.08</v>
      </c>
      <c r="Q19" s="160">
        <v>-5.4000000000000003E-3</v>
      </c>
      <c r="U19" t="s">
        <v>473</v>
      </c>
    </row>
    <row r="20" spans="2:26" ht="15.75" thickBot="1">
      <c r="B20" s="156">
        <v>46075</v>
      </c>
      <c r="C20" s="155">
        <v>25178.65</v>
      </c>
      <c r="D20" s="155">
        <v>25678.400000000001</v>
      </c>
      <c r="E20" s="155">
        <v>25771.45</v>
      </c>
      <c r="F20" s="155">
        <v>25141.3</v>
      </c>
      <c r="G20" t="s">
        <v>310</v>
      </c>
      <c r="H20" s="160">
        <v>-1.54E-2</v>
      </c>
      <c r="K20" s="156">
        <v>46075</v>
      </c>
      <c r="L20" s="155">
        <v>377.55</v>
      </c>
      <c r="M20" s="155">
        <v>379</v>
      </c>
      <c r="N20" s="155">
        <v>385.4</v>
      </c>
      <c r="O20" s="155">
        <v>372.5</v>
      </c>
      <c r="P20">
        <v>15.75</v>
      </c>
      <c r="Q20" s="160">
        <v>-1.1999999999999999E-3</v>
      </c>
    </row>
    <row r="21" spans="2:26">
      <c r="B21" s="156">
        <v>46068</v>
      </c>
      <c r="C21" s="155">
        <v>25571.25</v>
      </c>
      <c r="D21" s="155">
        <v>25423.599999999999</v>
      </c>
      <c r="E21" s="155">
        <v>25885.3</v>
      </c>
      <c r="F21" s="155">
        <v>25372.7</v>
      </c>
      <c r="G21" t="s">
        <v>311</v>
      </c>
      <c r="H21" s="160">
        <v>3.8999999999999998E-3</v>
      </c>
      <c r="K21" s="156">
        <v>46068</v>
      </c>
      <c r="L21" s="155">
        <v>378</v>
      </c>
      <c r="M21" s="155">
        <v>372</v>
      </c>
      <c r="N21" s="155">
        <v>384.25</v>
      </c>
      <c r="O21" s="155">
        <v>368.3</v>
      </c>
      <c r="P21">
        <v>15.88</v>
      </c>
      <c r="Q21" s="160">
        <v>1.04E-2</v>
      </c>
      <c r="U21" s="166" t="s">
        <v>474</v>
      </c>
      <c r="V21" s="166"/>
    </row>
    <row r="22" spans="2:26">
      <c r="B22" s="156">
        <v>46061</v>
      </c>
      <c r="C22" s="155">
        <v>25471.1</v>
      </c>
      <c r="D22" s="155">
        <v>25888.7</v>
      </c>
      <c r="E22" s="155">
        <v>26009.4</v>
      </c>
      <c r="F22" s="155">
        <v>25444.3</v>
      </c>
      <c r="G22" t="s">
        <v>301</v>
      </c>
      <c r="H22" s="160">
        <v>-8.6999999999999994E-3</v>
      </c>
      <c r="K22" s="156">
        <v>46061</v>
      </c>
      <c r="L22" s="155">
        <v>374.1</v>
      </c>
      <c r="M22" s="155">
        <v>367</v>
      </c>
      <c r="N22" s="155">
        <v>381.5</v>
      </c>
      <c r="O22" s="155">
        <v>365.1</v>
      </c>
      <c r="P22">
        <v>18.7</v>
      </c>
      <c r="Q22" s="160">
        <v>2.23E-2</v>
      </c>
      <c r="U22" t="s">
        <v>475</v>
      </c>
      <c r="V22">
        <v>0.60117530656070817</v>
      </c>
    </row>
    <row r="23" spans="2:26">
      <c r="B23" s="156">
        <v>46054</v>
      </c>
      <c r="C23" s="155">
        <v>25693.7</v>
      </c>
      <c r="D23" s="155">
        <v>25333.75</v>
      </c>
      <c r="E23" s="155">
        <v>26341.200000000001</v>
      </c>
      <c r="F23" s="155">
        <v>24571.75</v>
      </c>
      <c r="G23" t="s">
        <v>312</v>
      </c>
      <c r="H23" s="160">
        <v>1.47E-2</v>
      </c>
      <c r="K23" s="156">
        <v>46054</v>
      </c>
      <c r="L23" s="155">
        <v>365.95</v>
      </c>
      <c r="M23" s="155">
        <v>367.7</v>
      </c>
      <c r="N23" s="155">
        <v>372.25</v>
      </c>
      <c r="O23" s="155">
        <v>348.4</v>
      </c>
      <c r="P23">
        <v>22.76</v>
      </c>
      <c r="Q23" s="160">
        <v>-1E-3</v>
      </c>
      <c r="U23" t="s">
        <v>476</v>
      </c>
      <c r="V23">
        <v>0.36141174921836144</v>
      </c>
    </row>
    <row r="24" spans="2:26">
      <c r="B24" s="156">
        <v>46047</v>
      </c>
      <c r="C24" s="155">
        <v>25320.65</v>
      </c>
      <c r="D24" s="155">
        <v>25063.35</v>
      </c>
      <c r="E24" s="155">
        <v>25458.15</v>
      </c>
      <c r="F24" s="155">
        <v>24932.55</v>
      </c>
      <c r="G24" t="s">
        <v>313</v>
      </c>
      <c r="H24" s="160">
        <v>1.09E-2</v>
      </c>
      <c r="K24" s="156">
        <v>46047</v>
      </c>
      <c r="L24" s="155">
        <v>366.3</v>
      </c>
      <c r="M24" s="155">
        <v>345.7</v>
      </c>
      <c r="N24" s="155">
        <v>367.5</v>
      </c>
      <c r="O24" s="155">
        <v>342.5</v>
      </c>
      <c r="P24">
        <v>21.13</v>
      </c>
      <c r="Q24" s="160">
        <v>6.0999999999999999E-2</v>
      </c>
      <c r="U24" t="s">
        <v>477</v>
      </c>
      <c r="V24">
        <v>0.35515108009305124</v>
      </c>
    </row>
    <row r="25" spans="2:26">
      <c r="B25" s="156">
        <v>46040</v>
      </c>
      <c r="C25" s="155">
        <v>25048.65</v>
      </c>
      <c r="D25" s="155">
        <v>25653.1</v>
      </c>
      <c r="E25" s="155">
        <v>25653.3</v>
      </c>
      <c r="F25" s="155">
        <v>24919.8</v>
      </c>
      <c r="G25" t="s">
        <v>314</v>
      </c>
      <c r="H25" s="160">
        <v>-2.5100000000000001E-2</v>
      </c>
      <c r="K25" s="156">
        <v>46040</v>
      </c>
      <c r="L25" s="155">
        <v>345.25</v>
      </c>
      <c r="M25" s="155">
        <v>366.1</v>
      </c>
      <c r="N25" s="155">
        <v>368.7</v>
      </c>
      <c r="O25" s="155">
        <v>344.1</v>
      </c>
      <c r="P25">
        <v>16.05</v>
      </c>
      <c r="Q25" s="160">
        <v>-5.7000000000000002E-2</v>
      </c>
      <c r="U25" t="s">
        <v>478</v>
      </c>
      <c r="V25">
        <v>3.0878343361363761E-2</v>
      </c>
    </row>
    <row r="26" spans="2:26" ht="15.75" thickBot="1">
      <c r="B26" s="156">
        <v>46033</v>
      </c>
      <c r="C26" s="155">
        <v>25694.35</v>
      </c>
      <c r="D26" s="155">
        <v>25669.05</v>
      </c>
      <c r="E26" s="155">
        <v>25899.8</v>
      </c>
      <c r="F26" s="155">
        <v>25473.4</v>
      </c>
      <c r="G26" t="s">
        <v>315</v>
      </c>
      <c r="H26" s="160">
        <v>4.0000000000000002E-4</v>
      </c>
      <c r="K26" s="156">
        <v>46033</v>
      </c>
      <c r="L26" s="155">
        <v>366.1</v>
      </c>
      <c r="M26" s="155">
        <v>364.8</v>
      </c>
      <c r="N26" s="155">
        <v>372.35</v>
      </c>
      <c r="O26" s="155">
        <v>360.1</v>
      </c>
      <c r="P26">
        <v>15.64</v>
      </c>
      <c r="Q26" s="160">
        <v>3.5999999999999999E-3</v>
      </c>
      <c r="U26" s="164" t="s">
        <v>479</v>
      </c>
      <c r="V26" s="164">
        <v>104</v>
      </c>
    </row>
    <row r="27" spans="2:26">
      <c r="B27" s="156">
        <v>46026</v>
      </c>
      <c r="C27" s="155">
        <v>25683.3</v>
      </c>
      <c r="D27" s="155">
        <v>26333.7</v>
      </c>
      <c r="E27" s="155">
        <v>26373.200000000001</v>
      </c>
      <c r="F27" s="155">
        <v>25623</v>
      </c>
      <c r="G27" t="s">
        <v>316</v>
      </c>
      <c r="H27" s="160">
        <v>-2.4500000000000001E-2</v>
      </c>
      <c r="K27" s="156">
        <v>46026</v>
      </c>
      <c r="L27" s="155">
        <v>364.8</v>
      </c>
      <c r="M27" s="155">
        <v>392.5</v>
      </c>
      <c r="N27" s="155">
        <v>393</v>
      </c>
      <c r="O27" s="155">
        <v>362.95</v>
      </c>
      <c r="P27">
        <v>21.46</v>
      </c>
      <c r="Q27" s="160">
        <v>-7.1999999999999995E-2</v>
      </c>
    </row>
    <row r="28" spans="2:26" ht="15.75" thickBot="1">
      <c r="B28" s="156">
        <v>46019</v>
      </c>
      <c r="C28" s="155">
        <v>26328.55</v>
      </c>
      <c r="D28" s="155">
        <v>26063.35</v>
      </c>
      <c r="E28" s="155">
        <v>26340</v>
      </c>
      <c r="F28" s="155">
        <v>25878</v>
      </c>
      <c r="G28" t="s">
        <v>317</v>
      </c>
      <c r="H28" s="160">
        <v>1.0999999999999999E-2</v>
      </c>
      <c r="K28" s="156">
        <v>46019</v>
      </c>
      <c r="L28" s="155">
        <v>393.1</v>
      </c>
      <c r="M28" s="155">
        <v>379</v>
      </c>
      <c r="N28" s="155">
        <v>393.65</v>
      </c>
      <c r="O28" s="155">
        <v>372.7</v>
      </c>
      <c r="P28">
        <v>20.97</v>
      </c>
      <c r="Q28" s="160">
        <v>3.5700000000000003E-2</v>
      </c>
      <c r="U28" t="s">
        <v>480</v>
      </c>
    </row>
    <row r="29" spans="2:26">
      <c r="B29" s="156">
        <v>46012</v>
      </c>
      <c r="C29" s="155">
        <v>26042.3</v>
      </c>
      <c r="D29" s="155">
        <v>26055.85</v>
      </c>
      <c r="E29" s="155">
        <v>26236.400000000001</v>
      </c>
      <c r="F29" s="155">
        <v>26008.6</v>
      </c>
      <c r="G29" t="s">
        <v>318</v>
      </c>
      <c r="H29" s="160">
        <v>2.8999999999999998E-3</v>
      </c>
      <c r="K29" s="156">
        <v>46012</v>
      </c>
      <c r="L29" s="155">
        <v>379.55</v>
      </c>
      <c r="M29" s="155">
        <v>381</v>
      </c>
      <c r="N29" s="155">
        <v>383.7</v>
      </c>
      <c r="O29" s="155">
        <v>378.1</v>
      </c>
      <c r="P29">
        <v>13.29</v>
      </c>
      <c r="Q29" s="160">
        <v>-2.5999999999999999E-3</v>
      </c>
      <c r="U29" s="165"/>
      <c r="V29" s="165" t="s">
        <v>484</v>
      </c>
      <c r="W29" s="165" t="s">
        <v>485</v>
      </c>
      <c r="X29" s="165" t="s">
        <v>486</v>
      </c>
      <c r="Y29" s="165" t="s">
        <v>487</v>
      </c>
      <c r="Z29" s="165" t="s">
        <v>488</v>
      </c>
    </row>
    <row r="30" spans="2:26">
      <c r="B30" s="156">
        <v>46005</v>
      </c>
      <c r="C30" s="155">
        <v>25966.400000000001</v>
      </c>
      <c r="D30" s="155">
        <v>25930.05</v>
      </c>
      <c r="E30" s="155">
        <v>26047.15</v>
      </c>
      <c r="F30" s="155">
        <v>25726.3</v>
      </c>
      <c r="G30" t="s">
        <v>319</v>
      </c>
      <c r="H30" s="160">
        <v>-3.0999999999999999E-3</v>
      </c>
      <c r="K30" s="156">
        <v>46005</v>
      </c>
      <c r="L30" s="155">
        <v>380.55</v>
      </c>
      <c r="M30" s="155">
        <v>380</v>
      </c>
      <c r="N30" s="155">
        <v>383.3</v>
      </c>
      <c r="O30" s="155">
        <v>373</v>
      </c>
      <c r="P30">
        <v>15.42</v>
      </c>
      <c r="Q30" s="160">
        <v>-3.7000000000000002E-3</v>
      </c>
      <c r="U30" t="s">
        <v>481</v>
      </c>
      <c r="V30">
        <v>1</v>
      </c>
      <c r="W30">
        <v>5.5041403486749255E-2</v>
      </c>
      <c r="X30">
        <v>5.5041403486749255E-2</v>
      </c>
      <c r="Y30">
        <v>57.727335846143362</v>
      </c>
      <c r="Z30">
        <v>1.5022670689888606E-11</v>
      </c>
    </row>
    <row r="31" spans="2:26">
      <c r="B31" s="156">
        <v>45998</v>
      </c>
      <c r="C31" s="155">
        <v>26046.95</v>
      </c>
      <c r="D31" s="155">
        <v>26159.8</v>
      </c>
      <c r="E31" s="155">
        <v>26178.7</v>
      </c>
      <c r="F31" s="155">
        <v>25693.25</v>
      </c>
      <c r="G31" t="s">
        <v>319</v>
      </c>
      <c r="H31" s="160">
        <v>-5.3E-3</v>
      </c>
      <c r="K31" s="156">
        <v>45998</v>
      </c>
      <c r="L31" s="155">
        <v>381.95</v>
      </c>
      <c r="M31" s="155">
        <v>383.2</v>
      </c>
      <c r="N31" s="155">
        <v>385.25</v>
      </c>
      <c r="O31" s="155">
        <v>369.8</v>
      </c>
      <c r="P31">
        <v>25.51</v>
      </c>
      <c r="Q31" s="160">
        <v>-6.6E-3</v>
      </c>
      <c r="U31" t="s">
        <v>482</v>
      </c>
      <c r="V31">
        <v>102</v>
      </c>
      <c r="W31">
        <v>9.7254153051712297E-2</v>
      </c>
      <c r="X31">
        <v>9.5347208874227744E-4</v>
      </c>
    </row>
    <row r="32" spans="2:26" ht="15.75" thickBot="1">
      <c r="B32" s="156">
        <v>45991</v>
      </c>
      <c r="C32" s="155">
        <v>26186.45</v>
      </c>
      <c r="D32" s="155">
        <v>26325.8</v>
      </c>
      <c r="E32" s="155">
        <v>26325.8</v>
      </c>
      <c r="F32" s="155">
        <v>25891</v>
      </c>
      <c r="G32" t="s">
        <v>319</v>
      </c>
      <c r="H32" s="160">
        <v>-5.9999999999999995E-4</v>
      </c>
      <c r="K32" s="156">
        <v>45991</v>
      </c>
      <c r="L32" s="155">
        <v>384.5</v>
      </c>
      <c r="M32" s="155">
        <v>390.65</v>
      </c>
      <c r="N32" s="155">
        <v>393</v>
      </c>
      <c r="O32" s="155">
        <v>380.55</v>
      </c>
      <c r="P32">
        <v>19.73</v>
      </c>
      <c r="Q32" s="160">
        <v>-1.44E-2</v>
      </c>
      <c r="U32" s="164" t="s">
        <v>26</v>
      </c>
      <c r="V32" s="164">
        <v>103</v>
      </c>
      <c r="W32" s="164">
        <v>0.15229555653846155</v>
      </c>
      <c r="X32" s="164"/>
      <c r="Y32" s="164"/>
      <c r="Z32" s="164"/>
    </row>
    <row r="33" spans="2:29" ht="15.75" thickBot="1">
      <c r="B33" s="156">
        <v>45984</v>
      </c>
      <c r="C33" s="155">
        <v>26202.95</v>
      </c>
      <c r="D33" s="155">
        <v>26122.799999999999</v>
      </c>
      <c r="E33" s="155">
        <v>26310.45</v>
      </c>
      <c r="F33" s="155">
        <v>25842.95</v>
      </c>
      <c r="G33" t="s">
        <v>315</v>
      </c>
      <c r="H33" s="160">
        <v>5.1999999999999998E-3</v>
      </c>
      <c r="K33" s="156">
        <v>45984</v>
      </c>
      <c r="L33" s="155">
        <v>390.1</v>
      </c>
      <c r="M33" s="155">
        <v>390</v>
      </c>
      <c r="N33" s="155">
        <v>399.95</v>
      </c>
      <c r="O33" s="155">
        <v>379</v>
      </c>
      <c r="P33">
        <v>26.15</v>
      </c>
      <c r="Q33" s="160">
        <v>8.0000000000000002E-3</v>
      </c>
    </row>
    <row r="34" spans="2:29">
      <c r="B34" s="156">
        <v>45977</v>
      </c>
      <c r="C34" s="155">
        <v>26068.15</v>
      </c>
      <c r="D34" s="155">
        <v>25948.2</v>
      </c>
      <c r="E34" s="155">
        <v>26246.65</v>
      </c>
      <c r="F34" s="155">
        <v>25856.2</v>
      </c>
      <c r="G34" t="s">
        <v>320</v>
      </c>
      <c r="H34" s="160">
        <v>6.1000000000000004E-3</v>
      </c>
      <c r="K34" s="156">
        <v>45977</v>
      </c>
      <c r="L34" s="155">
        <v>387</v>
      </c>
      <c r="M34" s="155">
        <v>388.5</v>
      </c>
      <c r="N34" s="155">
        <v>394</v>
      </c>
      <c r="O34" s="155">
        <v>384.2</v>
      </c>
      <c r="P34">
        <v>21.96</v>
      </c>
      <c r="Q34" s="160">
        <v>-3.5999999999999999E-3</v>
      </c>
      <c r="U34" s="165"/>
      <c r="V34" s="165" t="s">
        <v>489</v>
      </c>
      <c r="W34" s="165" t="s">
        <v>478</v>
      </c>
      <c r="X34" s="165" t="s">
        <v>490</v>
      </c>
      <c r="Y34" s="165" t="s">
        <v>491</v>
      </c>
      <c r="Z34" s="165" t="s">
        <v>492</v>
      </c>
      <c r="AA34" s="165" t="s">
        <v>493</v>
      </c>
      <c r="AB34" s="165" t="s">
        <v>494</v>
      </c>
      <c r="AC34" s="165" t="s">
        <v>495</v>
      </c>
    </row>
    <row r="35" spans="2:29">
      <c r="B35" s="156">
        <v>45970</v>
      </c>
      <c r="C35" s="155">
        <v>25910.05</v>
      </c>
      <c r="D35" s="155">
        <v>25503.5</v>
      </c>
      <c r="E35" s="155">
        <v>26010.7</v>
      </c>
      <c r="F35" s="155">
        <v>25449.25</v>
      </c>
      <c r="G35" t="s">
        <v>321</v>
      </c>
      <c r="H35" s="160">
        <v>1.6400000000000001E-2</v>
      </c>
      <c r="K35" s="156">
        <v>45970</v>
      </c>
      <c r="L35" s="155">
        <v>388.4</v>
      </c>
      <c r="M35" s="155">
        <v>393.2</v>
      </c>
      <c r="N35" s="155">
        <v>397.9</v>
      </c>
      <c r="O35" s="155">
        <v>385</v>
      </c>
      <c r="P35">
        <v>24.91</v>
      </c>
      <c r="Q35" s="160">
        <v>-1.2200000000000001E-2</v>
      </c>
      <c r="U35" t="s">
        <v>483</v>
      </c>
      <c r="V35">
        <v>-5.6736425353263488E-4</v>
      </c>
      <c r="W35">
        <v>3.0285109637069344E-3</v>
      </c>
      <c r="X35">
        <v>-0.18734099375297428</v>
      </c>
      <c r="Y35">
        <v>0.85176543532386528</v>
      </c>
      <c r="Z35">
        <v>-6.5744013905510408E-3</v>
      </c>
      <c r="AA35">
        <v>5.4396728834857711E-3</v>
      </c>
      <c r="AB35">
        <v>-6.5744013905510408E-3</v>
      </c>
      <c r="AC35">
        <v>5.4396728834857711E-3</v>
      </c>
    </row>
    <row r="36" spans="2:29" ht="15.75" thickBot="1">
      <c r="B36" s="156">
        <v>45963</v>
      </c>
      <c r="C36" s="155">
        <v>25492.3</v>
      </c>
      <c r="D36" s="155">
        <v>25696.85</v>
      </c>
      <c r="E36" s="155">
        <v>25803.1</v>
      </c>
      <c r="F36" s="155">
        <v>25318.45</v>
      </c>
      <c r="G36" t="s">
        <v>322</v>
      </c>
      <c r="H36" s="160">
        <v>-8.8999999999999999E-3</v>
      </c>
      <c r="K36" s="156">
        <v>45963</v>
      </c>
      <c r="L36" s="155">
        <v>393.2</v>
      </c>
      <c r="M36" s="155">
        <v>403.85</v>
      </c>
      <c r="N36" s="155">
        <v>409.5</v>
      </c>
      <c r="O36" s="155">
        <v>386</v>
      </c>
      <c r="P36">
        <v>20</v>
      </c>
      <c r="Q36" s="160">
        <v>-2.8899999999999999E-2</v>
      </c>
      <c r="U36" s="164" t="s">
        <v>496</v>
      </c>
      <c r="V36" s="164">
        <v>1.2649327086733677</v>
      </c>
      <c r="W36" s="164">
        <v>0.16648559601808718</v>
      </c>
      <c r="X36" s="164">
        <v>7.5978507386065042</v>
      </c>
      <c r="Y36" s="164">
        <v>1.5022670689888438E-11</v>
      </c>
      <c r="Z36" s="164">
        <v>0.9347093183524765</v>
      </c>
      <c r="AA36" s="164">
        <v>1.5951560989942588</v>
      </c>
      <c r="AB36" s="164">
        <v>0.9347093183524765</v>
      </c>
      <c r="AC36" s="164">
        <v>1.5951560989942588</v>
      </c>
    </row>
    <row r="37" spans="2:29">
      <c r="B37" s="156">
        <v>45956</v>
      </c>
      <c r="C37" s="155">
        <v>25722.1</v>
      </c>
      <c r="D37" s="155">
        <v>25843.200000000001</v>
      </c>
      <c r="E37" s="155">
        <v>26097.85</v>
      </c>
      <c r="F37" s="155">
        <v>25711.200000000001</v>
      </c>
      <c r="G37" t="s">
        <v>323</v>
      </c>
      <c r="H37" s="160">
        <v>-2.8E-3</v>
      </c>
      <c r="K37" s="156">
        <v>45956</v>
      </c>
      <c r="L37" s="155">
        <v>404.9</v>
      </c>
      <c r="M37" s="155">
        <v>396.9</v>
      </c>
      <c r="N37" s="155">
        <v>413.25</v>
      </c>
      <c r="O37" s="155">
        <v>395.65</v>
      </c>
      <c r="P37">
        <v>26.55</v>
      </c>
      <c r="Q37" s="160">
        <v>2.0299999999999999E-2</v>
      </c>
    </row>
    <row r="38" spans="2:29">
      <c r="B38" s="156">
        <v>45949</v>
      </c>
      <c r="C38" s="155">
        <v>25795.15</v>
      </c>
      <c r="D38" s="155">
        <v>25824.6</v>
      </c>
      <c r="E38" s="155">
        <v>26104.2</v>
      </c>
      <c r="F38" s="155">
        <v>25718.2</v>
      </c>
      <c r="G38" t="s">
        <v>324</v>
      </c>
      <c r="H38" s="160">
        <v>3.3E-3</v>
      </c>
      <c r="K38" s="156">
        <v>45949</v>
      </c>
      <c r="L38" s="155">
        <v>396.85</v>
      </c>
      <c r="M38" s="155">
        <v>398.3</v>
      </c>
      <c r="N38" s="155">
        <v>403.85</v>
      </c>
      <c r="O38" s="155">
        <v>394</v>
      </c>
      <c r="P38">
        <v>15.11</v>
      </c>
      <c r="Q38" s="160">
        <v>-2.3999999999999998E-3</v>
      </c>
    </row>
    <row r="39" spans="2:29">
      <c r="B39" s="156">
        <v>45942</v>
      </c>
      <c r="C39" s="155">
        <v>25709.85</v>
      </c>
      <c r="D39" s="155">
        <v>25177.3</v>
      </c>
      <c r="E39" s="155">
        <v>25781.5</v>
      </c>
      <c r="F39" s="155">
        <v>25060.55</v>
      </c>
      <c r="G39" t="s">
        <v>325</v>
      </c>
      <c r="H39" s="160">
        <v>1.6799999999999999E-2</v>
      </c>
      <c r="K39" s="156">
        <v>45942</v>
      </c>
      <c r="L39" s="155">
        <v>397.8</v>
      </c>
      <c r="M39" s="155">
        <v>388</v>
      </c>
      <c r="N39" s="155">
        <v>402.8</v>
      </c>
      <c r="O39" s="155">
        <v>385.25</v>
      </c>
      <c r="P39">
        <v>24.54</v>
      </c>
      <c r="Q39" s="160">
        <v>1.9699999999999999E-2</v>
      </c>
    </row>
    <row r="40" spans="2:29">
      <c r="B40" s="156">
        <v>45935</v>
      </c>
      <c r="C40" s="155">
        <v>25285.35</v>
      </c>
      <c r="D40" s="155">
        <v>24916.55</v>
      </c>
      <c r="E40" s="155">
        <v>25330.75</v>
      </c>
      <c r="F40" s="155">
        <v>24881.65</v>
      </c>
      <c r="G40" t="s">
        <v>326</v>
      </c>
      <c r="H40" s="160">
        <v>1.5699999999999999E-2</v>
      </c>
      <c r="K40" s="156">
        <v>45935</v>
      </c>
      <c r="L40" s="155">
        <v>390.1</v>
      </c>
      <c r="M40" s="155">
        <v>394.9</v>
      </c>
      <c r="N40" s="155">
        <v>397.5</v>
      </c>
      <c r="O40" s="155">
        <v>381.5</v>
      </c>
      <c r="P40">
        <v>27.89</v>
      </c>
      <c r="Q40" s="160">
        <v>-1.2200000000000001E-2</v>
      </c>
    </row>
    <row r="41" spans="2:29">
      <c r="B41" s="156">
        <v>45928</v>
      </c>
      <c r="C41" s="155">
        <v>24894.25</v>
      </c>
      <c r="D41" s="155">
        <v>24728.55</v>
      </c>
      <c r="E41" s="155">
        <v>24904.799999999999</v>
      </c>
      <c r="F41" s="155">
        <v>24587.7</v>
      </c>
      <c r="G41" t="s">
        <v>327</v>
      </c>
      <c r="H41" s="160">
        <v>9.7000000000000003E-3</v>
      </c>
      <c r="K41" s="156">
        <v>45928</v>
      </c>
      <c r="L41" s="155">
        <v>394.9</v>
      </c>
      <c r="M41" s="155">
        <v>384.25</v>
      </c>
      <c r="N41" s="155">
        <v>395.5</v>
      </c>
      <c r="O41" s="155">
        <v>383.25</v>
      </c>
      <c r="P41">
        <v>13.68</v>
      </c>
      <c r="Q41" s="160">
        <v>2.8899999999999999E-2</v>
      </c>
    </row>
    <row r="42" spans="2:29">
      <c r="B42" s="156">
        <v>45921</v>
      </c>
      <c r="C42" s="155">
        <v>24654.7</v>
      </c>
      <c r="D42" s="155">
        <v>25238.1</v>
      </c>
      <c r="E42" s="155">
        <v>25331.7</v>
      </c>
      <c r="F42" s="155">
        <v>24629.45</v>
      </c>
      <c r="G42" t="s">
        <v>328</v>
      </c>
      <c r="H42" s="160">
        <v>-2.6499999999999999E-2</v>
      </c>
      <c r="K42" s="156">
        <v>45921</v>
      </c>
      <c r="L42" s="155">
        <v>383.8</v>
      </c>
      <c r="M42" s="155">
        <v>396</v>
      </c>
      <c r="N42" s="155">
        <v>399.9</v>
      </c>
      <c r="O42" s="155">
        <v>382.2</v>
      </c>
      <c r="P42">
        <v>17.12</v>
      </c>
      <c r="Q42" s="160">
        <v>-3.15E-2</v>
      </c>
    </row>
    <row r="43" spans="2:29">
      <c r="B43" s="156">
        <v>45914</v>
      </c>
      <c r="C43" s="155">
        <v>25327.05</v>
      </c>
      <c r="D43" s="155">
        <v>25118.9</v>
      </c>
      <c r="E43" s="155">
        <v>25448.95</v>
      </c>
      <c r="F43" s="155">
        <v>25048.75</v>
      </c>
      <c r="G43" t="s">
        <v>329</v>
      </c>
      <c r="H43" s="160">
        <v>8.5000000000000006E-3</v>
      </c>
      <c r="K43" s="156">
        <v>45914</v>
      </c>
      <c r="L43" s="155">
        <v>396.3</v>
      </c>
      <c r="M43" s="155">
        <v>386</v>
      </c>
      <c r="N43" s="155">
        <v>399.8</v>
      </c>
      <c r="O43" s="155">
        <v>385.5</v>
      </c>
      <c r="P43">
        <v>27.58</v>
      </c>
      <c r="Q43" s="160">
        <v>2.5999999999999999E-2</v>
      </c>
    </row>
    <row r="44" spans="2:29">
      <c r="B44" s="156">
        <v>45907</v>
      </c>
      <c r="C44" s="155">
        <v>25114</v>
      </c>
      <c r="D44" s="155">
        <v>24802.6</v>
      </c>
      <c r="E44" s="155">
        <v>25139.45</v>
      </c>
      <c r="F44" s="155">
        <v>24751.55</v>
      </c>
      <c r="G44" t="s">
        <v>330</v>
      </c>
      <c r="H44" s="160">
        <v>1.5100000000000001E-2</v>
      </c>
      <c r="K44" s="156">
        <v>45907</v>
      </c>
      <c r="L44" s="155">
        <v>386.25</v>
      </c>
      <c r="M44" s="155">
        <v>385.8</v>
      </c>
      <c r="N44" s="155">
        <v>390.95</v>
      </c>
      <c r="O44" s="155">
        <v>381.15</v>
      </c>
      <c r="P44">
        <v>16.829999999999998</v>
      </c>
      <c r="Q44" s="160">
        <v>1.1999999999999999E-3</v>
      </c>
    </row>
    <row r="45" spans="2:29">
      <c r="B45" s="156">
        <v>45900</v>
      </c>
      <c r="C45" s="155">
        <v>24741</v>
      </c>
      <c r="D45" s="155">
        <v>24432.7</v>
      </c>
      <c r="E45" s="155">
        <v>24980.75</v>
      </c>
      <c r="F45" s="155">
        <v>24432.7</v>
      </c>
      <c r="G45" t="s">
        <v>327</v>
      </c>
      <c r="H45" s="160">
        <v>1.29E-2</v>
      </c>
      <c r="K45" s="156">
        <v>45900</v>
      </c>
      <c r="L45" s="155">
        <v>385.8</v>
      </c>
      <c r="M45" s="155">
        <v>374.15</v>
      </c>
      <c r="N45" s="155">
        <v>392</v>
      </c>
      <c r="O45" s="155">
        <v>374.15</v>
      </c>
      <c r="P45">
        <v>15.63</v>
      </c>
      <c r="Q45" s="160">
        <v>3.1099999999999999E-2</v>
      </c>
    </row>
    <row r="46" spans="2:29">
      <c r="B46" s="156">
        <v>45893</v>
      </c>
      <c r="C46" s="155">
        <v>24426.85</v>
      </c>
      <c r="D46" s="155">
        <v>24949.15</v>
      </c>
      <c r="E46" s="155">
        <v>25021.55</v>
      </c>
      <c r="F46" s="155">
        <v>24404.7</v>
      </c>
      <c r="G46" t="s">
        <v>331</v>
      </c>
      <c r="H46" s="160">
        <v>-1.78E-2</v>
      </c>
      <c r="K46" s="156">
        <v>45893</v>
      </c>
      <c r="L46" s="155">
        <v>374.15</v>
      </c>
      <c r="M46" s="155">
        <v>386.05</v>
      </c>
      <c r="N46" s="155">
        <v>388.4</v>
      </c>
      <c r="O46" s="155">
        <v>368.5</v>
      </c>
      <c r="P46">
        <v>21.28</v>
      </c>
      <c r="Q46" s="160">
        <v>-2.9700000000000001E-2</v>
      </c>
    </row>
    <row r="47" spans="2:29">
      <c r="B47" s="156">
        <v>45886</v>
      </c>
      <c r="C47" s="155">
        <v>24870.1</v>
      </c>
      <c r="D47" s="155">
        <v>24938.2</v>
      </c>
      <c r="E47" s="155">
        <v>25153.65</v>
      </c>
      <c r="F47" s="155">
        <v>24852.85</v>
      </c>
      <c r="G47" t="s">
        <v>332</v>
      </c>
      <c r="H47" s="160">
        <v>9.7000000000000003E-3</v>
      </c>
      <c r="K47" s="156">
        <v>45886</v>
      </c>
      <c r="L47" s="155">
        <v>385.6</v>
      </c>
      <c r="M47" s="155">
        <v>389</v>
      </c>
      <c r="N47" s="155">
        <v>392.45</v>
      </c>
      <c r="O47" s="155">
        <v>384.7</v>
      </c>
      <c r="P47">
        <v>14.4</v>
      </c>
      <c r="Q47" s="160">
        <v>8.0000000000000004E-4</v>
      </c>
    </row>
    <row r="48" spans="2:29">
      <c r="B48" s="156">
        <v>45879</v>
      </c>
      <c r="C48" s="155">
        <v>24631.3</v>
      </c>
      <c r="D48" s="155">
        <v>24371.5</v>
      </c>
      <c r="E48" s="155">
        <v>24702.6</v>
      </c>
      <c r="F48" s="155">
        <v>24347.45</v>
      </c>
      <c r="G48" t="s">
        <v>333</v>
      </c>
      <c r="H48" s="160">
        <v>1.0999999999999999E-2</v>
      </c>
      <c r="K48" s="156">
        <v>45879</v>
      </c>
      <c r="L48" s="155">
        <v>385.3</v>
      </c>
      <c r="M48" s="155">
        <v>380</v>
      </c>
      <c r="N48" s="155">
        <v>388.95</v>
      </c>
      <c r="O48" s="155">
        <v>377.5</v>
      </c>
      <c r="P48">
        <v>12.32</v>
      </c>
      <c r="Q48" s="160">
        <v>1.72E-2</v>
      </c>
    </row>
    <row r="49" spans="2:17">
      <c r="B49" s="156">
        <v>45872</v>
      </c>
      <c r="C49" s="155">
        <v>24363.3</v>
      </c>
      <c r="D49" s="155">
        <v>24596.05</v>
      </c>
      <c r="E49" s="155">
        <v>24736.25</v>
      </c>
      <c r="F49" s="155">
        <v>24337.5</v>
      </c>
      <c r="G49" t="s">
        <v>334</v>
      </c>
      <c r="H49" s="160">
        <v>-8.2000000000000007E-3</v>
      </c>
      <c r="K49" s="156">
        <v>45872</v>
      </c>
      <c r="L49" s="155">
        <v>378.8</v>
      </c>
      <c r="M49" s="155">
        <v>390</v>
      </c>
      <c r="N49" s="155">
        <v>391.65</v>
      </c>
      <c r="O49" s="155">
        <v>376</v>
      </c>
      <c r="P49">
        <v>34.56</v>
      </c>
      <c r="Q49" s="160">
        <v>-2.7E-2</v>
      </c>
    </row>
    <row r="50" spans="2:17">
      <c r="B50" s="156">
        <v>45865</v>
      </c>
      <c r="C50" s="155">
        <v>24565.35</v>
      </c>
      <c r="D50" s="155">
        <v>24782.45</v>
      </c>
      <c r="E50" s="155">
        <v>24956.5</v>
      </c>
      <c r="F50" s="155">
        <v>24535.05</v>
      </c>
      <c r="G50" t="s">
        <v>335</v>
      </c>
      <c r="H50" s="160">
        <v>-1.09E-2</v>
      </c>
      <c r="K50" s="156">
        <v>45865</v>
      </c>
      <c r="L50" s="155">
        <v>389.3</v>
      </c>
      <c r="M50" s="155">
        <v>394.1</v>
      </c>
      <c r="N50" s="155">
        <v>403.8</v>
      </c>
      <c r="O50" s="155">
        <v>388.2</v>
      </c>
      <c r="P50">
        <v>27.79</v>
      </c>
      <c r="Q50" s="160">
        <v>-1.5299999999999999E-2</v>
      </c>
    </row>
    <row r="51" spans="2:17">
      <c r="B51" s="156">
        <v>45858</v>
      </c>
      <c r="C51" s="155">
        <v>24837</v>
      </c>
      <c r="D51" s="155">
        <v>24999</v>
      </c>
      <c r="E51" s="155">
        <v>25246.25</v>
      </c>
      <c r="F51" s="155">
        <v>24806.35</v>
      </c>
      <c r="G51" t="s">
        <v>336</v>
      </c>
      <c r="H51" s="160">
        <v>-5.3E-3</v>
      </c>
      <c r="K51" s="156">
        <v>45858</v>
      </c>
      <c r="L51" s="155">
        <v>395.35</v>
      </c>
      <c r="M51" s="155">
        <v>404</v>
      </c>
      <c r="N51" s="155">
        <v>405</v>
      </c>
      <c r="O51" s="155">
        <v>394.3</v>
      </c>
      <c r="P51">
        <v>24.66</v>
      </c>
      <c r="Q51" s="160">
        <v>-3.0800000000000001E-2</v>
      </c>
    </row>
    <row r="52" spans="2:17">
      <c r="B52" s="156">
        <v>45851</v>
      </c>
      <c r="C52" s="155">
        <v>24968.400000000001</v>
      </c>
      <c r="D52" s="155">
        <v>25149.5</v>
      </c>
      <c r="E52" s="155">
        <v>25255.3</v>
      </c>
      <c r="F52" s="155">
        <v>24918.65</v>
      </c>
      <c r="G52" t="s">
        <v>320</v>
      </c>
      <c r="H52" s="160">
        <v>-7.1999999999999998E-3</v>
      </c>
      <c r="K52" s="156">
        <v>45851</v>
      </c>
      <c r="L52" s="155">
        <v>407.9</v>
      </c>
      <c r="M52" s="155">
        <v>396.85</v>
      </c>
      <c r="N52" s="155">
        <v>416.75</v>
      </c>
      <c r="O52" s="155">
        <v>395.5</v>
      </c>
      <c r="P52">
        <v>32.82</v>
      </c>
      <c r="Q52" s="160">
        <v>2.7799999999999998E-2</v>
      </c>
    </row>
    <row r="53" spans="2:17">
      <c r="B53" s="156">
        <v>45844</v>
      </c>
      <c r="C53" s="155">
        <v>25149.85</v>
      </c>
      <c r="D53" s="155">
        <v>25450.45</v>
      </c>
      <c r="E53" s="155">
        <v>25548.7</v>
      </c>
      <c r="F53" s="155">
        <v>25129</v>
      </c>
      <c r="G53" t="s">
        <v>337</v>
      </c>
      <c r="H53" s="160">
        <v>-1.2200000000000001E-2</v>
      </c>
      <c r="K53" s="156">
        <v>45844</v>
      </c>
      <c r="L53" s="155">
        <v>396.85</v>
      </c>
      <c r="M53" s="155">
        <v>401</v>
      </c>
      <c r="N53" s="155">
        <v>406.65</v>
      </c>
      <c r="O53" s="155">
        <v>395.4</v>
      </c>
      <c r="P53">
        <v>27.28</v>
      </c>
      <c r="Q53" s="160">
        <v>-1.03E-2</v>
      </c>
    </row>
    <row r="54" spans="2:17">
      <c r="B54" s="156">
        <v>45837</v>
      </c>
      <c r="C54" s="155">
        <v>25461</v>
      </c>
      <c r="D54" s="155">
        <v>25661.65</v>
      </c>
      <c r="E54" s="155">
        <v>25669.35</v>
      </c>
      <c r="F54" s="155">
        <v>25331.65</v>
      </c>
      <c r="G54" t="s">
        <v>338</v>
      </c>
      <c r="H54" s="160">
        <v>-6.8999999999999999E-3</v>
      </c>
      <c r="K54" s="156">
        <v>45837</v>
      </c>
      <c r="L54" s="155">
        <v>401</v>
      </c>
      <c r="M54" s="155">
        <v>408.85</v>
      </c>
      <c r="N54" s="155">
        <v>410.9</v>
      </c>
      <c r="O54" s="155">
        <v>396.6</v>
      </c>
      <c r="P54">
        <v>23.8</v>
      </c>
      <c r="Q54" s="160">
        <v>-1.9199999999999998E-2</v>
      </c>
    </row>
    <row r="55" spans="2:17">
      <c r="B55" s="156">
        <v>45830</v>
      </c>
      <c r="C55" s="155">
        <v>25637.8</v>
      </c>
      <c r="D55" s="155">
        <v>24939.75</v>
      </c>
      <c r="E55" s="155">
        <v>25654.2</v>
      </c>
      <c r="F55" s="155">
        <v>24824.85</v>
      </c>
      <c r="G55" t="s">
        <v>339</v>
      </c>
      <c r="H55" s="160">
        <v>2.0899999999999998E-2</v>
      </c>
      <c r="K55" s="156">
        <v>45830</v>
      </c>
      <c r="L55" s="155">
        <v>408.85</v>
      </c>
      <c r="M55" s="155">
        <v>385</v>
      </c>
      <c r="N55" s="155">
        <v>411.5</v>
      </c>
      <c r="O55" s="155">
        <v>384.55</v>
      </c>
      <c r="P55">
        <v>28.13</v>
      </c>
      <c r="Q55" s="160">
        <v>4.8099999999999997E-2</v>
      </c>
    </row>
    <row r="56" spans="2:17">
      <c r="B56" s="156">
        <v>45823</v>
      </c>
      <c r="C56" s="155">
        <v>25112.400000000001</v>
      </c>
      <c r="D56" s="155">
        <v>24732.35</v>
      </c>
      <c r="E56" s="155">
        <v>25136.2</v>
      </c>
      <c r="F56" s="155">
        <v>24703.599999999999</v>
      </c>
      <c r="G56" t="s">
        <v>340</v>
      </c>
      <c r="H56" s="160">
        <v>1.5900000000000001E-2</v>
      </c>
      <c r="K56" s="156">
        <v>45823</v>
      </c>
      <c r="L56" s="155">
        <v>390.1</v>
      </c>
      <c r="M56" s="155">
        <v>397</v>
      </c>
      <c r="N56" s="155">
        <v>402.2</v>
      </c>
      <c r="O56" s="155">
        <v>381.6</v>
      </c>
      <c r="P56">
        <v>29.58</v>
      </c>
      <c r="Q56" s="160">
        <v>-1.7899999999999999E-2</v>
      </c>
    </row>
    <row r="57" spans="2:17">
      <c r="B57" s="156">
        <v>45816</v>
      </c>
      <c r="C57" s="155">
        <v>24718.6</v>
      </c>
      <c r="D57" s="155">
        <v>25160.1</v>
      </c>
      <c r="E57" s="155">
        <v>25222.400000000001</v>
      </c>
      <c r="F57" s="155">
        <v>24473</v>
      </c>
      <c r="G57" t="s">
        <v>341</v>
      </c>
      <c r="H57" s="160">
        <v>-1.14E-2</v>
      </c>
      <c r="K57" s="156">
        <v>45816</v>
      </c>
      <c r="L57" s="155">
        <v>397.2</v>
      </c>
      <c r="M57" s="155">
        <v>400.4</v>
      </c>
      <c r="N57" s="155">
        <v>416.8</v>
      </c>
      <c r="O57" s="155">
        <v>393.75</v>
      </c>
      <c r="P57">
        <v>32.94</v>
      </c>
      <c r="Q57" s="160">
        <v>-5.8999999999999999E-3</v>
      </c>
    </row>
    <row r="58" spans="2:17">
      <c r="B58" s="156">
        <v>45809</v>
      </c>
      <c r="C58" s="155">
        <v>25003.05</v>
      </c>
      <c r="D58" s="155">
        <v>24669.7</v>
      </c>
      <c r="E58" s="155">
        <v>25029.5</v>
      </c>
      <c r="F58" s="155">
        <v>24502.15</v>
      </c>
      <c r="G58" t="s">
        <v>334</v>
      </c>
      <c r="H58" s="160">
        <v>1.0200000000000001E-2</v>
      </c>
      <c r="K58" s="156">
        <v>45809</v>
      </c>
      <c r="L58" s="155">
        <v>399.55</v>
      </c>
      <c r="M58" s="155">
        <v>392.8</v>
      </c>
      <c r="N58" s="155">
        <v>400.8</v>
      </c>
      <c r="O58" s="155">
        <v>389.05</v>
      </c>
      <c r="P58">
        <v>27.3</v>
      </c>
      <c r="Q58" s="160">
        <v>1.72E-2</v>
      </c>
    </row>
    <row r="59" spans="2:17">
      <c r="B59" s="156">
        <v>45802</v>
      </c>
      <c r="C59" s="155">
        <v>24750.7</v>
      </c>
      <c r="D59" s="155">
        <v>24919.35</v>
      </c>
      <c r="E59" s="155">
        <v>25079.200000000001</v>
      </c>
      <c r="F59" s="155">
        <v>24677.3</v>
      </c>
      <c r="G59" t="s">
        <v>342</v>
      </c>
      <c r="H59" s="160">
        <v>-4.1000000000000003E-3</v>
      </c>
      <c r="K59" s="156">
        <v>45802</v>
      </c>
      <c r="L59" s="155">
        <v>392.8</v>
      </c>
      <c r="M59" s="155">
        <v>402.25</v>
      </c>
      <c r="N59" s="155">
        <v>406</v>
      </c>
      <c r="O59" s="155">
        <v>391.05</v>
      </c>
      <c r="P59">
        <v>25.4</v>
      </c>
      <c r="Q59" s="160">
        <v>-2.3E-2</v>
      </c>
    </row>
    <row r="60" spans="2:17">
      <c r="B60" s="156">
        <v>45795</v>
      </c>
      <c r="C60" s="155">
        <v>24853.15</v>
      </c>
      <c r="D60" s="155">
        <v>25005.35</v>
      </c>
      <c r="E60" s="155">
        <v>25062.95</v>
      </c>
      <c r="F60" s="155">
        <v>24462.400000000001</v>
      </c>
      <c r="G60" t="s">
        <v>336</v>
      </c>
      <c r="H60" s="160">
        <v>-6.7000000000000002E-3</v>
      </c>
      <c r="K60" s="156">
        <v>45795</v>
      </c>
      <c r="L60" s="155">
        <v>402.05</v>
      </c>
      <c r="M60" s="155">
        <v>407.8</v>
      </c>
      <c r="N60" s="155">
        <v>411.95</v>
      </c>
      <c r="O60" s="155">
        <v>389.5</v>
      </c>
      <c r="P60">
        <v>26.85</v>
      </c>
      <c r="Q60" s="160">
        <v>-9.1999999999999998E-3</v>
      </c>
    </row>
    <row r="61" spans="2:17">
      <c r="B61" s="156">
        <v>45788</v>
      </c>
      <c r="C61" s="155">
        <v>25019.8</v>
      </c>
      <c r="D61" s="155">
        <v>24420.1</v>
      </c>
      <c r="E61" s="155">
        <v>25116.25</v>
      </c>
      <c r="F61" s="155">
        <v>24378.85</v>
      </c>
      <c r="G61" t="s">
        <v>343</v>
      </c>
      <c r="H61" s="160">
        <v>4.2099999999999999E-2</v>
      </c>
      <c r="K61" s="156">
        <v>45788</v>
      </c>
      <c r="L61" s="155">
        <v>405.8</v>
      </c>
      <c r="M61" s="155">
        <v>382</v>
      </c>
      <c r="N61" s="155">
        <v>409.8</v>
      </c>
      <c r="O61" s="155">
        <v>378.5</v>
      </c>
      <c r="P61">
        <v>55.6</v>
      </c>
      <c r="Q61" s="160">
        <v>9.3799999999999994E-2</v>
      </c>
    </row>
    <row r="62" spans="2:17">
      <c r="B62" s="156">
        <v>45781</v>
      </c>
      <c r="C62" s="155">
        <v>24008</v>
      </c>
      <c r="D62" s="155">
        <v>24419.5</v>
      </c>
      <c r="E62" s="155">
        <v>24526.400000000001</v>
      </c>
      <c r="F62" s="155">
        <v>23935.75</v>
      </c>
      <c r="G62" t="s">
        <v>334</v>
      </c>
      <c r="H62" s="160">
        <v>-1.3899999999999999E-2</v>
      </c>
      <c r="K62" s="156">
        <v>45781</v>
      </c>
      <c r="L62" s="155">
        <v>371</v>
      </c>
      <c r="M62" s="155">
        <v>382</v>
      </c>
      <c r="N62" s="155">
        <v>389.9</v>
      </c>
      <c r="O62" s="155">
        <v>357.25</v>
      </c>
      <c r="P62">
        <v>31.61</v>
      </c>
      <c r="Q62" s="160">
        <v>-2.8199999999999999E-2</v>
      </c>
    </row>
    <row r="63" spans="2:17">
      <c r="B63" s="156">
        <v>45774</v>
      </c>
      <c r="C63" s="155">
        <v>24346.7</v>
      </c>
      <c r="D63" s="155">
        <v>24070.25</v>
      </c>
      <c r="E63" s="155">
        <v>24589.15</v>
      </c>
      <c r="F63" s="155">
        <v>24054.05</v>
      </c>
      <c r="G63" t="s">
        <v>311</v>
      </c>
      <c r="H63" s="160">
        <v>1.2800000000000001E-2</v>
      </c>
      <c r="K63" s="156">
        <v>45774</v>
      </c>
      <c r="L63" s="155">
        <v>381.75</v>
      </c>
      <c r="M63" s="155">
        <v>386.15</v>
      </c>
      <c r="N63" s="155">
        <v>403.3</v>
      </c>
      <c r="O63" s="155">
        <v>380.65</v>
      </c>
      <c r="P63">
        <v>30.36</v>
      </c>
      <c r="Q63" s="160">
        <v>-1.5100000000000001E-2</v>
      </c>
    </row>
    <row r="64" spans="2:17">
      <c r="B64" s="156">
        <v>45767</v>
      </c>
      <c r="C64" s="155">
        <v>24039.35</v>
      </c>
      <c r="D64" s="155">
        <v>23949.15</v>
      </c>
      <c r="E64" s="155">
        <v>24365.45</v>
      </c>
      <c r="F64" s="155">
        <v>23847.85</v>
      </c>
      <c r="G64" t="s">
        <v>310</v>
      </c>
      <c r="H64" s="160">
        <v>7.9000000000000008E-3</v>
      </c>
      <c r="K64" s="156">
        <v>45767</v>
      </c>
      <c r="L64" s="155">
        <v>387.6</v>
      </c>
      <c r="M64" s="155">
        <v>383.1</v>
      </c>
      <c r="N64" s="155">
        <v>402.5</v>
      </c>
      <c r="O64" s="155">
        <v>382</v>
      </c>
      <c r="P64">
        <v>43.09</v>
      </c>
      <c r="Q64" s="160">
        <v>1.55E-2</v>
      </c>
    </row>
    <row r="65" spans="2:17">
      <c r="B65" s="156">
        <v>45760</v>
      </c>
      <c r="C65" s="155">
        <v>23851.65</v>
      </c>
      <c r="D65" s="155">
        <v>23368.35</v>
      </c>
      <c r="E65" s="155">
        <v>23872.35</v>
      </c>
      <c r="F65" s="155">
        <v>23207</v>
      </c>
      <c r="G65" t="s">
        <v>344</v>
      </c>
      <c r="H65" s="160">
        <v>4.48E-2</v>
      </c>
      <c r="K65" s="156">
        <v>45760</v>
      </c>
      <c r="L65" s="155">
        <v>381.7</v>
      </c>
      <c r="M65" s="155">
        <v>375</v>
      </c>
      <c r="N65" s="155">
        <v>384.35</v>
      </c>
      <c r="O65" s="155">
        <v>372.3</v>
      </c>
      <c r="P65">
        <v>19.260000000000002</v>
      </c>
      <c r="Q65" s="160">
        <v>4.7300000000000002E-2</v>
      </c>
    </row>
    <row r="66" spans="2:17">
      <c r="B66" s="156">
        <v>45753</v>
      </c>
      <c r="C66" s="155">
        <v>22828.55</v>
      </c>
      <c r="D66" s="155">
        <v>21758.400000000001</v>
      </c>
      <c r="E66" s="155">
        <v>22923.9</v>
      </c>
      <c r="F66" s="155">
        <v>21743.65</v>
      </c>
      <c r="G66" t="s">
        <v>345</v>
      </c>
      <c r="H66" s="160">
        <v>-3.3E-3</v>
      </c>
      <c r="K66" s="156">
        <v>45753</v>
      </c>
      <c r="L66" s="155">
        <v>364.45</v>
      </c>
      <c r="M66" s="155">
        <v>337</v>
      </c>
      <c r="N66" s="155">
        <v>370.7</v>
      </c>
      <c r="O66" s="155">
        <v>335</v>
      </c>
      <c r="P66">
        <v>25.75</v>
      </c>
      <c r="Q66" s="160">
        <v>-1.2200000000000001E-2</v>
      </c>
    </row>
    <row r="67" spans="2:17">
      <c r="B67" s="156">
        <v>45746</v>
      </c>
      <c r="C67" s="155">
        <v>22904.45</v>
      </c>
      <c r="D67" s="155">
        <v>23341.1</v>
      </c>
      <c r="E67" s="155">
        <v>23565.15</v>
      </c>
      <c r="F67" s="155">
        <v>22857.45</v>
      </c>
      <c r="G67" t="s">
        <v>346</v>
      </c>
      <c r="H67" s="160">
        <v>-2.6100000000000002E-2</v>
      </c>
      <c r="K67" s="156">
        <v>45746</v>
      </c>
      <c r="L67" s="155">
        <v>368.95</v>
      </c>
      <c r="M67" s="155">
        <v>372.45</v>
      </c>
      <c r="N67" s="155">
        <v>388.2</v>
      </c>
      <c r="O67" s="155">
        <v>367.1</v>
      </c>
      <c r="P67">
        <v>20.89</v>
      </c>
      <c r="Q67" s="160">
        <v>-1.72E-2</v>
      </c>
    </row>
    <row r="68" spans="2:17">
      <c r="B68" s="156">
        <v>45739</v>
      </c>
      <c r="C68" s="155">
        <v>23519.35</v>
      </c>
      <c r="D68" s="155">
        <v>23515.4</v>
      </c>
      <c r="E68" s="155">
        <v>23869.599999999999</v>
      </c>
      <c r="F68" s="155">
        <v>23412.2</v>
      </c>
      <c r="G68" t="s">
        <v>347</v>
      </c>
      <c r="H68" s="160">
        <v>7.1999999999999998E-3</v>
      </c>
      <c r="K68" s="156">
        <v>45739</v>
      </c>
      <c r="L68" s="155">
        <v>375.4</v>
      </c>
      <c r="M68" s="155">
        <v>385</v>
      </c>
      <c r="N68" s="155">
        <v>386.05</v>
      </c>
      <c r="O68" s="155">
        <v>372.35</v>
      </c>
      <c r="P68">
        <v>33.03</v>
      </c>
      <c r="Q68" s="160">
        <v>-1.0800000000000001E-2</v>
      </c>
    </row>
    <row r="69" spans="2:17">
      <c r="B69" s="156">
        <v>45732</v>
      </c>
      <c r="C69" s="155">
        <v>23350.400000000001</v>
      </c>
      <c r="D69" s="155">
        <v>22353.15</v>
      </c>
      <c r="E69" s="155">
        <v>23402.7</v>
      </c>
      <c r="F69" s="155">
        <v>22353.15</v>
      </c>
      <c r="G69" t="s">
        <v>348</v>
      </c>
      <c r="H69" s="160">
        <v>4.2599999999999999E-2</v>
      </c>
      <c r="K69" s="156">
        <v>45732</v>
      </c>
      <c r="L69" s="155">
        <v>379.5</v>
      </c>
      <c r="M69" s="155">
        <v>350.8</v>
      </c>
      <c r="N69" s="155">
        <v>381.9</v>
      </c>
      <c r="O69" s="155">
        <v>349</v>
      </c>
      <c r="P69">
        <v>31.21</v>
      </c>
      <c r="Q69" s="160">
        <v>8.2000000000000003E-2</v>
      </c>
    </row>
    <row r="70" spans="2:17">
      <c r="B70" s="156">
        <v>45725</v>
      </c>
      <c r="C70" s="155">
        <v>22397.200000000001</v>
      </c>
      <c r="D70" s="155">
        <v>22521.85</v>
      </c>
      <c r="E70" s="155">
        <v>22676.75</v>
      </c>
      <c r="F70" s="155">
        <v>22314.7</v>
      </c>
      <c r="G70" t="s">
        <v>326</v>
      </c>
      <c r="H70" s="160">
        <v>-6.8999999999999999E-3</v>
      </c>
      <c r="K70" s="156">
        <v>45725</v>
      </c>
      <c r="L70" s="155">
        <v>350.75</v>
      </c>
      <c r="M70" s="155">
        <v>356.5</v>
      </c>
      <c r="N70" s="155">
        <v>362.8</v>
      </c>
      <c r="O70" s="155">
        <v>344.3</v>
      </c>
      <c r="P70">
        <v>26.55</v>
      </c>
      <c r="Q70" s="160">
        <v>-2E-3</v>
      </c>
    </row>
    <row r="71" spans="2:17">
      <c r="B71" s="156">
        <v>45718</v>
      </c>
      <c r="C71" s="155">
        <v>22552.5</v>
      </c>
      <c r="D71" s="155">
        <v>22194.55</v>
      </c>
      <c r="E71" s="155">
        <v>22633.8</v>
      </c>
      <c r="F71" s="155">
        <v>21964.6</v>
      </c>
      <c r="G71" t="s">
        <v>349</v>
      </c>
      <c r="H71" s="160">
        <v>1.9300000000000001E-2</v>
      </c>
      <c r="K71" s="156">
        <v>45718</v>
      </c>
      <c r="L71" s="155">
        <v>351.45</v>
      </c>
      <c r="M71" s="155">
        <v>338.75</v>
      </c>
      <c r="N71" s="155">
        <v>360.5</v>
      </c>
      <c r="O71" s="155">
        <v>331.85</v>
      </c>
      <c r="P71">
        <v>31.4</v>
      </c>
      <c r="Q71" s="160">
        <v>3.61E-2</v>
      </c>
    </row>
    <row r="72" spans="2:17">
      <c r="B72" s="156">
        <v>45711</v>
      </c>
      <c r="C72" s="155">
        <v>22124.7</v>
      </c>
      <c r="D72" s="155">
        <v>22609.35</v>
      </c>
      <c r="E72" s="155">
        <v>22668.05</v>
      </c>
      <c r="F72" s="155">
        <v>22104.85</v>
      </c>
      <c r="G72" t="s">
        <v>350</v>
      </c>
      <c r="H72" s="160">
        <v>-2.9399999999999999E-2</v>
      </c>
      <c r="K72" s="156">
        <v>45711</v>
      </c>
      <c r="L72" s="155">
        <v>339.2</v>
      </c>
      <c r="M72" s="155">
        <v>356</v>
      </c>
      <c r="N72" s="155">
        <v>356.95</v>
      </c>
      <c r="O72" s="155">
        <v>335.5</v>
      </c>
      <c r="P72">
        <v>22.63</v>
      </c>
      <c r="Q72" s="160">
        <v>-5.04E-2</v>
      </c>
    </row>
    <row r="73" spans="2:17">
      <c r="B73" s="156">
        <v>45704</v>
      </c>
      <c r="C73" s="155">
        <v>22795.9</v>
      </c>
      <c r="D73" s="155">
        <v>22809.9</v>
      </c>
      <c r="E73" s="155">
        <v>23049.95</v>
      </c>
      <c r="F73" s="155">
        <v>22720.3</v>
      </c>
      <c r="G73" t="s">
        <v>351</v>
      </c>
      <c r="H73" s="160">
        <v>-5.7999999999999996E-3</v>
      </c>
      <c r="K73" s="156">
        <v>45704</v>
      </c>
      <c r="L73" s="155">
        <v>357.2</v>
      </c>
      <c r="M73" s="155">
        <v>337.1</v>
      </c>
      <c r="N73" s="155">
        <v>362.45</v>
      </c>
      <c r="O73" s="155">
        <v>326.35000000000002</v>
      </c>
      <c r="P73">
        <v>36.06</v>
      </c>
      <c r="Q73" s="160">
        <v>5.9499999999999997E-2</v>
      </c>
    </row>
    <row r="74" spans="2:17">
      <c r="B74" s="156">
        <v>45697</v>
      </c>
      <c r="C74" s="155">
        <v>22929.25</v>
      </c>
      <c r="D74" s="155">
        <v>23543.8</v>
      </c>
      <c r="E74" s="155">
        <v>23568.6</v>
      </c>
      <c r="F74" s="155">
        <v>22774.85</v>
      </c>
      <c r="G74" t="s">
        <v>326</v>
      </c>
      <c r="H74" s="160">
        <v>-2.6800000000000001E-2</v>
      </c>
      <c r="K74" s="156">
        <v>45697</v>
      </c>
      <c r="L74" s="155">
        <v>337.15</v>
      </c>
      <c r="M74" s="155">
        <v>367.05</v>
      </c>
      <c r="N74" s="155">
        <v>368.95</v>
      </c>
      <c r="O74" s="155">
        <v>332</v>
      </c>
      <c r="P74">
        <v>31.97</v>
      </c>
      <c r="Q74" s="160">
        <v>-8.1600000000000006E-2</v>
      </c>
    </row>
    <row r="75" spans="2:17">
      <c r="B75" s="156">
        <v>45690</v>
      </c>
      <c r="C75" s="155">
        <v>23559.95</v>
      </c>
      <c r="D75" s="155">
        <v>23528.6</v>
      </c>
      <c r="E75" s="155">
        <v>23807.3</v>
      </c>
      <c r="F75" s="155">
        <v>23222</v>
      </c>
      <c r="G75" t="s">
        <v>352</v>
      </c>
      <c r="H75" s="160">
        <v>2.2000000000000001E-3</v>
      </c>
      <c r="K75" s="156">
        <v>45690</v>
      </c>
      <c r="L75" s="155">
        <v>367.1</v>
      </c>
      <c r="M75" s="155">
        <v>367.9</v>
      </c>
      <c r="N75" s="155">
        <v>379</v>
      </c>
      <c r="O75" s="155">
        <v>351.5</v>
      </c>
      <c r="P75">
        <v>59.95</v>
      </c>
      <c r="Q75" s="160">
        <v>7.1000000000000004E-3</v>
      </c>
    </row>
    <row r="76" spans="2:17">
      <c r="B76" s="156">
        <v>45683</v>
      </c>
      <c r="C76" s="155">
        <v>23508.400000000001</v>
      </c>
      <c r="D76" s="155">
        <v>22940.15</v>
      </c>
      <c r="E76" s="155">
        <v>23546.799999999999</v>
      </c>
      <c r="F76" s="155">
        <v>22786.9</v>
      </c>
      <c r="G76" t="s">
        <v>353</v>
      </c>
      <c r="H76" s="160">
        <v>1.7999999999999999E-2</v>
      </c>
      <c r="K76" s="156">
        <v>45683</v>
      </c>
      <c r="L76" s="155">
        <v>364.5</v>
      </c>
      <c r="M76" s="155">
        <v>361</v>
      </c>
      <c r="N76" s="155">
        <v>366.95</v>
      </c>
      <c r="O76" s="155">
        <v>342.95</v>
      </c>
      <c r="P76">
        <v>36.79</v>
      </c>
      <c r="Q76" s="160">
        <v>3.0000000000000001E-3</v>
      </c>
    </row>
    <row r="77" spans="2:17">
      <c r="B77" s="156">
        <v>45676</v>
      </c>
      <c r="C77" s="155">
        <v>23092.2</v>
      </c>
      <c r="D77" s="155">
        <v>23290.400000000001</v>
      </c>
      <c r="E77" s="155">
        <v>23426.3</v>
      </c>
      <c r="F77" s="155">
        <v>22976.85</v>
      </c>
      <c r="G77" t="s">
        <v>328</v>
      </c>
      <c r="H77" s="160">
        <v>-4.7999999999999996E-3</v>
      </c>
      <c r="K77" s="156">
        <v>45676</v>
      </c>
      <c r="L77" s="155">
        <v>363.4</v>
      </c>
      <c r="M77" s="155">
        <v>374.85</v>
      </c>
      <c r="N77" s="155">
        <v>376.2</v>
      </c>
      <c r="O77" s="155">
        <v>352.15</v>
      </c>
      <c r="P77">
        <v>27.32</v>
      </c>
      <c r="Q77" s="160">
        <v>-2.7300000000000001E-2</v>
      </c>
    </row>
    <row r="78" spans="2:17">
      <c r="B78" s="156">
        <v>45669</v>
      </c>
      <c r="C78" s="155">
        <v>23203.200000000001</v>
      </c>
      <c r="D78" s="155">
        <v>23195.4</v>
      </c>
      <c r="E78" s="155">
        <v>23391.65</v>
      </c>
      <c r="F78" s="155">
        <v>23047.25</v>
      </c>
      <c r="G78" t="s">
        <v>328</v>
      </c>
      <c r="H78" s="160">
        <v>-9.7000000000000003E-3</v>
      </c>
      <c r="K78" s="156">
        <v>45669</v>
      </c>
      <c r="L78" s="155">
        <v>373.6</v>
      </c>
      <c r="M78" s="155">
        <v>350</v>
      </c>
      <c r="N78" s="155">
        <v>375.4</v>
      </c>
      <c r="O78" s="155">
        <v>338.4</v>
      </c>
      <c r="P78">
        <v>45.52</v>
      </c>
      <c r="Q78" s="160">
        <v>4.8399999999999999E-2</v>
      </c>
    </row>
    <row r="79" spans="2:17">
      <c r="B79" s="156">
        <v>45662</v>
      </c>
      <c r="C79" s="155">
        <v>23431.5</v>
      </c>
      <c r="D79" s="155">
        <v>24045.8</v>
      </c>
      <c r="E79" s="155">
        <v>24089.95</v>
      </c>
      <c r="F79" s="155">
        <v>23344.35</v>
      </c>
      <c r="G79" t="s">
        <v>332</v>
      </c>
      <c r="H79" s="160">
        <v>-2.3900000000000001E-2</v>
      </c>
      <c r="K79" s="156">
        <v>45662</v>
      </c>
      <c r="L79" s="155">
        <v>356.35</v>
      </c>
      <c r="M79" s="155">
        <v>397</v>
      </c>
      <c r="N79" s="155">
        <v>397</v>
      </c>
      <c r="O79" s="155">
        <v>355.05</v>
      </c>
      <c r="P79">
        <v>43.16</v>
      </c>
      <c r="Q79" s="160">
        <v>-0.1016</v>
      </c>
    </row>
    <row r="80" spans="2:17">
      <c r="B80" s="156">
        <v>45655</v>
      </c>
      <c r="C80" s="155">
        <v>24004.75</v>
      </c>
      <c r="D80" s="155">
        <v>23796.9</v>
      </c>
      <c r="E80" s="155">
        <v>24226.7</v>
      </c>
      <c r="F80" s="155">
        <v>23460.45</v>
      </c>
      <c r="G80" t="s">
        <v>350</v>
      </c>
      <c r="H80" s="160">
        <v>8.0000000000000002E-3</v>
      </c>
      <c r="K80" s="156">
        <v>45655</v>
      </c>
      <c r="L80" s="155">
        <v>396.65</v>
      </c>
      <c r="M80" s="155">
        <v>399.6</v>
      </c>
      <c r="N80" s="155">
        <v>402.95</v>
      </c>
      <c r="O80" s="155">
        <v>385.5</v>
      </c>
      <c r="P80">
        <v>62.61</v>
      </c>
      <c r="Q80" s="160">
        <v>-5.8999999999999999E-3</v>
      </c>
    </row>
    <row r="81" spans="2:17">
      <c r="B81" s="156">
        <v>45648</v>
      </c>
      <c r="C81" s="155">
        <v>23813.4</v>
      </c>
      <c r="D81" s="155">
        <v>23738.2</v>
      </c>
      <c r="E81" s="155">
        <v>23938.85</v>
      </c>
      <c r="F81" s="155">
        <v>23647.200000000001</v>
      </c>
      <c r="G81" t="s">
        <v>354</v>
      </c>
      <c r="H81" s="160">
        <v>9.5999999999999992E-3</v>
      </c>
      <c r="K81" s="156">
        <v>45648</v>
      </c>
      <c r="L81" s="155">
        <v>399</v>
      </c>
      <c r="M81" s="155">
        <v>404.85</v>
      </c>
      <c r="N81" s="155">
        <v>408</v>
      </c>
      <c r="O81" s="155">
        <v>396.85</v>
      </c>
      <c r="P81">
        <v>30.42</v>
      </c>
      <c r="Q81" s="160">
        <v>-5.1999999999999998E-3</v>
      </c>
    </row>
    <row r="82" spans="2:17">
      <c r="B82" s="156">
        <v>45641</v>
      </c>
      <c r="C82" s="155">
        <v>23587.5</v>
      </c>
      <c r="D82" s="155">
        <v>24753.4</v>
      </c>
      <c r="E82" s="155">
        <v>24781.25</v>
      </c>
      <c r="F82" s="155">
        <v>23537.35</v>
      </c>
      <c r="G82" t="s">
        <v>335</v>
      </c>
      <c r="H82" s="160">
        <v>-4.7699999999999999E-2</v>
      </c>
      <c r="K82" s="156">
        <v>45641</v>
      </c>
      <c r="L82" s="155">
        <v>401.1</v>
      </c>
      <c r="M82" s="155">
        <v>427.95</v>
      </c>
      <c r="N82" s="155">
        <v>430.4</v>
      </c>
      <c r="O82" s="155">
        <v>400.05</v>
      </c>
      <c r="P82">
        <v>34.46</v>
      </c>
      <c r="Q82" s="160">
        <v>-6.3799999999999996E-2</v>
      </c>
    </row>
    <row r="83" spans="2:17">
      <c r="B83" s="156">
        <v>45634</v>
      </c>
      <c r="C83" s="155">
        <v>24768.3</v>
      </c>
      <c r="D83" s="155">
        <v>24633.9</v>
      </c>
      <c r="E83" s="155">
        <v>24792.3</v>
      </c>
      <c r="F83" s="155">
        <v>24180.799999999999</v>
      </c>
      <c r="G83" t="s">
        <v>355</v>
      </c>
      <c r="H83" s="160">
        <v>3.7000000000000002E-3</v>
      </c>
      <c r="K83" s="156">
        <v>45634</v>
      </c>
      <c r="L83" s="155">
        <v>428.45</v>
      </c>
      <c r="M83" s="155">
        <v>443</v>
      </c>
      <c r="N83" s="155">
        <v>447.7</v>
      </c>
      <c r="O83" s="155">
        <v>420.3</v>
      </c>
      <c r="P83">
        <v>43.17</v>
      </c>
      <c r="Q83" s="160">
        <v>-2.5600000000000001E-2</v>
      </c>
    </row>
    <row r="84" spans="2:17">
      <c r="B84" s="156">
        <v>45627</v>
      </c>
      <c r="C84" s="155">
        <v>24677.8</v>
      </c>
      <c r="D84" s="155">
        <v>24140.85</v>
      </c>
      <c r="E84" s="155">
        <v>24857.75</v>
      </c>
      <c r="F84" s="155">
        <v>24008.65</v>
      </c>
      <c r="G84" t="s">
        <v>349</v>
      </c>
      <c r="H84" s="160">
        <v>2.2700000000000001E-2</v>
      </c>
      <c r="K84" s="156">
        <v>45627</v>
      </c>
      <c r="L84" s="155">
        <v>439.7</v>
      </c>
      <c r="M84" s="155">
        <v>413</v>
      </c>
      <c r="N84" s="155">
        <v>442.5</v>
      </c>
      <c r="O84" s="155">
        <v>412</v>
      </c>
      <c r="P84">
        <v>56.89</v>
      </c>
      <c r="Q84" s="160">
        <v>6.1699999999999998E-2</v>
      </c>
    </row>
    <row r="85" spans="2:17">
      <c r="B85" s="156">
        <v>45620</v>
      </c>
      <c r="C85" s="155">
        <v>24131.1</v>
      </c>
      <c r="D85" s="155">
        <v>24253.55</v>
      </c>
      <c r="E85" s="155">
        <v>24354.55</v>
      </c>
      <c r="F85" s="155">
        <v>23873.35</v>
      </c>
      <c r="G85" t="s">
        <v>298</v>
      </c>
      <c r="H85" s="160">
        <v>9.4000000000000004E-3</v>
      </c>
      <c r="K85" s="156">
        <v>45620</v>
      </c>
      <c r="L85" s="155">
        <v>414.15</v>
      </c>
      <c r="M85" s="155">
        <v>421.45</v>
      </c>
      <c r="N85" s="155">
        <v>423.45</v>
      </c>
      <c r="O85" s="155">
        <v>408</v>
      </c>
      <c r="P85">
        <v>53.72</v>
      </c>
      <c r="Q85" s="160">
        <v>1E-3</v>
      </c>
    </row>
    <row r="86" spans="2:17">
      <c r="B86" s="156">
        <v>45613</v>
      </c>
      <c r="C86" s="155">
        <v>23907.25</v>
      </c>
      <c r="D86" s="155">
        <v>23605.3</v>
      </c>
      <c r="E86" s="155">
        <v>23956.1</v>
      </c>
      <c r="F86" s="155">
        <v>23263.15</v>
      </c>
      <c r="G86" t="s">
        <v>329</v>
      </c>
      <c r="H86" s="160">
        <v>1.5900000000000001E-2</v>
      </c>
      <c r="K86" s="156">
        <v>45613</v>
      </c>
      <c r="L86" s="155">
        <v>413.75</v>
      </c>
      <c r="M86" s="155">
        <v>408</v>
      </c>
      <c r="N86" s="155">
        <v>417.8</v>
      </c>
      <c r="O86" s="155">
        <v>397.4</v>
      </c>
      <c r="P86">
        <v>44.1</v>
      </c>
      <c r="Q86" s="160">
        <v>2.2499999999999999E-2</v>
      </c>
    </row>
    <row r="87" spans="2:17">
      <c r="B87" s="156">
        <v>45606</v>
      </c>
      <c r="C87" s="155">
        <v>23532.7</v>
      </c>
      <c r="D87" s="155">
        <v>24087.25</v>
      </c>
      <c r="E87" s="155">
        <v>24336.799999999999</v>
      </c>
      <c r="F87" s="155">
        <v>23484.15</v>
      </c>
      <c r="G87" t="s">
        <v>356</v>
      </c>
      <c r="H87" s="160">
        <v>-2.5499999999999998E-2</v>
      </c>
      <c r="K87" s="156">
        <v>45606</v>
      </c>
      <c r="L87" s="155">
        <v>404.65</v>
      </c>
      <c r="M87" s="155">
        <v>431.95</v>
      </c>
      <c r="N87" s="155">
        <v>437.75</v>
      </c>
      <c r="O87" s="155">
        <v>396.95</v>
      </c>
      <c r="P87">
        <v>43.71</v>
      </c>
      <c r="Q87" s="160">
        <v>-6.4899999999999999E-2</v>
      </c>
    </row>
    <row r="88" spans="2:17">
      <c r="B88" s="156">
        <v>45599</v>
      </c>
      <c r="C88" s="155">
        <v>24148.2</v>
      </c>
      <c r="D88" s="155">
        <v>24315.75</v>
      </c>
      <c r="E88" s="155">
        <v>24537.599999999999</v>
      </c>
      <c r="F88" s="155">
        <v>23816.15</v>
      </c>
      <c r="G88" t="s">
        <v>357</v>
      </c>
      <c r="H88" s="160">
        <v>-6.4000000000000003E-3</v>
      </c>
      <c r="K88" s="156">
        <v>45599</v>
      </c>
      <c r="L88" s="155">
        <v>432.75</v>
      </c>
      <c r="M88" s="155">
        <v>446.25</v>
      </c>
      <c r="N88" s="155">
        <v>454.75</v>
      </c>
      <c r="O88" s="155">
        <v>425.85</v>
      </c>
      <c r="P88">
        <v>53.94</v>
      </c>
      <c r="Q88" s="160">
        <v>-2.8500000000000001E-2</v>
      </c>
    </row>
    <row r="89" spans="2:17">
      <c r="B89" s="156">
        <v>45592</v>
      </c>
      <c r="C89" s="155">
        <v>24304.35</v>
      </c>
      <c r="D89" s="155">
        <v>24251.1</v>
      </c>
      <c r="E89" s="155">
        <v>24498.2</v>
      </c>
      <c r="F89" s="155">
        <v>24134.9</v>
      </c>
      <c r="G89" t="s">
        <v>358</v>
      </c>
      <c r="H89" s="160">
        <v>5.1000000000000004E-3</v>
      </c>
      <c r="K89" s="156">
        <v>45592</v>
      </c>
      <c r="L89" s="155">
        <v>445.45</v>
      </c>
      <c r="M89" s="155">
        <v>423.5</v>
      </c>
      <c r="N89" s="155">
        <v>448.45</v>
      </c>
      <c r="O89" s="155">
        <v>415</v>
      </c>
      <c r="P89">
        <v>62.09</v>
      </c>
      <c r="Q89" s="160">
        <v>5.5300000000000002E-2</v>
      </c>
    </row>
    <row r="90" spans="2:17">
      <c r="B90" s="156">
        <v>45585</v>
      </c>
      <c r="C90" s="155">
        <v>24180.799999999999</v>
      </c>
      <c r="D90" s="155">
        <v>24956.15</v>
      </c>
      <c r="E90" s="155">
        <v>24978.3</v>
      </c>
      <c r="F90" s="155">
        <v>24073.9</v>
      </c>
      <c r="G90" t="s">
        <v>335</v>
      </c>
      <c r="H90" s="160">
        <v>-2.7099999999999999E-2</v>
      </c>
      <c r="K90" s="156">
        <v>45585</v>
      </c>
      <c r="L90" s="155">
        <v>422.1</v>
      </c>
      <c r="M90" s="155">
        <v>455.55</v>
      </c>
      <c r="N90" s="155">
        <v>465.55</v>
      </c>
      <c r="O90" s="155">
        <v>414.5</v>
      </c>
      <c r="P90">
        <v>62.48</v>
      </c>
      <c r="Q90" s="160">
        <v>-6.93E-2</v>
      </c>
    </row>
    <row r="91" spans="2:17">
      <c r="B91" s="156">
        <v>45578</v>
      </c>
      <c r="C91" s="155">
        <v>24854.05</v>
      </c>
      <c r="D91" s="155">
        <v>25023.45</v>
      </c>
      <c r="E91" s="155">
        <v>25212.05</v>
      </c>
      <c r="F91" s="155">
        <v>24567.65</v>
      </c>
      <c r="G91" t="s">
        <v>319</v>
      </c>
      <c r="H91" s="160">
        <v>-4.4000000000000003E-3</v>
      </c>
      <c r="K91" s="156">
        <v>45578</v>
      </c>
      <c r="L91" s="155">
        <v>453.55</v>
      </c>
      <c r="M91" s="155">
        <v>463.8</v>
      </c>
      <c r="N91" s="155">
        <v>474.4</v>
      </c>
      <c r="O91" s="155">
        <v>443.05</v>
      </c>
      <c r="P91">
        <v>50.37</v>
      </c>
      <c r="Q91" s="160">
        <v>-1.6500000000000001E-2</v>
      </c>
    </row>
    <row r="92" spans="2:17">
      <c r="B92" s="156">
        <v>45571</v>
      </c>
      <c r="C92" s="155">
        <v>24964.25</v>
      </c>
      <c r="D92" s="155">
        <v>25084.1</v>
      </c>
      <c r="E92" s="155">
        <v>25234.05</v>
      </c>
      <c r="F92" s="155">
        <v>24694.35</v>
      </c>
      <c r="G92" t="s">
        <v>359</v>
      </c>
      <c r="H92" s="160">
        <v>-2E-3</v>
      </c>
      <c r="K92" s="156">
        <v>45571</v>
      </c>
      <c r="L92" s="155">
        <v>461.15</v>
      </c>
      <c r="M92" s="155">
        <v>467.9</v>
      </c>
      <c r="N92" s="155">
        <v>477.9</v>
      </c>
      <c r="O92" s="155">
        <v>438.7</v>
      </c>
      <c r="P92">
        <v>85.45</v>
      </c>
      <c r="Q92" s="160">
        <v>-1.18E-2</v>
      </c>
    </row>
    <row r="93" spans="2:17">
      <c r="B93" s="156">
        <v>45564</v>
      </c>
      <c r="C93" s="155">
        <v>25014.6</v>
      </c>
      <c r="D93" s="155">
        <v>26061.3</v>
      </c>
      <c r="E93" s="155">
        <v>26134.7</v>
      </c>
      <c r="F93" s="155">
        <v>24966.799999999999</v>
      </c>
      <c r="G93" t="s">
        <v>360</v>
      </c>
      <c r="H93" s="160">
        <v>-4.4499999999999998E-2</v>
      </c>
      <c r="K93" s="156">
        <v>45564</v>
      </c>
      <c r="L93" s="155">
        <v>466.65</v>
      </c>
      <c r="M93" s="155">
        <v>485.4</v>
      </c>
      <c r="N93" s="155">
        <v>491.2</v>
      </c>
      <c r="O93" s="155">
        <v>460.6</v>
      </c>
      <c r="P93">
        <v>59.21</v>
      </c>
      <c r="Q93" s="160">
        <v>-3.8800000000000001E-2</v>
      </c>
    </row>
    <row r="94" spans="2:17">
      <c r="B94" s="156">
        <v>45557</v>
      </c>
      <c r="C94" s="155">
        <v>26178.95</v>
      </c>
      <c r="D94" s="155">
        <v>25872.55</v>
      </c>
      <c r="E94" s="155">
        <v>26277.35</v>
      </c>
      <c r="F94" s="155">
        <v>25847.35</v>
      </c>
      <c r="G94" t="s">
        <v>347</v>
      </c>
      <c r="H94" s="160">
        <v>1.4999999999999999E-2</v>
      </c>
      <c r="K94" s="156">
        <v>45557</v>
      </c>
      <c r="L94" s="155">
        <v>485.5</v>
      </c>
      <c r="M94" s="155">
        <v>444.95</v>
      </c>
      <c r="N94" s="155">
        <v>494.85</v>
      </c>
      <c r="O94" s="155">
        <v>444.5</v>
      </c>
      <c r="P94">
        <v>134.88999999999999</v>
      </c>
      <c r="Q94" s="160">
        <v>9.3100000000000002E-2</v>
      </c>
    </row>
    <row r="95" spans="2:17">
      <c r="B95" s="156">
        <v>45550</v>
      </c>
      <c r="C95" s="155">
        <v>25790.95</v>
      </c>
      <c r="D95" s="155">
        <v>25406.65</v>
      </c>
      <c r="E95" s="155">
        <v>25849.25</v>
      </c>
      <c r="F95" s="155">
        <v>25285.55</v>
      </c>
      <c r="G95" t="s">
        <v>361</v>
      </c>
      <c r="H95" s="160">
        <v>1.7100000000000001E-2</v>
      </c>
      <c r="K95" s="156">
        <v>45550</v>
      </c>
      <c r="L95" s="155">
        <v>444.15</v>
      </c>
      <c r="M95" s="155">
        <v>443.5</v>
      </c>
      <c r="N95" s="155">
        <v>451.9</v>
      </c>
      <c r="O95" s="155">
        <v>430.8</v>
      </c>
      <c r="P95">
        <v>51.17</v>
      </c>
      <c r="Q95" s="160">
        <v>5.3E-3</v>
      </c>
    </row>
    <row r="96" spans="2:17">
      <c r="B96" s="156">
        <v>45543</v>
      </c>
      <c r="C96" s="155">
        <v>25356.5</v>
      </c>
      <c r="D96" s="155">
        <v>24823.4</v>
      </c>
      <c r="E96" s="155">
        <v>25433.35</v>
      </c>
      <c r="F96" s="155">
        <v>24753.15</v>
      </c>
      <c r="G96" t="s">
        <v>362</v>
      </c>
      <c r="H96" s="160">
        <v>2.0299999999999999E-2</v>
      </c>
      <c r="K96" s="156">
        <v>45543</v>
      </c>
      <c r="L96" s="155">
        <v>441.8</v>
      </c>
      <c r="M96" s="155">
        <v>417</v>
      </c>
      <c r="N96" s="155">
        <v>449.6</v>
      </c>
      <c r="O96" s="155">
        <v>411.3</v>
      </c>
      <c r="P96">
        <v>88.56</v>
      </c>
      <c r="Q96" s="160">
        <v>5.9499999999999997E-2</v>
      </c>
    </row>
    <row r="97" spans="2:17">
      <c r="B97" s="156">
        <v>45536</v>
      </c>
      <c r="C97" s="155">
        <v>24852.15</v>
      </c>
      <c r="D97" s="155">
        <v>25333.599999999999</v>
      </c>
      <c r="E97" s="155">
        <v>25333.65</v>
      </c>
      <c r="F97" s="155">
        <v>24801.3</v>
      </c>
      <c r="G97" t="s">
        <v>358</v>
      </c>
      <c r="H97" s="160">
        <v>-1.52E-2</v>
      </c>
      <c r="K97" s="156">
        <v>45536</v>
      </c>
      <c r="L97" s="155">
        <v>417</v>
      </c>
      <c r="M97" s="155">
        <v>435.85</v>
      </c>
      <c r="N97" s="155">
        <v>436.75</v>
      </c>
      <c r="O97" s="155">
        <v>414.35</v>
      </c>
      <c r="P97">
        <v>52.28</v>
      </c>
      <c r="Q97" s="160">
        <v>-4.0599999999999997E-2</v>
      </c>
    </row>
    <row r="98" spans="2:17">
      <c r="B98" s="156">
        <v>45529</v>
      </c>
      <c r="C98" s="155">
        <v>25235.9</v>
      </c>
      <c r="D98" s="155">
        <v>24906.1</v>
      </c>
      <c r="E98" s="155">
        <v>25268.35</v>
      </c>
      <c r="F98" s="155">
        <v>24874.7</v>
      </c>
      <c r="G98" t="s">
        <v>363</v>
      </c>
      <c r="H98" s="160">
        <v>1.66E-2</v>
      </c>
      <c r="K98" s="156">
        <v>45529</v>
      </c>
      <c r="L98" s="155">
        <v>434.65</v>
      </c>
      <c r="M98" s="155">
        <v>420</v>
      </c>
      <c r="N98" s="155">
        <v>437.4</v>
      </c>
      <c r="O98" s="155">
        <v>417</v>
      </c>
      <c r="P98">
        <v>59.71</v>
      </c>
      <c r="Q98" s="160">
        <v>0.04</v>
      </c>
    </row>
    <row r="99" spans="2:17">
      <c r="B99" s="156">
        <v>45522</v>
      </c>
      <c r="C99" s="155">
        <v>24823.15</v>
      </c>
      <c r="D99" s="155">
        <v>24636.35</v>
      </c>
      <c r="E99" s="155">
        <v>24867.35</v>
      </c>
      <c r="F99" s="155">
        <v>24522.95</v>
      </c>
      <c r="G99" t="s">
        <v>364</v>
      </c>
      <c r="H99" s="160">
        <v>1.15E-2</v>
      </c>
      <c r="K99" s="156">
        <v>45522</v>
      </c>
      <c r="L99" s="155">
        <v>417.95</v>
      </c>
      <c r="M99" s="155">
        <v>416.7</v>
      </c>
      <c r="N99" s="155">
        <v>427.3</v>
      </c>
      <c r="O99" s="155">
        <v>415.05</v>
      </c>
      <c r="P99">
        <v>36.89</v>
      </c>
      <c r="Q99" s="160">
        <v>1.04E-2</v>
      </c>
    </row>
    <row r="100" spans="2:17">
      <c r="B100" s="156">
        <v>45515</v>
      </c>
      <c r="C100" s="155">
        <v>24541.15</v>
      </c>
      <c r="D100" s="155">
        <v>24320.05</v>
      </c>
      <c r="E100" s="155">
        <v>24563.9</v>
      </c>
      <c r="F100" s="155">
        <v>24099.7</v>
      </c>
      <c r="G100" t="s">
        <v>356</v>
      </c>
      <c r="H100" s="160">
        <v>7.1000000000000004E-3</v>
      </c>
      <c r="K100" s="156">
        <v>45515</v>
      </c>
      <c r="L100" s="155">
        <v>413.65</v>
      </c>
      <c r="M100" s="155">
        <v>417.1</v>
      </c>
      <c r="N100" s="155">
        <v>422.9</v>
      </c>
      <c r="O100" s="155">
        <v>403.1</v>
      </c>
      <c r="P100">
        <v>48.05</v>
      </c>
      <c r="Q100" s="160">
        <v>-9.7999999999999997E-3</v>
      </c>
    </row>
    <row r="101" spans="2:17">
      <c r="B101" s="156">
        <v>45508</v>
      </c>
      <c r="C101" s="155">
        <v>24367.5</v>
      </c>
      <c r="D101" s="155">
        <v>24302.85</v>
      </c>
      <c r="E101" s="155">
        <v>24419.75</v>
      </c>
      <c r="F101" s="155">
        <v>23893.7</v>
      </c>
      <c r="G101" t="s">
        <v>340</v>
      </c>
      <c r="H101" s="160">
        <v>-1.4200000000000001E-2</v>
      </c>
      <c r="K101" s="156">
        <v>45508</v>
      </c>
      <c r="L101" s="155">
        <v>417.75</v>
      </c>
      <c r="M101" s="155">
        <v>446</v>
      </c>
      <c r="N101" s="155">
        <v>452.9</v>
      </c>
      <c r="O101" s="155">
        <v>416.05</v>
      </c>
      <c r="P101">
        <v>114.9</v>
      </c>
      <c r="Q101" s="160">
        <v>-9.2499999999999999E-2</v>
      </c>
    </row>
    <row r="102" spans="2:17">
      <c r="B102" s="156">
        <v>45501</v>
      </c>
      <c r="C102" s="155">
        <v>24717.7</v>
      </c>
      <c r="D102" s="155">
        <v>24943.3</v>
      </c>
      <c r="E102" s="155">
        <v>25078.3</v>
      </c>
      <c r="F102" s="155">
        <v>24686.85</v>
      </c>
      <c r="G102" t="s">
        <v>365</v>
      </c>
      <c r="H102" s="160">
        <v>-4.7000000000000002E-3</v>
      </c>
      <c r="K102" s="156">
        <v>45501</v>
      </c>
      <c r="L102" s="155">
        <v>460.35</v>
      </c>
      <c r="M102" s="155">
        <v>446.95</v>
      </c>
      <c r="N102" s="155">
        <v>471</v>
      </c>
      <c r="O102" s="155">
        <v>440</v>
      </c>
      <c r="P102">
        <v>107.76</v>
      </c>
      <c r="Q102" s="160">
        <v>3.5200000000000002E-2</v>
      </c>
    </row>
    <row r="103" spans="2:17">
      <c r="B103" s="156">
        <v>45494</v>
      </c>
      <c r="C103" s="155">
        <v>24834.85</v>
      </c>
      <c r="D103" s="155">
        <v>24445.75</v>
      </c>
      <c r="E103" s="155">
        <v>24861.15</v>
      </c>
      <c r="F103" s="155">
        <v>24074.2</v>
      </c>
      <c r="G103" t="s">
        <v>345</v>
      </c>
      <c r="H103" s="160">
        <v>1.24E-2</v>
      </c>
      <c r="K103" s="156">
        <v>45494</v>
      </c>
      <c r="L103" s="155">
        <v>444.7</v>
      </c>
      <c r="M103" s="155">
        <v>415</v>
      </c>
      <c r="N103" s="155">
        <v>446.2</v>
      </c>
      <c r="O103" s="155">
        <v>400</v>
      </c>
      <c r="P103">
        <v>82.64</v>
      </c>
      <c r="Q103" s="160">
        <v>7.3800000000000004E-2</v>
      </c>
    </row>
    <row r="104" spans="2:17">
      <c r="B104" s="156">
        <v>45487</v>
      </c>
      <c r="C104" s="155">
        <v>24530.9</v>
      </c>
      <c r="D104" s="155">
        <v>24587.599999999999</v>
      </c>
      <c r="E104" s="155">
        <v>24854.799999999999</v>
      </c>
      <c r="F104" s="155">
        <v>24504.45</v>
      </c>
      <c r="G104" t="s">
        <v>366</v>
      </c>
      <c r="H104" s="160">
        <v>1.1999999999999999E-3</v>
      </c>
      <c r="K104" s="156">
        <v>45487</v>
      </c>
      <c r="L104" s="155">
        <v>414.15</v>
      </c>
      <c r="M104" s="155">
        <v>436.4</v>
      </c>
      <c r="N104" s="155">
        <v>445.25</v>
      </c>
      <c r="O104" s="155">
        <v>412.85</v>
      </c>
      <c r="P104">
        <v>45.94</v>
      </c>
      <c r="Q104" s="160">
        <v>-4.58E-2</v>
      </c>
    </row>
    <row r="105" spans="2:17">
      <c r="B105" s="156">
        <v>45480</v>
      </c>
      <c r="C105" s="155">
        <v>24502.15</v>
      </c>
      <c r="D105" s="155">
        <v>24329.45</v>
      </c>
      <c r="E105" s="155">
        <v>24592.2</v>
      </c>
      <c r="F105" s="155">
        <v>24141.8</v>
      </c>
      <c r="G105" t="s">
        <v>315</v>
      </c>
      <c r="H105" s="160">
        <v>7.3000000000000001E-3</v>
      </c>
      <c r="K105" s="156">
        <v>45480</v>
      </c>
      <c r="L105" s="155">
        <v>434.05</v>
      </c>
      <c r="M105" s="155">
        <v>440.7</v>
      </c>
      <c r="N105" s="155">
        <v>444.5</v>
      </c>
      <c r="O105" s="155">
        <v>426.85</v>
      </c>
      <c r="P105">
        <v>39.36</v>
      </c>
      <c r="Q105" s="160">
        <v>-1.34E-2</v>
      </c>
    </row>
    <row r="106" spans="2:17">
      <c r="B106" s="156">
        <v>45473</v>
      </c>
      <c r="C106" s="155">
        <v>24323.85</v>
      </c>
      <c r="D106" s="155">
        <v>23992.95</v>
      </c>
      <c r="E106" s="155">
        <v>24401</v>
      </c>
      <c r="F106" s="155">
        <v>23992.7</v>
      </c>
      <c r="G106" t="s">
        <v>360</v>
      </c>
      <c r="H106" s="160">
        <v>1.2999999999999999E-2</v>
      </c>
      <c r="K106" s="156">
        <v>45473</v>
      </c>
      <c r="L106" s="155">
        <v>439.95</v>
      </c>
      <c r="M106" s="155">
        <v>441</v>
      </c>
      <c r="N106" s="155">
        <v>442.25</v>
      </c>
      <c r="O106" s="155">
        <v>428</v>
      </c>
      <c r="P106">
        <v>44.13</v>
      </c>
      <c r="Q106" s="160">
        <v>-1.5E-3</v>
      </c>
    </row>
    <row r="107" spans="2:17">
      <c r="B107" s="157">
        <v>45466</v>
      </c>
      <c r="C107" s="158">
        <v>24010.6</v>
      </c>
      <c r="D107" s="158">
        <v>23382.3</v>
      </c>
      <c r="E107" s="158">
        <v>24174</v>
      </c>
      <c r="F107" s="158">
        <v>23350</v>
      </c>
      <c r="G107" s="159" t="s">
        <v>348</v>
      </c>
      <c r="H107" s="161">
        <v>2.1700000000000001E-2</v>
      </c>
      <c r="K107" s="157">
        <v>45466</v>
      </c>
      <c r="L107" s="158">
        <v>440.6</v>
      </c>
      <c r="M107" s="158">
        <v>436</v>
      </c>
      <c r="N107" s="158">
        <v>444.45</v>
      </c>
      <c r="O107" s="158">
        <v>426.5</v>
      </c>
      <c r="P107" s="159">
        <v>54.4</v>
      </c>
      <c r="Q107" s="161">
        <v>4.3E-3</v>
      </c>
    </row>
    <row r="108" spans="2:17">
      <c r="G108" t="s">
        <v>470</v>
      </c>
      <c r="H108" s="5">
        <f>SUM(H4:H107)</f>
        <v>3.8899999999999962E-2</v>
      </c>
      <c r="P108" t="s">
        <v>470</v>
      </c>
      <c r="Q108" s="5">
        <f>SUM(Q4:Q107)</f>
        <v>-9.8000000000000743E-3</v>
      </c>
    </row>
  </sheetData>
  <mergeCells count="2">
    <mergeCell ref="B2:H2"/>
    <mergeCell ref="K2:Q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002060"/>
    <pageSetUpPr fitToPage="1"/>
  </sheetPr>
  <dimension ref="B3:AB10042"/>
  <sheetViews>
    <sheetView showGridLines="0" topLeftCell="B1" zoomScale="85" zoomScaleNormal="85" workbookViewId="0">
      <selection activeCell="Y71" sqref="Y71"/>
    </sheetView>
  </sheetViews>
  <sheetFormatPr defaultRowHeight="15"/>
  <cols>
    <col min="2" max="2" width="10.42578125" bestFit="1" customWidth="1"/>
    <col min="7" max="7" width="8.28515625" bestFit="1" customWidth="1"/>
    <col min="8" max="8" width="9.5703125" bestFit="1" customWidth="1"/>
    <col min="9" max="9" width="9.5703125" customWidth="1"/>
    <col min="11" max="11" width="11.28515625" customWidth="1"/>
    <col min="12" max="15" width="6.5703125" bestFit="1" customWidth="1"/>
    <col min="16" max="16" width="8.28515625" bestFit="1" customWidth="1"/>
    <col min="17" max="17" width="9.5703125" bestFit="1" customWidth="1"/>
    <col min="19" max="19" width="15.140625" customWidth="1"/>
    <col min="21" max="21" width="25.85546875" customWidth="1"/>
    <col min="22" max="22" width="15.5703125" customWidth="1"/>
    <col min="23" max="23" width="12.7109375" customWidth="1"/>
    <col min="24" max="24" width="25.28515625" bestFit="1" customWidth="1"/>
    <col min="25" max="25" width="14.5703125" customWidth="1"/>
    <col min="26" max="26" width="15" customWidth="1"/>
    <col min="27" max="27" width="19.140625" bestFit="1" customWidth="1"/>
    <col min="28" max="28" width="12" bestFit="1" customWidth="1"/>
  </cols>
  <sheetData>
    <row r="3" spans="2:28" ht="15" customHeight="1">
      <c r="B3" s="425" t="s">
        <v>8831</v>
      </c>
      <c r="C3" s="425"/>
      <c r="D3" s="425"/>
      <c r="E3" s="425"/>
      <c r="F3" s="425"/>
      <c r="G3" s="425"/>
      <c r="H3" s="425"/>
      <c r="I3" s="425"/>
      <c r="J3" s="425"/>
      <c r="K3" s="425"/>
      <c r="L3" s="425"/>
      <c r="M3" s="425"/>
      <c r="N3" s="425"/>
      <c r="O3" s="425"/>
      <c r="P3" s="425"/>
      <c r="Q3" s="425"/>
      <c r="R3" s="425"/>
      <c r="S3" s="425"/>
    </row>
    <row r="5" spans="2:28" ht="22.5" customHeight="1">
      <c r="B5" s="424" t="s">
        <v>471</v>
      </c>
      <c r="C5" s="424"/>
      <c r="D5" s="424"/>
      <c r="E5" s="424"/>
      <c r="F5" s="424"/>
      <c r="G5" s="424"/>
      <c r="H5" s="424"/>
      <c r="K5" s="424" t="s">
        <v>472</v>
      </c>
      <c r="L5" s="424"/>
      <c r="M5" s="424"/>
      <c r="N5" s="424"/>
      <c r="O5" s="424"/>
      <c r="P5" s="424"/>
      <c r="Q5" s="424"/>
      <c r="S5" s="274" t="s">
        <v>8835</v>
      </c>
      <c r="U5" s="293" t="s">
        <v>8970</v>
      </c>
      <c r="V5" s="275"/>
      <c r="W5" s="275"/>
      <c r="X5" s="275"/>
      <c r="Y5" s="140"/>
      <c r="Z5" s="140"/>
      <c r="AA5" s="140"/>
      <c r="AB5" s="140"/>
    </row>
    <row r="6" spans="2:28">
      <c r="B6" s="162" t="s">
        <v>290</v>
      </c>
      <c r="C6" s="163" t="s">
        <v>58</v>
      </c>
      <c r="D6" s="163" t="s">
        <v>291</v>
      </c>
      <c r="E6" s="163" t="s">
        <v>292</v>
      </c>
      <c r="F6" s="163" t="s">
        <v>286</v>
      </c>
      <c r="G6" s="163" t="s">
        <v>293</v>
      </c>
      <c r="H6" s="154" t="s">
        <v>294</v>
      </c>
      <c r="K6" s="162" t="s">
        <v>290</v>
      </c>
      <c r="L6" s="163" t="s">
        <v>58</v>
      </c>
      <c r="M6" s="163" t="s">
        <v>291</v>
      </c>
      <c r="N6" s="163" t="s">
        <v>292</v>
      </c>
      <c r="O6" s="163" t="s">
        <v>286</v>
      </c>
      <c r="P6" s="163" t="s">
        <v>293</v>
      </c>
      <c r="Q6" s="154" t="s">
        <v>294</v>
      </c>
    </row>
    <row r="7" spans="2:28">
      <c r="B7" s="156">
        <v>46187</v>
      </c>
      <c r="C7" s="155">
        <v>24013.1</v>
      </c>
      <c r="D7" s="155">
        <v>23984.85</v>
      </c>
      <c r="E7" s="155">
        <v>24189.25</v>
      </c>
      <c r="F7" s="155">
        <v>23817.8</v>
      </c>
      <c r="G7" t="s">
        <v>295</v>
      </c>
      <c r="H7" s="160">
        <v>1.6500000000000001E-2</v>
      </c>
      <c r="I7" s="5"/>
      <c r="J7" s="130"/>
      <c r="K7" s="156">
        <v>46187</v>
      </c>
      <c r="L7" s="155">
        <v>402.35</v>
      </c>
      <c r="M7" s="155">
        <v>397.75</v>
      </c>
      <c r="N7" s="155">
        <v>405.6</v>
      </c>
      <c r="O7" s="155">
        <v>395.55</v>
      </c>
      <c r="P7" t="s">
        <v>367</v>
      </c>
      <c r="Q7" s="160">
        <v>2.24E-2</v>
      </c>
      <c r="S7" s="273">
        <f>(($V$9*H7)+($V$10*Q7))</f>
        <v>1.8860000000000002E-2</v>
      </c>
      <c r="U7" s="430" t="s">
        <v>8817</v>
      </c>
      <c r="V7" s="431"/>
    </row>
    <row r="8" spans="2:28">
      <c r="B8" s="156">
        <v>46180</v>
      </c>
      <c r="C8" s="155">
        <v>23622.9</v>
      </c>
      <c r="D8" s="155">
        <v>23080.7</v>
      </c>
      <c r="E8" s="155">
        <v>23645.35</v>
      </c>
      <c r="F8" s="155">
        <v>23070.15</v>
      </c>
      <c r="G8" t="s">
        <v>295</v>
      </c>
      <c r="H8" s="160">
        <v>1.0999999999999999E-2</v>
      </c>
      <c r="I8" s="5"/>
      <c r="J8" s="130"/>
      <c r="K8" s="156">
        <v>46180</v>
      </c>
      <c r="L8" s="155">
        <v>393.55</v>
      </c>
      <c r="M8" s="155">
        <v>404.05</v>
      </c>
      <c r="N8" s="155">
        <v>409.1</v>
      </c>
      <c r="O8" s="155">
        <v>388</v>
      </c>
      <c r="P8" t="s">
        <v>368</v>
      </c>
      <c r="Q8" s="160">
        <v>-3.8199999999999998E-2</v>
      </c>
      <c r="S8" s="273">
        <f t="shared" ref="S8:S71" si="0">(($V$9*H8)+($V$10*Q8))</f>
        <v>-8.6800000000000002E-3</v>
      </c>
      <c r="U8" s="256" t="s">
        <v>8818</v>
      </c>
      <c r="V8" s="264">
        <v>50000</v>
      </c>
    </row>
    <row r="9" spans="2:28">
      <c r="B9" s="156">
        <v>46173</v>
      </c>
      <c r="C9" s="155">
        <v>23366.7</v>
      </c>
      <c r="D9" s="155">
        <v>23654.5</v>
      </c>
      <c r="E9" s="155">
        <v>23733.7</v>
      </c>
      <c r="F9" s="155">
        <v>23151.5</v>
      </c>
      <c r="G9" t="s">
        <v>296</v>
      </c>
      <c r="H9" s="160">
        <v>-7.7000000000000002E-3</v>
      </c>
      <c r="I9" s="5"/>
      <c r="J9" s="130"/>
      <c r="K9" s="156">
        <v>46173</v>
      </c>
      <c r="L9" s="155">
        <v>409.2</v>
      </c>
      <c r="M9" s="155">
        <v>421.7</v>
      </c>
      <c r="N9" s="155">
        <v>423.75</v>
      </c>
      <c r="O9" s="155">
        <v>406.55</v>
      </c>
      <c r="P9" t="s">
        <v>369</v>
      </c>
      <c r="Q9" s="160">
        <v>-2.75E-2</v>
      </c>
      <c r="S9" s="273">
        <f t="shared" si="0"/>
        <v>-1.5620000000000002E-2</v>
      </c>
      <c r="U9" s="256" t="s">
        <v>8820</v>
      </c>
      <c r="V9" s="266">
        <v>0.6</v>
      </c>
    </row>
    <row r="10" spans="2:28">
      <c r="B10" s="156">
        <v>46166</v>
      </c>
      <c r="C10" s="155">
        <v>23547.75</v>
      </c>
      <c r="D10" s="155">
        <v>23940.25</v>
      </c>
      <c r="E10" s="155">
        <v>24089.8</v>
      </c>
      <c r="F10" s="155">
        <v>23484.75</v>
      </c>
      <c r="G10" t="s">
        <v>297</v>
      </c>
      <c r="H10" s="160">
        <v>-7.1999999999999998E-3</v>
      </c>
      <c r="I10" s="5"/>
      <c r="J10" s="130"/>
      <c r="K10" s="156">
        <v>46166</v>
      </c>
      <c r="L10" s="155">
        <v>420.75</v>
      </c>
      <c r="M10" s="155">
        <v>411.25</v>
      </c>
      <c r="N10" s="155">
        <v>434</v>
      </c>
      <c r="O10" s="155">
        <v>409.4</v>
      </c>
      <c r="P10" t="s">
        <v>370</v>
      </c>
      <c r="Q10" s="160">
        <v>2.9000000000000001E-2</v>
      </c>
      <c r="S10" s="273">
        <f t="shared" si="0"/>
        <v>7.2800000000000009E-3</v>
      </c>
      <c r="U10" s="256" t="s">
        <v>8819</v>
      </c>
      <c r="V10" s="260">
        <f>1-V9</f>
        <v>0.4</v>
      </c>
    </row>
    <row r="11" spans="2:28">
      <c r="B11" s="156">
        <v>46159</v>
      </c>
      <c r="C11" s="155">
        <v>23719.3</v>
      </c>
      <c r="D11" s="155">
        <v>23482.2</v>
      </c>
      <c r="E11" s="155">
        <v>23859.9</v>
      </c>
      <c r="F11" s="155">
        <v>23317.1</v>
      </c>
      <c r="G11" t="s">
        <v>298</v>
      </c>
      <c r="H11" s="160">
        <v>3.2000000000000002E-3</v>
      </c>
      <c r="I11" s="5"/>
      <c r="J11" s="130"/>
      <c r="K11" s="156">
        <v>46159</v>
      </c>
      <c r="L11" s="155">
        <v>408.9</v>
      </c>
      <c r="M11" s="155">
        <v>404.6</v>
      </c>
      <c r="N11" s="155">
        <v>418.5</v>
      </c>
      <c r="O11" s="155">
        <v>395.95</v>
      </c>
      <c r="P11" t="s">
        <v>371</v>
      </c>
      <c r="Q11" s="160">
        <v>4.7000000000000002E-3</v>
      </c>
      <c r="S11" s="273">
        <f t="shared" si="0"/>
        <v>3.8000000000000004E-3</v>
      </c>
      <c r="U11" s="256" t="s">
        <v>8826</v>
      </c>
      <c r="V11" s="257">
        <v>0.95</v>
      </c>
    </row>
    <row r="12" spans="2:28">
      <c r="B12" s="156">
        <v>46152</v>
      </c>
      <c r="C12" s="155">
        <v>23643.5</v>
      </c>
      <c r="D12" s="155">
        <v>23970.1</v>
      </c>
      <c r="E12" s="155">
        <v>23997.45</v>
      </c>
      <c r="F12" s="155">
        <v>23262.55</v>
      </c>
      <c r="G12" t="s">
        <v>299</v>
      </c>
      <c r="H12" s="160">
        <v>-2.1999999999999999E-2</v>
      </c>
      <c r="I12" s="5"/>
      <c r="J12" s="130"/>
      <c r="K12" s="156">
        <v>46152</v>
      </c>
      <c r="L12" s="155">
        <v>407</v>
      </c>
      <c r="M12" s="155">
        <v>434</v>
      </c>
      <c r="N12" s="155">
        <v>437.95</v>
      </c>
      <c r="O12" s="155">
        <v>390.8</v>
      </c>
      <c r="P12" t="s">
        <v>372</v>
      </c>
      <c r="Q12" s="160">
        <v>-6.6500000000000004E-2</v>
      </c>
      <c r="S12" s="273">
        <f t="shared" si="0"/>
        <v>-3.9800000000000002E-2</v>
      </c>
      <c r="U12" s="256" t="s">
        <v>8825</v>
      </c>
      <c r="V12" s="257">
        <v>30</v>
      </c>
    </row>
    <row r="13" spans="2:28">
      <c r="B13" s="156">
        <v>46145</v>
      </c>
      <c r="C13" s="155">
        <v>24176.15</v>
      </c>
      <c r="D13" s="155">
        <v>24063.55</v>
      </c>
      <c r="E13" s="155">
        <v>24482.1</v>
      </c>
      <c r="F13" s="155">
        <v>23882.05</v>
      </c>
      <c r="G13" t="s">
        <v>300</v>
      </c>
      <c r="H13" s="160">
        <v>7.4000000000000003E-3</v>
      </c>
      <c r="I13" s="5"/>
      <c r="J13" s="130"/>
      <c r="K13" s="156">
        <v>46145</v>
      </c>
      <c r="L13" s="155">
        <v>436</v>
      </c>
      <c r="M13" s="155">
        <v>445.5</v>
      </c>
      <c r="N13" s="155">
        <v>448</v>
      </c>
      <c r="O13" s="155">
        <v>434.7</v>
      </c>
      <c r="P13" t="s">
        <v>373</v>
      </c>
      <c r="Q13" s="160">
        <v>-1.9199999999999998E-2</v>
      </c>
      <c r="S13" s="273">
        <f t="shared" si="0"/>
        <v>-3.239999999999999E-3</v>
      </c>
      <c r="U13" s="426" t="s">
        <v>8828</v>
      </c>
      <c r="V13" s="277">
        <f>_xlfn.PERCENTILE.INC(S6:S109,(1-V11))*(52^0.5)*(V12/252)</f>
        <v>-3.7233326171291457E-2</v>
      </c>
    </row>
    <row r="14" spans="2:28">
      <c r="B14" s="156">
        <v>46138</v>
      </c>
      <c r="C14" s="155">
        <v>23997.55</v>
      </c>
      <c r="D14" s="155">
        <v>23945.45</v>
      </c>
      <c r="E14" s="155">
        <v>24334.7</v>
      </c>
      <c r="F14" s="155">
        <v>23796.85</v>
      </c>
      <c r="G14" t="s">
        <v>301</v>
      </c>
      <c r="H14" s="160">
        <v>4.1999999999999997E-3</v>
      </c>
      <c r="I14" s="5"/>
      <c r="J14" s="130"/>
      <c r="K14" s="156">
        <v>46138</v>
      </c>
      <c r="L14" s="155">
        <v>444.55</v>
      </c>
      <c r="M14" s="155">
        <v>436.6</v>
      </c>
      <c r="N14" s="155">
        <v>464.9</v>
      </c>
      <c r="O14" s="155">
        <v>435.2</v>
      </c>
      <c r="P14" t="s">
        <v>374</v>
      </c>
      <c r="Q14" s="160">
        <v>2.1999999999999999E-2</v>
      </c>
      <c r="S14" s="273">
        <f t="shared" si="0"/>
        <v>1.132E-2</v>
      </c>
      <c r="U14" s="427"/>
      <c r="V14" s="276">
        <f>_xlfn.PERCENTILE.INC(S7:S110,(1-V11))*V8*(52^0.5)*(V12/252)</f>
        <v>-1858.9192218785047</v>
      </c>
    </row>
    <row r="15" spans="2:28">
      <c r="B15" s="156">
        <v>46131</v>
      </c>
      <c r="C15" s="155">
        <v>23897.95</v>
      </c>
      <c r="D15" s="155">
        <v>24391.5</v>
      </c>
      <c r="E15" s="155">
        <v>24601.7</v>
      </c>
      <c r="F15" s="155">
        <v>23813.65</v>
      </c>
      <c r="G15" t="s">
        <v>302</v>
      </c>
      <c r="H15" s="160">
        <v>-1.8700000000000001E-2</v>
      </c>
      <c r="I15" s="5"/>
      <c r="J15" s="130"/>
      <c r="K15" s="156">
        <v>46131</v>
      </c>
      <c r="L15" s="155">
        <v>435</v>
      </c>
      <c r="M15" s="155">
        <v>427.5</v>
      </c>
      <c r="N15" s="155">
        <v>440.8</v>
      </c>
      <c r="O15" s="155">
        <v>424.45</v>
      </c>
      <c r="P15" t="s">
        <v>375</v>
      </c>
      <c r="Q15" s="160">
        <v>1.7299999999999999E-2</v>
      </c>
      <c r="S15" s="273">
        <f t="shared" si="0"/>
        <v>-4.3000000000000009E-3</v>
      </c>
    </row>
    <row r="16" spans="2:28">
      <c r="B16" s="156">
        <v>46124</v>
      </c>
      <c r="C16" s="155">
        <v>24353.55</v>
      </c>
      <c r="D16" s="155">
        <v>23589.599999999999</v>
      </c>
      <c r="E16" s="155">
        <v>24400.95</v>
      </c>
      <c r="F16" s="155">
        <v>23555.599999999999</v>
      </c>
      <c r="G16" t="s">
        <v>303</v>
      </c>
      <c r="H16" s="160">
        <v>1.26E-2</v>
      </c>
      <c r="I16" s="5"/>
      <c r="J16" s="130"/>
      <c r="K16" s="156">
        <v>46124</v>
      </c>
      <c r="L16" s="155">
        <v>427.6</v>
      </c>
      <c r="M16" s="155">
        <v>394.95</v>
      </c>
      <c r="N16" s="155">
        <v>432</v>
      </c>
      <c r="O16" s="155">
        <v>390.25</v>
      </c>
      <c r="P16" t="s">
        <v>376</v>
      </c>
      <c r="Q16" s="160">
        <v>7.0699999999999999E-2</v>
      </c>
      <c r="S16" s="273">
        <f t="shared" si="0"/>
        <v>3.5839999999999997E-2</v>
      </c>
    </row>
    <row r="17" spans="2:28">
      <c r="B17" s="156">
        <v>46117</v>
      </c>
      <c r="C17" s="155">
        <v>24050.6</v>
      </c>
      <c r="D17" s="155">
        <v>22780.3</v>
      </c>
      <c r="E17" s="155">
        <v>24074.05</v>
      </c>
      <c r="F17" s="155">
        <v>22542.95</v>
      </c>
      <c r="G17" t="s">
        <v>304</v>
      </c>
      <c r="H17" s="160">
        <v>5.8900000000000001E-2</v>
      </c>
      <c r="I17" s="5"/>
      <c r="J17" s="130"/>
      <c r="K17" s="156">
        <v>46117</v>
      </c>
      <c r="L17" s="155">
        <v>399.35</v>
      </c>
      <c r="M17" s="155">
        <v>385.05</v>
      </c>
      <c r="N17" s="155">
        <v>401.35</v>
      </c>
      <c r="O17" s="155">
        <v>378.45</v>
      </c>
      <c r="P17" t="s">
        <v>377</v>
      </c>
      <c r="Q17" s="160">
        <v>3.73E-2</v>
      </c>
      <c r="S17" s="273">
        <f t="shared" si="0"/>
        <v>5.0259999999999999E-2</v>
      </c>
    </row>
    <row r="18" spans="2:28" ht="20.25" customHeight="1">
      <c r="B18" s="156">
        <v>46110</v>
      </c>
      <c r="C18" s="155">
        <v>22713.1</v>
      </c>
      <c r="D18" s="155">
        <v>22549.65</v>
      </c>
      <c r="E18" s="155">
        <v>22941.3</v>
      </c>
      <c r="F18" s="155">
        <v>22182.55</v>
      </c>
      <c r="G18" t="s">
        <v>305</v>
      </c>
      <c r="H18" s="160">
        <v>-4.7000000000000002E-3</v>
      </c>
      <c r="I18" s="5"/>
      <c r="J18" s="130"/>
      <c r="K18" s="156">
        <v>46110</v>
      </c>
      <c r="L18" s="155">
        <v>385</v>
      </c>
      <c r="M18" s="155">
        <v>381</v>
      </c>
      <c r="N18" s="155">
        <v>390.9</v>
      </c>
      <c r="O18" s="155">
        <v>368</v>
      </c>
      <c r="P18" t="s">
        <v>378</v>
      </c>
      <c r="Q18" s="160">
        <v>-1.8E-3</v>
      </c>
      <c r="S18" s="273">
        <f t="shared" si="0"/>
        <v>-3.5400000000000002E-3</v>
      </c>
      <c r="U18" s="292" t="s">
        <v>8972</v>
      </c>
      <c r="V18" s="140"/>
      <c r="W18" s="140"/>
      <c r="X18" s="140"/>
      <c r="Y18" s="140"/>
      <c r="Z18" s="140"/>
      <c r="AA18" s="140"/>
      <c r="AB18" s="140"/>
    </row>
    <row r="19" spans="2:28">
      <c r="B19" s="156">
        <v>46103</v>
      </c>
      <c r="C19" s="155">
        <v>22819.599999999999</v>
      </c>
      <c r="D19" s="155">
        <v>22824.35</v>
      </c>
      <c r="E19" s="155">
        <v>23465.35</v>
      </c>
      <c r="F19" s="155">
        <v>22471.25</v>
      </c>
      <c r="G19" t="s">
        <v>306</v>
      </c>
      <c r="H19" s="160">
        <v>-1.2800000000000001E-2</v>
      </c>
      <c r="I19" s="5"/>
      <c r="J19" s="130"/>
      <c r="K19" s="156">
        <v>46103</v>
      </c>
      <c r="L19" s="155">
        <v>385.7</v>
      </c>
      <c r="M19" s="155">
        <v>402.7</v>
      </c>
      <c r="N19" s="155">
        <v>403.3</v>
      </c>
      <c r="O19" s="155">
        <v>373</v>
      </c>
      <c r="P19" t="s">
        <v>379</v>
      </c>
      <c r="Q19" s="160">
        <v>-4.1500000000000002E-2</v>
      </c>
      <c r="S19" s="273">
        <f t="shared" si="0"/>
        <v>-2.4279999999999999E-2</v>
      </c>
    </row>
    <row r="20" spans="2:28">
      <c r="B20" s="156">
        <v>46096</v>
      </c>
      <c r="C20" s="155">
        <v>23114.5</v>
      </c>
      <c r="D20" s="155">
        <v>23116.1</v>
      </c>
      <c r="E20" s="155">
        <v>23862.25</v>
      </c>
      <c r="F20" s="155">
        <v>22930.35</v>
      </c>
      <c r="G20" t="s">
        <v>307</v>
      </c>
      <c r="H20" s="160">
        <v>-1.6000000000000001E-3</v>
      </c>
      <c r="I20" s="5"/>
      <c r="J20" s="130"/>
      <c r="K20" s="156">
        <v>46096</v>
      </c>
      <c r="L20" s="155">
        <v>402.4</v>
      </c>
      <c r="M20" s="155">
        <v>395.55</v>
      </c>
      <c r="N20" s="155">
        <v>418.45</v>
      </c>
      <c r="O20" s="155">
        <v>385</v>
      </c>
      <c r="P20" t="s">
        <v>380</v>
      </c>
      <c r="Q20" s="160">
        <v>1.89E-2</v>
      </c>
      <c r="S20" s="273">
        <f t="shared" si="0"/>
        <v>6.6000000000000008E-3</v>
      </c>
      <c r="U20" s="430" t="s">
        <v>8814</v>
      </c>
      <c r="V20" s="431"/>
      <c r="X20" s="430" t="s">
        <v>8817</v>
      </c>
      <c r="Y20" s="431"/>
      <c r="AA20" s="428" t="s">
        <v>8824</v>
      </c>
      <c r="AB20" s="429"/>
    </row>
    <row r="21" spans="2:28">
      <c r="B21" s="156">
        <v>46089</v>
      </c>
      <c r="C21" s="155">
        <v>23151.1</v>
      </c>
      <c r="D21" s="155">
        <v>23868.05</v>
      </c>
      <c r="E21" s="155">
        <v>24303.8</v>
      </c>
      <c r="F21" s="155">
        <v>23112</v>
      </c>
      <c r="G21" t="s">
        <v>308</v>
      </c>
      <c r="H21" s="160">
        <v>-5.3100000000000001E-2</v>
      </c>
      <c r="I21" s="5"/>
      <c r="J21" s="130"/>
      <c r="K21" s="156">
        <v>46089</v>
      </c>
      <c r="L21" s="155">
        <v>394.95</v>
      </c>
      <c r="M21" s="155">
        <v>366.5</v>
      </c>
      <c r="N21" s="155">
        <v>407.35</v>
      </c>
      <c r="O21" s="155">
        <v>365.15</v>
      </c>
      <c r="P21" t="s">
        <v>381</v>
      </c>
      <c r="Q21" s="160">
        <v>5.1799999999999999E-2</v>
      </c>
      <c r="S21" s="273">
        <f t="shared" si="0"/>
        <v>-1.1139999999999997E-2</v>
      </c>
      <c r="U21" s="256" t="s">
        <v>8815</v>
      </c>
      <c r="V21" s="271">
        <f>MEDIAN(H7:H110)*52</f>
        <v>0.1326</v>
      </c>
      <c r="X21" s="256" t="s">
        <v>8818</v>
      </c>
      <c r="Y21" s="264">
        <v>50000</v>
      </c>
      <c r="AA21" s="256" t="s">
        <v>8825</v>
      </c>
      <c r="AB21" s="267">
        <v>5</v>
      </c>
    </row>
    <row r="22" spans="2:28">
      <c r="B22" s="156">
        <v>46082</v>
      </c>
      <c r="C22" s="155">
        <v>24450.45</v>
      </c>
      <c r="D22" s="155">
        <v>24659.25</v>
      </c>
      <c r="E22" s="155">
        <v>24989.35</v>
      </c>
      <c r="F22" s="155">
        <v>24305.4</v>
      </c>
      <c r="G22" t="s">
        <v>309</v>
      </c>
      <c r="H22" s="160">
        <v>-2.8899999999999999E-2</v>
      </c>
      <c r="I22" s="5"/>
      <c r="J22" s="130"/>
      <c r="K22" s="156">
        <v>46082</v>
      </c>
      <c r="L22" s="155">
        <v>375.5</v>
      </c>
      <c r="M22" s="155">
        <v>356</v>
      </c>
      <c r="N22" s="155">
        <v>385.25</v>
      </c>
      <c r="O22" s="155">
        <v>356</v>
      </c>
      <c r="P22" t="s">
        <v>382</v>
      </c>
      <c r="Q22" s="160">
        <v>-5.4000000000000003E-3</v>
      </c>
      <c r="S22" s="273">
        <f t="shared" si="0"/>
        <v>-1.9499999999999997E-2</v>
      </c>
      <c r="U22" s="256" t="s">
        <v>8830</v>
      </c>
      <c r="V22" s="259">
        <f>_xlfn.STDEV.S(H7:H110)*(52^0.5)</f>
        <v>0.13178330238086983</v>
      </c>
      <c r="X22" s="256" t="s">
        <v>8820</v>
      </c>
      <c r="Y22" s="266">
        <v>0.6</v>
      </c>
      <c r="AA22" s="256" t="s">
        <v>8829</v>
      </c>
      <c r="AB22" s="261">
        <f>(Days/252)*Portfolio_Value*((Expected_Return*Weight_of_Nifty_50)+(V25*Weight_of_Tata_Power_Ltd.))</f>
        <v>98.769841269841265</v>
      </c>
    </row>
    <row r="23" spans="2:28">
      <c r="B23" s="156">
        <v>46075</v>
      </c>
      <c r="C23" s="155">
        <v>25178.65</v>
      </c>
      <c r="D23" s="155">
        <v>25678.400000000001</v>
      </c>
      <c r="E23" s="155">
        <v>25771.45</v>
      </c>
      <c r="F23" s="155">
        <v>25141.3</v>
      </c>
      <c r="G23" t="s">
        <v>310</v>
      </c>
      <c r="H23" s="160">
        <v>-1.54E-2</v>
      </c>
      <c r="I23" s="5"/>
      <c r="J23" s="130"/>
      <c r="K23" s="156">
        <v>46075</v>
      </c>
      <c r="L23" s="155">
        <v>377.55</v>
      </c>
      <c r="M23" s="155">
        <v>379</v>
      </c>
      <c r="N23" s="155">
        <v>385.4</v>
      </c>
      <c r="O23" s="155">
        <v>372.5</v>
      </c>
      <c r="P23" t="s">
        <v>383</v>
      </c>
      <c r="Q23" s="160">
        <v>-1.1999999999999999E-3</v>
      </c>
      <c r="S23" s="273">
        <f t="shared" si="0"/>
        <v>-9.7199999999999995E-3</v>
      </c>
      <c r="U23" s="256"/>
      <c r="V23" s="257"/>
      <c r="X23" s="256" t="s">
        <v>8819</v>
      </c>
      <c r="Y23" s="260">
        <f>1-Y22</f>
        <v>0.4</v>
      </c>
      <c r="AA23" s="256" t="s">
        <v>8826</v>
      </c>
      <c r="AB23" s="272">
        <v>0.95</v>
      </c>
    </row>
    <row r="24" spans="2:28">
      <c r="B24" s="156">
        <v>46068</v>
      </c>
      <c r="C24" s="155">
        <v>25571.25</v>
      </c>
      <c r="D24" s="155">
        <v>25423.599999999999</v>
      </c>
      <c r="E24" s="155">
        <v>25885.3</v>
      </c>
      <c r="F24" s="155">
        <v>25372.7</v>
      </c>
      <c r="G24" t="s">
        <v>311</v>
      </c>
      <c r="H24" s="160">
        <v>3.8999999999999998E-3</v>
      </c>
      <c r="I24" s="5"/>
      <c r="J24" s="130"/>
      <c r="K24" s="156">
        <v>46068</v>
      </c>
      <c r="L24" s="155">
        <v>378</v>
      </c>
      <c r="M24" s="155">
        <v>372</v>
      </c>
      <c r="N24" s="155">
        <v>384.25</v>
      </c>
      <c r="O24" s="155">
        <v>368.3</v>
      </c>
      <c r="P24" t="s">
        <v>384</v>
      </c>
      <c r="Q24" s="160">
        <v>1.04E-2</v>
      </c>
      <c r="S24" s="273">
        <f t="shared" si="0"/>
        <v>6.4999999999999988E-3</v>
      </c>
      <c r="U24" s="432" t="str">
        <f>K5</f>
        <v xml:space="preserve">Tata Power Ltd. </v>
      </c>
      <c r="V24" s="433"/>
      <c r="X24" s="256"/>
      <c r="Y24" s="257"/>
      <c r="AA24" s="256" t="s">
        <v>8827</v>
      </c>
      <c r="AB24" s="257">
        <f>_xlfn.NORM.S.INV(AB23)</f>
        <v>1.6448536269514715</v>
      </c>
    </row>
    <row r="25" spans="2:28">
      <c r="B25" s="156">
        <v>46061</v>
      </c>
      <c r="C25" s="155">
        <v>25471.1</v>
      </c>
      <c r="D25" s="155">
        <v>25888.7</v>
      </c>
      <c r="E25" s="155">
        <v>26009.4</v>
      </c>
      <c r="F25" s="155">
        <v>25444.3</v>
      </c>
      <c r="G25" t="s">
        <v>301</v>
      </c>
      <c r="H25" s="160">
        <v>-8.6999999999999994E-3</v>
      </c>
      <c r="I25" s="5"/>
      <c r="J25" s="130"/>
      <c r="K25" s="156">
        <v>46061</v>
      </c>
      <c r="L25" s="155">
        <v>374.1</v>
      </c>
      <c r="M25" s="155">
        <v>367</v>
      </c>
      <c r="N25" s="155">
        <v>381.5</v>
      </c>
      <c r="O25" s="155">
        <v>365.1</v>
      </c>
      <c r="P25" t="s">
        <v>385</v>
      </c>
      <c r="Q25" s="160">
        <v>2.23E-2</v>
      </c>
      <c r="S25" s="273">
        <f t="shared" si="0"/>
        <v>3.700000000000001E-3</v>
      </c>
      <c r="U25" s="256" t="s">
        <v>8815</v>
      </c>
      <c r="V25" s="265">
        <v>0.05</v>
      </c>
      <c r="X25" s="256" t="s">
        <v>8821</v>
      </c>
      <c r="Y25" s="348">
        <f>Weight_of_Nifty_50^2*St._dev._nifty^2+Weight_of_Tata_Power_Ltd.^2*St._dev.^2+2*Weight_of_Nifty_50*Weight_of_Tata_Power_Ltd.*Covariance</f>
        <v>1.8756774750261392E-2</v>
      </c>
      <c r="AA25" s="256"/>
      <c r="AB25" s="257"/>
    </row>
    <row r="26" spans="2:28">
      <c r="B26" s="156">
        <v>46054</v>
      </c>
      <c r="C26" s="155">
        <v>25693.7</v>
      </c>
      <c r="D26" s="155">
        <v>25333.75</v>
      </c>
      <c r="E26" s="155">
        <v>26341.200000000001</v>
      </c>
      <c r="F26" s="155">
        <v>24571.75</v>
      </c>
      <c r="G26" t="s">
        <v>312</v>
      </c>
      <c r="H26" s="160">
        <v>1.47E-2</v>
      </c>
      <c r="I26" s="5"/>
      <c r="J26" s="130"/>
      <c r="K26" s="156">
        <v>46054</v>
      </c>
      <c r="L26" s="155">
        <v>365.95</v>
      </c>
      <c r="M26" s="155">
        <v>367.7</v>
      </c>
      <c r="N26" s="155">
        <v>372.25</v>
      </c>
      <c r="O26" s="155">
        <v>348.4</v>
      </c>
      <c r="P26" t="s">
        <v>386</v>
      </c>
      <c r="Q26" s="160">
        <v>-1E-3</v>
      </c>
      <c r="S26" s="273">
        <f t="shared" si="0"/>
        <v>8.4200000000000004E-3</v>
      </c>
      <c r="U26" s="256" t="s">
        <v>8822</v>
      </c>
      <c r="V26" s="259">
        <f>_xlfn.STDEV.S(Q7:Q110)*(52^0.5)</f>
        <v>0.27728519089085629</v>
      </c>
      <c r="X26" s="258" t="s">
        <v>8823</v>
      </c>
      <c r="Y26" s="349">
        <f>Y25^0.5</f>
        <v>0.13695537503238561</v>
      </c>
      <c r="AA26" s="256"/>
      <c r="AB26" s="257"/>
    </row>
    <row r="27" spans="2:28">
      <c r="B27" s="156">
        <v>46047</v>
      </c>
      <c r="C27" s="155">
        <v>25320.65</v>
      </c>
      <c r="D27" s="155">
        <v>25063.35</v>
      </c>
      <c r="E27" s="155">
        <v>25458.15</v>
      </c>
      <c r="F27" s="155">
        <v>24932.55</v>
      </c>
      <c r="G27" t="s">
        <v>313</v>
      </c>
      <c r="H27" s="160">
        <v>1.09E-2</v>
      </c>
      <c r="I27" s="5"/>
      <c r="J27" s="130"/>
      <c r="K27" s="156">
        <v>46047</v>
      </c>
      <c r="L27" s="155">
        <v>366.3</v>
      </c>
      <c r="M27" s="155">
        <v>345.7</v>
      </c>
      <c r="N27" s="155">
        <v>367.5</v>
      </c>
      <c r="O27" s="155">
        <v>342.5</v>
      </c>
      <c r="P27" t="s">
        <v>387</v>
      </c>
      <c r="Q27" s="160">
        <v>6.0999999999999999E-2</v>
      </c>
      <c r="S27" s="273">
        <f t="shared" si="0"/>
        <v>3.0940000000000002E-2</v>
      </c>
      <c r="U27" s="258" t="s">
        <v>8816</v>
      </c>
      <c r="V27" s="278">
        <f>_xlfn.COVARIANCE.S(H7:H110,Q7:Q110)</f>
        <v>4.2245927744585527E-4</v>
      </c>
      <c r="AA27" s="262" t="s">
        <v>8828</v>
      </c>
      <c r="AB27" s="279">
        <f>AB22-(Portfolio_Value*Portfolio_St._dev.)*Z.score*SQRT(Days/252)</f>
        <v>-1487.8068672630668</v>
      </c>
    </row>
    <row r="28" spans="2:28">
      <c r="B28" s="156">
        <v>46040</v>
      </c>
      <c r="C28" s="155">
        <v>25048.65</v>
      </c>
      <c r="D28" s="155">
        <v>25653.1</v>
      </c>
      <c r="E28" s="155">
        <v>25653.3</v>
      </c>
      <c r="F28" s="155">
        <v>24919.8</v>
      </c>
      <c r="G28" t="s">
        <v>314</v>
      </c>
      <c r="H28" s="160">
        <v>-2.5100000000000001E-2</v>
      </c>
      <c r="I28" s="5"/>
      <c r="J28" s="130"/>
      <c r="K28" s="156">
        <v>46040</v>
      </c>
      <c r="L28" s="155">
        <v>345.25</v>
      </c>
      <c r="M28" s="155">
        <v>366.1</v>
      </c>
      <c r="N28" s="155">
        <v>368.7</v>
      </c>
      <c r="O28" s="155">
        <v>344.1</v>
      </c>
      <c r="P28" t="s">
        <v>388</v>
      </c>
      <c r="Q28" s="160">
        <v>-5.7000000000000002E-2</v>
      </c>
      <c r="S28" s="273">
        <f t="shared" si="0"/>
        <v>-3.7860000000000005E-2</v>
      </c>
    </row>
    <row r="29" spans="2:28">
      <c r="B29" s="156">
        <v>46033</v>
      </c>
      <c r="C29" s="155">
        <v>25694.35</v>
      </c>
      <c r="D29" s="155">
        <v>25669.05</v>
      </c>
      <c r="E29" s="155">
        <v>25899.8</v>
      </c>
      <c r="F29" s="155">
        <v>25473.4</v>
      </c>
      <c r="G29" t="s">
        <v>315</v>
      </c>
      <c r="H29" s="160">
        <v>4.0000000000000002E-4</v>
      </c>
      <c r="I29" s="5"/>
      <c r="J29" s="130"/>
      <c r="K29" s="156">
        <v>46033</v>
      </c>
      <c r="L29" s="155">
        <v>366.1</v>
      </c>
      <c r="M29" s="155">
        <v>364.8</v>
      </c>
      <c r="N29" s="155">
        <v>372.35</v>
      </c>
      <c r="O29" s="155">
        <v>360.1</v>
      </c>
      <c r="P29" t="s">
        <v>389</v>
      </c>
      <c r="Q29" s="160">
        <v>3.5999999999999999E-3</v>
      </c>
      <c r="S29" s="273">
        <f t="shared" si="0"/>
        <v>1.6800000000000001E-3</v>
      </c>
    </row>
    <row r="30" spans="2:28" ht="21.75" customHeight="1">
      <c r="B30" s="156">
        <v>46026</v>
      </c>
      <c r="C30" s="155">
        <v>25683.3</v>
      </c>
      <c r="D30" s="155">
        <v>26333.7</v>
      </c>
      <c r="E30" s="155">
        <v>26373.200000000001</v>
      </c>
      <c r="F30" s="155">
        <v>25623</v>
      </c>
      <c r="G30" t="s">
        <v>316</v>
      </c>
      <c r="H30" s="160">
        <v>-2.4500000000000001E-2</v>
      </c>
      <c r="I30" s="5"/>
      <c r="J30" s="130"/>
      <c r="K30" s="156">
        <v>46026</v>
      </c>
      <c r="L30" s="155">
        <v>364.8</v>
      </c>
      <c r="M30" s="155">
        <v>392.5</v>
      </c>
      <c r="N30" s="155">
        <v>393</v>
      </c>
      <c r="O30" s="155">
        <v>362.95</v>
      </c>
      <c r="P30" t="s">
        <v>390</v>
      </c>
      <c r="Q30" s="160">
        <v>-7.1999999999999995E-2</v>
      </c>
      <c r="S30" s="273">
        <f t="shared" si="0"/>
        <v>-4.3499999999999997E-2</v>
      </c>
      <c r="U30" s="292" t="s">
        <v>8971</v>
      </c>
      <c r="V30" s="140"/>
      <c r="W30" s="140"/>
      <c r="X30" s="140"/>
      <c r="Y30" s="140"/>
      <c r="Z30" s="140"/>
      <c r="AA30" s="140"/>
      <c r="AB30" s="140"/>
    </row>
    <row r="31" spans="2:28">
      <c r="B31" s="156">
        <v>46019</v>
      </c>
      <c r="C31" s="155">
        <v>26328.55</v>
      </c>
      <c r="D31" s="155">
        <v>26063.35</v>
      </c>
      <c r="E31" s="155">
        <v>26340</v>
      </c>
      <c r="F31" s="155">
        <v>25878</v>
      </c>
      <c r="G31" t="s">
        <v>317</v>
      </c>
      <c r="H31" s="160">
        <v>1.0999999999999999E-2</v>
      </c>
      <c r="I31" s="5"/>
      <c r="J31" s="130"/>
      <c r="K31" s="156">
        <v>46019</v>
      </c>
      <c r="L31" s="155">
        <v>393.1</v>
      </c>
      <c r="M31" s="155">
        <v>379</v>
      </c>
      <c r="N31" s="155">
        <v>393.65</v>
      </c>
      <c r="O31" s="155">
        <v>372.7</v>
      </c>
      <c r="P31" t="s">
        <v>391</v>
      </c>
      <c r="Q31" s="160">
        <v>3.5700000000000003E-2</v>
      </c>
      <c r="S31" s="273">
        <f t="shared" si="0"/>
        <v>2.0879999999999999E-2</v>
      </c>
    </row>
    <row r="32" spans="2:28">
      <c r="B32" s="156">
        <v>46012</v>
      </c>
      <c r="C32" s="155">
        <v>26042.3</v>
      </c>
      <c r="D32" s="155">
        <v>26055.85</v>
      </c>
      <c r="E32" s="155">
        <v>26236.400000000001</v>
      </c>
      <c r="F32" s="155">
        <v>26008.6</v>
      </c>
      <c r="G32" t="s">
        <v>318</v>
      </c>
      <c r="H32" s="160">
        <v>2.8999999999999998E-3</v>
      </c>
      <c r="I32" s="5"/>
      <c r="J32" s="130"/>
      <c r="K32" s="156">
        <v>46012</v>
      </c>
      <c r="L32" s="155">
        <v>379.55</v>
      </c>
      <c r="M32" s="155">
        <v>381</v>
      </c>
      <c r="N32" s="155">
        <v>383.7</v>
      </c>
      <c r="O32" s="155">
        <v>378.1</v>
      </c>
      <c r="P32" t="s">
        <v>392</v>
      </c>
      <c r="Q32" s="160">
        <v>-2.5999999999999999E-3</v>
      </c>
      <c r="S32" s="273">
        <f t="shared" si="0"/>
        <v>6.9999999999999988E-4</v>
      </c>
      <c r="U32" s="430" t="s">
        <v>8814</v>
      </c>
      <c r="V32" s="431"/>
      <c r="X32" s="430" t="s">
        <v>8817</v>
      </c>
      <c r="Y32" s="431"/>
      <c r="AA32" s="428" t="s">
        <v>8824</v>
      </c>
      <c r="AB32" s="429"/>
    </row>
    <row r="33" spans="2:28">
      <c r="B33" s="156">
        <v>46005</v>
      </c>
      <c r="C33" s="155">
        <v>25966.400000000001</v>
      </c>
      <c r="D33" s="155">
        <v>25930.05</v>
      </c>
      <c r="E33" s="155">
        <v>26047.15</v>
      </c>
      <c r="F33" s="155">
        <v>25726.3</v>
      </c>
      <c r="G33" t="s">
        <v>319</v>
      </c>
      <c r="H33" s="160">
        <v>-3.0999999999999999E-3</v>
      </c>
      <c r="I33" s="5"/>
      <c r="J33" s="130"/>
      <c r="K33" s="156">
        <v>46005</v>
      </c>
      <c r="L33" s="155">
        <v>380.55</v>
      </c>
      <c r="M33" s="155">
        <v>380</v>
      </c>
      <c r="N33" s="155">
        <v>383.3</v>
      </c>
      <c r="O33" s="155">
        <v>373</v>
      </c>
      <c r="P33" t="s">
        <v>393</v>
      </c>
      <c r="Q33" s="160">
        <v>-3.7000000000000002E-3</v>
      </c>
      <c r="S33" s="273">
        <f t="shared" si="0"/>
        <v>-3.3400000000000001E-3</v>
      </c>
      <c r="U33" s="256" t="s">
        <v>8815</v>
      </c>
      <c r="V33" s="263">
        <f>Expected_Return</f>
        <v>0.1326</v>
      </c>
      <c r="X33" s="256" t="s">
        <v>8818</v>
      </c>
      <c r="Y33" s="264">
        <v>50000</v>
      </c>
      <c r="AA33" s="256" t="s">
        <v>8825</v>
      </c>
      <c r="AB33" s="267">
        <v>5</v>
      </c>
    </row>
    <row r="34" spans="2:28">
      <c r="B34" s="156">
        <v>45998</v>
      </c>
      <c r="C34" s="155">
        <v>26046.95</v>
      </c>
      <c r="D34" s="155">
        <v>26159.8</v>
      </c>
      <c r="E34" s="155">
        <v>26178.7</v>
      </c>
      <c r="F34" s="155">
        <v>25693.25</v>
      </c>
      <c r="G34" t="s">
        <v>319</v>
      </c>
      <c r="H34" s="160">
        <v>-5.3E-3</v>
      </c>
      <c r="I34" s="5"/>
      <c r="J34" s="130"/>
      <c r="K34" s="156">
        <v>45998</v>
      </c>
      <c r="L34" s="155">
        <v>381.95</v>
      </c>
      <c r="M34" s="155">
        <v>383.2</v>
      </c>
      <c r="N34" s="155">
        <v>385.25</v>
      </c>
      <c r="O34" s="155">
        <v>369.8</v>
      </c>
      <c r="P34" t="s">
        <v>394</v>
      </c>
      <c r="Q34" s="160">
        <v>-6.6E-3</v>
      </c>
      <c r="S34" s="273">
        <f t="shared" si="0"/>
        <v>-5.8200000000000005E-3</v>
      </c>
      <c r="U34" s="256" t="s">
        <v>8830</v>
      </c>
      <c r="V34" s="259">
        <f>_xlfn.STDEV.S(H19:H122)*(52^0.5)</f>
        <v>0.13204979765341768</v>
      </c>
      <c r="X34" s="256" t="s">
        <v>8820</v>
      </c>
      <c r="Y34" s="266">
        <v>0.6</v>
      </c>
      <c r="AA34" s="256" t="s">
        <v>8829</v>
      </c>
      <c r="AB34" s="261">
        <f>(AB33/252)*Y33*((V33*Y34)+(V37*Y35))</f>
        <v>98.769841269841265</v>
      </c>
    </row>
    <row r="35" spans="2:28">
      <c r="B35" s="156">
        <v>45991</v>
      </c>
      <c r="C35" s="155">
        <v>26186.45</v>
      </c>
      <c r="D35" s="155">
        <v>26325.8</v>
      </c>
      <c r="E35" s="155">
        <v>26325.8</v>
      </c>
      <c r="F35" s="155">
        <v>25891</v>
      </c>
      <c r="G35" t="s">
        <v>319</v>
      </c>
      <c r="H35" s="160">
        <v>-5.9999999999999995E-4</v>
      </c>
      <c r="I35" s="5"/>
      <c r="J35" s="130"/>
      <c r="K35" s="156">
        <v>45991</v>
      </c>
      <c r="L35" s="155">
        <v>384.5</v>
      </c>
      <c r="M35" s="155">
        <v>390.65</v>
      </c>
      <c r="N35" s="155">
        <v>393</v>
      </c>
      <c r="O35" s="155">
        <v>380.55</v>
      </c>
      <c r="P35" t="s">
        <v>395</v>
      </c>
      <c r="Q35" s="160">
        <v>-1.44E-2</v>
      </c>
      <c r="S35" s="273">
        <f t="shared" si="0"/>
        <v>-6.1200000000000004E-3</v>
      </c>
      <c r="U35" s="256"/>
      <c r="V35" s="257"/>
      <c r="X35" s="256" t="s">
        <v>8819</v>
      </c>
      <c r="Y35" s="260">
        <f>1-Y34</f>
        <v>0.4</v>
      </c>
      <c r="AA35" s="256" t="s">
        <v>8827</v>
      </c>
      <c r="AB35" s="257">
        <f ca="1">_xlfn.NORM.S.INV(RAND())</f>
        <v>0.3487873966521175</v>
      </c>
    </row>
    <row r="36" spans="2:28">
      <c r="B36" s="156">
        <v>45984</v>
      </c>
      <c r="C36" s="155">
        <v>26202.95</v>
      </c>
      <c r="D36" s="155">
        <v>26122.799999999999</v>
      </c>
      <c r="E36" s="155">
        <v>26310.45</v>
      </c>
      <c r="F36" s="155">
        <v>25842.95</v>
      </c>
      <c r="G36" t="s">
        <v>315</v>
      </c>
      <c r="H36" s="160">
        <v>5.1999999999999998E-3</v>
      </c>
      <c r="I36" s="5"/>
      <c r="J36" s="130"/>
      <c r="K36" s="156">
        <v>45984</v>
      </c>
      <c r="L36" s="155">
        <v>390.1</v>
      </c>
      <c r="M36" s="155">
        <v>390</v>
      </c>
      <c r="N36" s="155">
        <v>399.95</v>
      </c>
      <c r="O36" s="155">
        <v>379</v>
      </c>
      <c r="P36" t="s">
        <v>396</v>
      </c>
      <c r="Q36" s="160">
        <v>8.0000000000000002E-3</v>
      </c>
      <c r="S36" s="273">
        <f t="shared" si="0"/>
        <v>6.3200000000000001E-3</v>
      </c>
      <c r="U36" s="432" t="str">
        <f>U24</f>
        <v xml:space="preserve">Tata Power Ltd. </v>
      </c>
      <c r="V36" s="433"/>
      <c r="X36" s="256"/>
      <c r="Y36" s="257"/>
      <c r="AA36" s="256"/>
      <c r="AB36" s="257"/>
    </row>
    <row r="37" spans="2:28">
      <c r="B37" s="156">
        <v>45977</v>
      </c>
      <c r="C37" s="155">
        <v>26068.15</v>
      </c>
      <c r="D37" s="155">
        <v>25948.2</v>
      </c>
      <c r="E37" s="155">
        <v>26246.65</v>
      </c>
      <c r="F37" s="155">
        <v>25856.2</v>
      </c>
      <c r="G37" t="s">
        <v>320</v>
      </c>
      <c r="H37" s="160">
        <v>6.1000000000000004E-3</v>
      </c>
      <c r="I37" s="5"/>
      <c r="J37" s="130"/>
      <c r="K37" s="156">
        <v>45977</v>
      </c>
      <c r="L37" s="155">
        <v>387</v>
      </c>
      <c r="M37" s="155">
        <v>388.5</v>
      </c>
      <c r="N37" s="155">
        <v>394</v>
      </c>
      <c r="O37" s="155">
        <v>384.2</v>
      </c>
      <c r="P37" t="s">
        <v>397</v>
      </c>
      <c r="Q37" s="160">
        <v>-3.5999999999999999E-3</v>
      </c>
      <c r="S37" s="273">
        <f t="shared" si="0"/>
        <v>2.2199999999999998E-3</v>
      </c>
      <c r="U37" s="256" t="s">
        <v>8815</v>
      </c>
      <c r="V37" s="265">
        <v>0.05</v>
      </c>
      <c r="X37" s="256" t="s">
        <v>8821</v>
      </c>
      <c r="Y37" s="348">
        <f>Weight_of_Nifty_50^2*St._dev._nifty^2+Weight_of_Tata_Power_Ltd.^2*St._dev.^2+2*Weight_of_Nifty_50*Weight_of_Tata_Power_Ltd.*Covariance</f>
        <v>1.8756774750261392E-2</v>
      </c>
      <c r="AA37" s="262" t="s">
        <v>8973</v>
      </c>
      <c r="AB37" s="279">
        <f ca="1">AB34-(Y33*Y38)*AB35*(AB33/252)^0.5</f>
        <v>-237.6600699944787</v>
      </c>
    </row>
    <row r="38" spans="2:28">
      <c r="B38" s="156">
        <v>45970</v>
      </c>
      <c r="C38" s="155">
        <v>25910.05</v>
      </c>
      <c r="D38" s="155">
        <v>25503.5</v>
      </c>
      <c r="E38" s="155">
        <v>26010.7</v>
      </c>
      <c r="F38" s="155">
        <v>25449.25</v>
      </c>
      <c r="G38" t="s">
        <v>321</v>
      </c>
      <c r="H38" s="160">
        <v>1.6400000000000001E-2</v>
      </c>
      <c r="I38" s="5"/>
      <c r="J38" s="130"/>
      <c r="K38" s="156">
        <v>45970</v>
      </c>
      <c r="L38" s="155">
        <v>388.4</v>
      </c>
      <c r="M38" s="155">
        <v>393.2</v>
      </c>
      <c r="N38" s="155">
        <v>397.9</v>
      </c>
      <c r="O38" s="155">
        <v>385</v>
      </c>
      <c r="P38" t="s">
        <v>398</v>
      </c>
      <c r="Q38" s="160">
        <v>-1.2200000000000001E-2</v>
      </c>
      <c r="S38" s="273">
        <f t="shared" si="0"/>
        <v>4.9599999999999991E-3</v>
      </c>
      <c r="U38" s="256" t="s">
        <v>8822</v>
      </c>
      <c r="V38" s="259">
        <f>_xlfn.STDEV.S(Q19:Q122)*(52^0.5)</f>
        <v>0.27806033925645468</v>
      </c>
      <c r="X38" s="258" t="s">
        <v>8823</v>
      </c>
      <c r="Y38" s="349">
        <f>Y37^0.5</f>
        <v>0.13695537503238561</v>
      </c>
      <c r="AA38" s="268"/>
      <c r="AB38" s="269"/>
    </row>
    <row r="39" spans="2:28">
      <c r="B39" s="156">
        <v>45963</v>
      </c>
      <c r="C39" s="155">
        <v>25492.3</v>
      </c>
      <c r="D39" s="155">
        <v>25696.85</v>
      </c>
      <c r="E39" s="155">
        <v>25803.1</v>
      </c>
      <c r="F39" s="155">
        <v>25318.45</v>
      </c>
      <c r="G39" t="s">
        <v>322</v>
      </c>
      <c r="H39" s="160">
        <v>-8.8999999999999999E-3</v>
      </c>
      <c r="I39" s="5"/>
      <c r="J39" s="130"/>
      <c r="K39" s="156">
        <v>45963</v>
      </c>
      <c r="L39" s="155">
        <v>393.2</v>
      </c>
      <c r="M39" s="155">
        <v>403.85</v>
      </c>
      <c r="N39" s="155">
        <v>409.5</v>
      </c>
      <c r="O39" s="155">
        <v>386</v>
      </c>
      <c r="P39" t="s">
        <v>399</v>
      </c>
      <c r="Q39" s="160">
        <v>-2.8899999999999999E-2</v>
      </c>
      <c r="S39" s="273">
        <f t="shared" si="0"/>
        <v>-1.6900000000000002E-2</v>
      </c>
      <c r="U39" s="258" t="s">
        <v>8816</v>
      </c>
      <c r="V39" s="278">
        <f>_xlfn.COVARIANCE.S(H19:H122,Q19:Q122)</f>
        <v>4.2383921809256665E-4</v>
      </c>
      <c r="AA39" s="256" t="s">
        <v>8826</v>
      </c>
      <c r="AB39" s="257">
        <v>0.95</v>
      </c>
    </row>
    <row r="40" spans="2:28">
      <c r="B40" s="156">
        <v>45956</v>
      </c>
      <c r="C40" s="155">
        <v>25722.1</v>
      </c>
      <c r="D40" s="155">
        <v>25843.200000000001</v>
      </c>
      <c r="E40" s="155">
        <v>26097.85</v>
      </c>
      <c r="F40" s="155">
        <v>25711.200000000001</v>
      </c>
      <c r="G40" t="s">
        <v>323</v>
      </c>
      <c r="H40" s="160">
        <v>-2.8E-3</v>
      </c>
      <c r="I40" s="5"/>
      <c r="J40" s="130"/>
      <c r="K40" s="156">
        <v>45956</v>
      </c>
      <c r="L40" s="155">
        <v>404.9</v>
      </c>
      <c r="M40" s="155">
        <v>396.9</v>
      </c>
      <c r="N40" s="155">
        <v>413.25</v>
      </c>
      <c r="O40" s="155">
        <v>395.65</v>
      </c>
      <c r="P40" t="s">
        <v>400</v>
      </c>
      <c r="Q40" s="160">
        <v>2.0299999999999999E-2</v>
      </c>
      <c r="S40" s="273">
        <f t="shared" si="0"/>
        <v>6.4400000000000004E-3</v>
      </c>
      <c r="AA40" s="262" t="s">
        <v>8833</v>
      </c>
      <c r="AB40" s="279">
        <f>_xlfn.PERCENTILE.INC(V43:V10042,(1-AB39))</f>
        <v>-1487.7937260374997</v>
      </c>
    </row>
    <row r="41" spans="2:28">
      <c r="B41" s="156">
        <v>45949</v>
      </c>
      <c r="C41" s="155">
        <v>25795.15</v>
      </c>
      <c r="D41" s="155">
        <v>25824.6</v>
      </c>
      <c r="E41" s="155">
        <v>26104.2</v>
      </c>
      <c r="F41" s="155">
        <v>25718.2</v>
      </c>
      <c r="G41" t="s">
        <v>324</v>
      </c>
      <c r="H41" s="160">
        <v>3.3E-3</v>
      </c>
      <c r="I41" s="5"/>
      <c r="J41" s="130"/>
      <c r="K41" s="156">
        <v>45949</v>
      </c>
      <c r="L41" s="155">
        <v>396.85</v>
      </c>
      <c r="M41" s="155">
        <v>398.3</v>
      </c>
      <c r="N41" s="155">
        <v>403.85</v>
      </c>
      <c r="O41" s="155">
        <v>394</v>
      </c>
      <c r="P41" t="s">
        <v>401</v>
      </c>
      <c r="Q41" s="160">
        <v>-2.3999999999999998E-3</v>
      </c>
      <c r="S41" s="273">
        <f t="shared" si="0"/>
        <v>1.0200000000000001E-3</v>
      </c>
      <c r="U41" s="415" t="s">
        <v>8834</v>
      </c>
      <c r="V41" s="415"/>
    </row>
    <row r="42" spans="2:28">
      <c r="B42" s="156">
        <v>45942</v>
      </c>
      <c r="C42" s="155">
        <v>25709.85</v>
      </c>
      <c r="D42" s="155">
        <v>25177.3</v>
      </c>
      <c r="E42" s="155">
        <v>25781.5</v>
      </c>
      <c r="F42" s="155">
        <v>25060.55</v>
      </c>
      <c r="G42" t="s">
        <v>325</v>
      </c>
      <c r="H42" s="160">
        <v>1.6799999999999999E-2</v>
      </c>
      <c r="I42" s="5"/>
      <c r="J42" s="130"/>
      <c r="K42" s="156">
        <v>45942</v>
      </c>
      <c r="L42" s="155">
        <v>397.8</v>
      </c>
      <c r="M42" s="155">
        <v>388</v>
      </c>
      <c r="N42" s="155">
        <v>402.8</v>
      </c>
      <c r="O42" s="155">
        <v>385.25</v>
      </c>
      <c r="P42" t="s">
        <v>402</v>
      </c>
      <c r="Q42" s="160">
        <v>1.9699999999999999E-2</v>
      </c>
      <c r="S42" s="273">
        <f t="shared" si="0"/>
        <v>1.7959999999999997E-2</v>
      </c>
      <c r="U42" s="87" t="s">
        <v>8832</v>
      </c>
      <c r="V42" s="350">
        <f ca="1">AB37</f>
        <v>-237.6600699944787</v>
      </c>
    </row>
    <row r="43" spans="2:28">
      <c r="B43" s="156">
        <v>45935</v>
      </c>
      <c r="C43" s="155">
        <v>25285.35</v>
      </c>
      <c r="D43" s="155">
        <v>24916.55</v>
      </c>
      <c r="E43" s="155">
        <v>25330.75</v>
      </c>
      <c r="F43" s="155">
        <v>24881.65</v>
      </c>
      <c r="G43" t="s">
        <v>326</v>
      </c>
      <c r="H43" s="160">
        <v>1.5699999999999999E-2</v>
      </c>
      <c r="I43" s="5"/>
      <c r="J43" s="130"/>
      <c r="K43" s="156">
        <v>45935</v>
      </c>
      <c r="L43" s="155">
        <v>390.1</v>
      </c>
      <c r="M43" s="155">
        <v>394.9</v>
      </c>
      <c r="N43" s="155">
        <v>397.5</v>
      </c>
      <c r="O43" s="155">
        <v>381.5</v>
      </c>
      <c r="P43" t="s">
        <v>403</v>
      </c>
      <c r="Q43" s="160">
        <v>-1.2200000000000001E-2</v>
      </c>
      <c r="S43" s="273">
        <f t="shared" si="0"/>
        <v>4.5399999999999989E-3</v>
      </c>
      <c r="U43">
        <v>1</v>
      </c>
      <c r="V43" s="197">
        <f t="dataTable" ref="V43:V10042" dt2D="0" dtr="0" r1="W41" ca="1"/>
        <v>329.16963161814022</v>
      </c>
    </row>
    <row r="44" spans="2:28">
      <c r="B44" s="156">
        <v>45928</v>
      </c>
      <c r="C44" s="155">
        <v>24894.25</v>
      </c>
      <c r="D44" s="155">
        <v>24728.55</v>
      </c>
      <c r="E44" s="155">
        <v>24904.799999999999</v>
      </c>
      <c r="F44" s="155">
        <v>24587.7</v>
      </c>
      <c r="G44" t="s">
        <v>327</v>
      </c>
      <c r="H44" s="160">
        <v>9.7000000000000003E-3</v>
      </c>
      <c r="I44" s="5"/>
      <c r="J44" s="130"/>
      <c r="K44" s="156">
        <v>45928</v>
      </c>
      <c r="L44" s="155">
        <v>394.9</v>
      </c>
      <c r="M44" s="155">
        <v>384.25</v>
      </c>
      <c r="N44" s="155">
        <v>395.5</v>
      </c>
      <c r="O44" s="155">
        <v>383.25</v>
      </c>
      <c r="P44" t="s">
        <v>404</v>
      </c>
      <c r="Q44" s="160">
        <v>2.8899999999999999E-2</v>
      </c>
      <c r="S44" s="273">
        <f t="shared" si="0"/>
        <v>1.738E-2</v>
      </c>
      <c r="U44">
        <v>2</v>
      </c>
      <c r="V44" s="197">
        <v>90.355602533024097</v>
      </c>
    </row>
    <row r="45" spans="2:28">
      <c r="B45" s="156">
        <v>45921</v>
      </c>
      <c r="C45" s="155">
        <v>24654.7</v>
      </c>
      <c r="D45" s="155">
        <v>25238.1</v>
      </c>
      <c r="E45" s="155">
        <v>25331.7</v>
      </c>
      <c r="F45" s="155">
        <v>24629.45</v>
      </c>
      <c r="G45" t="s">
        <v>328</v>
      </c>
      <c r="H45" s="160">
        <v>-2.6499999999999999E-2</v>
      </c>
      <c r="I45" s="5"/>
      <c r="J45" s="130"/>
      <c r="K45" s="156">
        <v>45921</v>
      </c>
      <c r="L45" s="155">
        <v>383.8</v>
      </c>
      <c r="M45" s="155">
        <v>396</v>
      </c>
      <c r="N45" s="155">
        <v>399.9</v>
      </c>
      <c r="O45" s="155">
        <v>382.2</v>
      </c>
      <c r="P45" t="s">
        <v>405</v>
      </c>
      <c r="Q45" s="160">
        <v>-3.15E-2</v>
      </c>
      <c r="S45" s="273">
        <f t="shared" si="0"/>
        <v>-2.8499999999999998E-2</v>
      </c>
      <c r="U45">
        <v>3</v>
      </c>
      <c r="V45" s="197">
        <v>375.00254803116411</v>
      </c>
    </row>
    <row r="46" spans="2:28">
      <c r="B46" s="156">
        <v>45914</v>
      </c>
      <c r="C46" s="155">
        <v>25327.05</v>
      </c>
      <c r="D46" s="155">
        <v>25118.9</v>
      </c>
      <c r="E46" s="155">
        <v>25448.95</v>
      </c>
      <c r="F46" s="155">
        <v>25048.75</v>
      </c>
      <c r="G46" t="s">
        <v>329</v>
      </c>
      <c r="H46" s="160">
        <v>8.5000000000000006E-3</v>
      </c>
      <c r="I46" s="5"/>
      <c r="J46" s="130"/>
      <c r="K46" s="156">
        <v>45914</v>
      </c>
      <c r="L46" s="155">
        <v>396.3</v>
      </c>
      <c r="M46" s="155">
        <v>386</v>
      </c>
      <c r="N46" s="155">
        <v>399.8</v>
      </c>
      <c r="O46" s="155">
        <v>385.5</v>
      </c>
      <c r="P46" t="s">
        <v>406</v>
      </c>
      <c r="Q46" s="160">
        <v>2.5999999999999999E-2</v>
      </c>
      <c r="S46" s="273">
        <f t="shared" si="0"/>
        <v>1.55E-2</v>
      </c>
      <c r="U46">
        <v>4</v>
      </c>
      <c r="V46" s="197">
        <v>226.03069540846718</v>
      </c>
    </row>
    <row r="47" spans="2:28">
      <c r="B47" s="156">
        <v>45907</v>
      </c>
      <c r="C47" s="155">
        <v>25114</v>
      </c>
      <c r="D47" s="155">
        <v>24802.6</v>
      </c>
      <c r="E47" s="155">
        <v>25139.45</v>
      </c>
      <c r="F47" s="155">
        <v>24751.55</v>
      </c>
      <c r="G47" t="s">
        <v>330</v>
      </c>
      <c r="H47" s="160">
        <v>1.5100000000000001E-2</v>
      </c>
      <c r="I47" s="5"/>
      <c r="J47" s="130"/>
      <c r="K47" s="156">
        <v>45907</v>
      </c>
      <c r="L47" s="155">
        <v>386.25</v>
      </c>
      <c r="M47" s="155">
        <v>385.8</v>
      </c>
      <c r="N47" s="155">
        <v>390.95</v>
      </c>
      <c r="O47" s="155">
        <v>381.15</v>
      </c>
      <c r="P47" t="s">
        <v>407</v>
      </c>
      <c r="Q47" s="160">
        <v>1.1999999999999999E-3</v>
      </c>
      <c r="S47" s="273">
        <f t="shared" si="0"/>
        <v>9.5399999999999999E-3</v>
      </c>
      <c r="U47">
        <v>5</v>
      </c>
      <c r="V47" s="197">
        <v>-1131.6140971647098</v>
      </c>
    </row>
    <row r="48" spans="2:28">
      <c r="B48" s="156">
        <v>45900</v>
      </c>
      <c r="C48" s="155">
        <v>24741</v>
      </c>
      <c r="D48" s="155">
        <v>24432.7</v>
      </c>
      <c r="E48" s="155">
        <v>24980.75</v>
      </c>
      <c r="F48" s="155">
        <v>24432.7</v>
      </c>
      <c r="G48" t="s">
        <v>327</v>
      </c>
      <c r="H48" s="160">
        <v>1.29E-2</v>
      </c>
      <c r="I48" s="5"/>
      <c r="J48" s="130"/>
      <c r="K48" s="156">
        <v>45900</v>
      </c>
      <c r="L48" s="155">
        <v>385.8</v>
      </c>
      <c r="M48" s="155">
        <v>374.15</v>
      </c>
      <c r="N48" s="155">
        <v>392</v>
      </c>
      <c r="O48" s="155">
        <v>374.15</v>
      </c>
      <c r="P48" t="s">
        <v>408</v>
      </c>
      <c r="Q48" s="160">
        <v>3.1099999999999999E-2</v>
      </c>
      <c r="S48" s="273">
        <f t="shared" si="0"/>
        <v>2.018E-2</v>
      </c>
      <c r="U48">
        <v>6</v>
      </c>
      <c r="V48" s="197">
        <v>2407.9616270076535</v>
      </c>
    </row>
    <row r="49" spans="2:22">
      <c r="B49" s="156">
        <v>45893</v>
      </c>
      <c r="C49" s="155">
        <v>24426.85</v>
      </c>
      <c r="D49" s="155">
        <v>24949.15</v>
      </c>
      <c r="E49" s="155">
        <v>25021.55</v>
      </c>
      <c r="F49" s="155">
        <v>24404.7</v>
      </c>
      <c r="G49" t="s">
        <v>331</v>
      </c>
      <c r="H49" s="160">
        <v>-1.78E-2</v>
      </c>
      <c r="I49" s="5"/>
      <c r="J49" s="130"/>
      <c r="K49" s="156">
        <v>45893</v>
      </c>
      <c r="L49" s="155">
        <v>374.15</v>
      </c>
      <c r="M49" s="155">
        <v>386.05</v>
      </c>
      <c r="N49" s="155">
        <v>388.4</v>
      </c>
      <c r="O49" s="155">
        <v>368.5</v>
      </c>
      <c r="P49" t="s">
        <v>409</v>
      </c>
      <c r="Q49" s="160">
        <v>-2.9700000000000001E-2</v>
      </c>
      <c r="S49" s="273">
        <f t="shared" si="0"/>
        <v>-2.2560000000000004E-2</v>
      </c>
      <c r="U49">
        <v>7</v>
      </c>
      <c r="V49" s="197">
        <v>1980.203442625414</v>
      </c>
    </row>
    <row r="50" spans="2:22">
      <c r="B50" s="156">
        <v>45886</v>
      </c>
      <c r="C50" s="155">
        <v>24870.1</v>
      </c>
      <c r="D50" s="155">
        <v>24938.2</v>
      </c>
      <c r="E50" s="155">
        <v>25153.65</v>
      </c>
      <c r="F50" s="155">
        <v>24852.85</v>
      </c>
      <c r="G50" t="s">
        <v>332</v>
      </c>
      <c r="H50" s="160">
        <v>9.7000000000000003E-3</v>
      </c>
      <c r="I50" s="5"/>
      <c r="J50" s="130"/>
      <c r="K50" s="156">
        <v>45886</v>
      </c>
      <c r="L50" s="155">
        <v>385.6</v>
      </c>
      <c r="M50" s="155">
        <v>389</v>
      </c>
      <c r="N50" s="155">
        <v>392.45</v>
      </c>
      <c r="O50" s="155">
        <v>384.7</v>
      </c>
      <c r="P50" t="s">
        <v>410</v>
      </c>
      <c r="Q50" s="160">
        <v>8.0000000000000004E-4</v>
      </c>
      <c r="S50" s="273">
        <f t="shared" si="0"/>
        <v>6.1399999999999996E-3</v>
      </c>
      <c r="U50">
        <v>8</v>
      </c>
      <c r="V50" s="197">
        <v>886.64658304240743</v>
      </c>
    </row>
    <row r="51" spans="2:22">
      <c r="B51" s="156">
        <v>45879</v>
      </c>
      <c r="C51" s="155">
        <v>24631.3</v>
      </c>
      <c r="D51" s="155">
        <v>24371.5</v>
      </c>
      <c r="E51" s="155">
        <v>24702.6</v>
      </c>
      <c r="F51" s="155">
        <v>24347.45</v>
      </c>
      <c r="G51" t="s">
        <v>333</v>
      </c>
      <c r="H51" s="160">
        <v>1.0999999999999999E-2</v>
      </c>
      <c r="I51" s="5"/>
      <c r="J51" s="130"/>
      <c r="K51" s="156">
        <v>45879</v>
      </c>
      <c r="L51" s="155">
        <v>385.3</v>
      </c>
      <c r="M51" s="155">
        <v>380</v>
      </c>
      <c r="N51" s="155">
        <v>388.95</v>
      </c>
      <c r="O51" s="155">
        <v>377.5</v>
      </c>
      <c r="P51" t="s">
        <v>411</v>
      </c>
      <c r="Q51" s="160">
        <v>1.72E-2</v>
      </c>
      <c r="S51" s="273">
        <f t="shared" si="0"/>
        <v>1.3479999999999999E-2</v>
      </c>
      <c r="U51">
        <v>9</v>
      </c>
      <c r="V51" s="197">
        <v>-72.302762552838999</v>
      </c>
    </row>
    <row r="52" spans="2:22">
      <c r="B52" s="156">
        <v>45872</v>
      </c>
      <c r="C52" s="155">
        <v>24363.3</v>
      </c>
      <c r="D52" s="155">
        <v>24596.05</v>
      </c>
      <c r="E52" s="155">
        <v>24736.25</v>
      </c>
      <c r="F52" s="155">
        <v>24337.5</v>
      </c>
      <c r="G52" t="s">
        <v>334</v>
      </c>
      <c r="H52" s="160">
        <v>-8.2000000000000007E-3</v>
      </c>
      <c r="I52" s="5"/>
      <c r="J52" s="130"/>
      <c r="K52" s="156">
        <v>45872</v>
      </c>
      <c r="L52" s="155">
        <v>378.8</v>
      </c>
      <c r="M52" s="155">
        <v>390</v>
      </c>
      <c r="N52" s="155">
        <v>391.65</v>
      </c>
      <c r="O52" s="155">
        <v>376</v>
      </c>
      <c r="P52" t="s">
        <v>412</v>
      </c>
      <c r="Q52" s="160">
        <v>-2.7E-2</v>
      </c>
      <c r="S52" s="273">
        <f t="shared" si="0"/>
        <v>-1.5720000000000001E-2</v>
      </c>
      <c r="U52">
        <v>10</v>
      </c>
      <c r="V52" s="197">
        <v>-1041.1232297341344</v>
      </c>
    </row>
    <row r="53" spans="2:22">
      <c r="B53" s="156">
        <v>45865</v>
      </c>
      <c r="C53" s="155">
        <v>24565.35</v>
      </c>
      <c r="D53" s="155">
        <v>24782.45</v>
      </c>
      <c r="E53" s="155">
        <v>24956.5</v>
      </c>
      <c r="F53" s="155">
        <v>24535.05</v>
      </c>
      <c r="G53" t="s">
        <v>335</v>
      </c>
      <c r="H53" s="160">
        <v>-1.09E-2</v>
      </c>
      <c r="I53" s="5"/>
      <c r="J53" s="130"/>
      <c r="K53" s="156">
        <v>45865</v>
      </c>
      <c r="L53" s="155">
        <v>389.3</v>
      </c>
      <c r="M53" s="155">
        <v>394.1</v>
      </c>
      <c r="N53" s="155">
        <v>403.8</v>
      </c>
      <c r="O53" s="155">
        <v>388.2</v>
      </c>
      <c r="P53" t="s">
        <v>413</v>
      </c>
      <c r="Q53" s="160">
        <v>-1.5299999999999999E-2</v>
      </c>
      <c r="S53" s="273">
        <f t="shared" si="0"/>
        <v>-1.2660000000000001E-2</v>
      </c>
      <c r="U53">
        <v>11</v>
      </c>
      <c r="V53" s="197">
        <v>343.17527281742468</v>
      </c>
    </row>
    <row r="54" spans="2:22">
      <c r="B54" s="156">
        <v>45858</v>
      </c>
      <c r="C54" s="155">
        <v>24837</v>
      </c>
      <c r="D54" s="155">
        <v>24999</v>
      </c>
      <c r="E54" s="155">
        <v>25246.25</v>
      </c>
      <c r="F54" s="155">
        <v>24806.35</v>
      </c>
      <c r="G54" t="s">
        <v>336</v>
      </c>
      <c r="H54" s="160">
        <v>-5.3E-3</v>
      </c>
      <c r="I54" s="5"/>
      <c r="J54" s="130"/>
      <c r="K54" s="156">
        <v>45858</v>
      </c>
      <c r="L54" s="155">
        <v>395.35</v>
      </c>
      <c r="M54" s="155">
        <v>404</v>
      </c>
      <c r="N54" s="155">
        <v>405</v>
      </c>
      <c r="O54" s="155">
        <v>394.3</v>
      </c>
      <c r="P54" t="s">
        <v>414</v>
      </c>
      <c r="Q54" s="160">
        <v>-3.0800000000000001E-2</v>
      </c>
      <c r="S54" s="273">
        <f t="shared" si="0"/>
        <v>-1.5500000000000002E-2</v>
      </c>
      <c r="U54">
        <v>12</v>
      </c>
      <c r="V54" s="197">
        <v>1901.6833369671201</v>
      </c>
    </row>
    <row r="55" spans="2:22">
      <c r="B55" s="156">
        <v>45851</v>
      </c>
      <c r="C55" s="155">
        <v>24968.400000000001</v>
      </c>
      <c r="D55" s="155">
        <v>25149.5</v>
      </c>
      <c r="E55" s="155">
        <v>25255.3</v>
      </c>
      <c r="F55" s="155">
        <v>24918.65</v>
      </c>
      <c r="G55" t="s">
        <v>320</v>
      </c>
      <c r="H55" s="160">
        <v>-7.1999999999999998E-3</v>
      </c>
      <c r="I55" s="5"/>
      <c r="J55" s="130"/>
      <c r="K55" s="156">
        <v>45851</v>
      </c>
      <c r="L55" s="155">
        <v>407.9</v>
      </c>
      <c r="M55" s="155">
        <v>396.85</v>
      </c>
      <c r="N55" s="155">
        <v>416.75</v>
      </c>
      <c r="O55" s="155">
        <v>395.5</v>
      </c>
      <c r="P55" t="s">
        <v>415</v>
      </c>
      <c r="Q55" s="160">
        <v>2.7799999999999998E-2</v>
      </c>
      <c r="S55" s="273">
        <f t="shared" si="0"/>
        <v>6.7999999999999996E-3</v>
      </c>
      <c r="U55">
        <v>13</v>
      </c>
      <c r="V55" s="197">
        <v>475.68121718920924</v>
      </c>
    </row>
    <row r="56" spans="2:22">
      <c r="B56" s="156">
        <v>45844</v>
      </c>
      <c r="C56" s="155">
        <v>25149.85</v>
      </c>
      <c r="D56" s="155">
        <v>25450.45</v>
      </c>
      <c r="E56" s="155">
        <v>25548.7</v>
      </c>
      <c r="F56" s="155">
        <v>25129</v>
      </c>
      <c r="G56" t="s">
        <v>337</v>
      </c>
      <c r="H56" s="160">
        <v>-1.2200000000000001E-2</v>
      </c>
      <c r="I56" s="5"/>
      <c r="J56" s="130"/>
      <c r="K56" s="156">
        <v>45844</v>
      </c>
      <c r="L56" s="155">
        <v>396.85</v>
      </c>
      <c r="M56" s="155">
        <v>401</v>
      </c>
      <c r="N56" s="155">
        <v>406.65</v>
      </c>
      <c r="O56" s="155">
        <v>395.4</v>
      </c>
      <c r="P56" t="s">
        <v>416</v>
      </c>
      <c r="Q56" s="160">
        <v>-1.03E-2</v>
      </c>
      <c r="S56" s="273">
        <f t="shared" si="0"/>
        <v>-1.1440000000000001E-2</v>
      </c>
      <c r="U56">
        <v>14</v>
      </c>
      <c r="V56" s="197">
        <v>686.7829396913362</v>
      </c>
    </row>
    <row r="57" spans="2:22">
      <c r="B57" s="156">
        <v>45837</v>
      </c>
      <c r="C57" s="155">
        <v>25461</v>
      </c>
      <c r="D57" s="155">
        <v>25661.65</v>
      </c>
      <c r="E57" s="155">
        <v>25669.35</v>
      </c>
      <c r="F57" s="155">
        <v>25331.65</v>
      </c>
      <c r="G57" t="s">
        <v>338</v>
      </c>
      <c r="H57" s="160">
        <v>-6.8999999999999999E-3</v>
      </c>
      <c r="I57" s="5"/>
      <c r="J57" s="130"/>
      <c r="K57" s="156">
        <v>45837</v>
      </c>
      <c r="L57" s="155">
        <v>401</v>
      </c>
      <c r="M57" s="155">
        <v>408.85</v>
      </c>
      <c r="N57" s="155">
        <v>410.9</v>
      </c>
      <c r="O57" s="155">
        <v>396.6</v>
      </c>
      <c r="P57" t="s">
        <v>417</v>
      </c>
      <c r="Q57" s="160">
        <v>-1.9199999999999998E-2</v>
      </c>
      <c r="S57" s="273">
        <f t="shared" si="0"/>
        <v>-1.1819999999999999E-2</v>
      </c>
      <c r="U57">
        <v>15</v>
      </c>
      <c r="V57" s="197">
        <v>1286.4403232619311</v>
      </c>
    </row>
    <row r="58" spans="2:22">
      <c r="B58" s="156">
        <v>45830</v>
      </c>
      <c r="C58" s="155">
        <v>25637.8</v>
      </c>
      <c r="D58" s="155">
        <v>24939.75</v>
      </c>
      <c r="E58" s="155">
        <v>25654.2</v>
      </c>
      <c r="F58" s="155">
        <v>24824.85</v>
      </c>
      <c r="G58" t="s">
        <v>339</v>
      </c>
      <c r="H58" s="160">
        <v>2.0899999999999998E-2</v>
      </c>
      <c r="I58" s="5"/>
      <c r="J58" s="130"/>
      <c r="K58" s="156">
        <v>45830</v>
      </c>
      <c r="L58" s="155">
        <v>408.85</v>
      </c>
      <c r="M58" s="155">
        <v>385</v>
      </c>
      <c r="N58" s="155">
        <v>411.5</v>
      </c>
      <c r="O58" s="155">
        <v>384.55</v>
      </c>
      <c r="P58" t="s">
        <v>418</v>
      </c>
      <c r="Q58" s="160">
        <v>4.8099999999999997E-2</v>
      </c>
      <c r="S58" s="273">
        <f t="shared" si="0"/>
        <v>3.1780000000000003E-2</v>
      </c>
      <c r="U58">
        <v>16</v>
      </c>
      <c r="V58" s="197">
        <v>-556.60443793211971</v>
      </c>
    </row>
    <row r="59" spans="2:22">
      <c r="B59" s="156">
        <v>45823</v>
      </c>
      <c r="C59" s="155">
        <v>25112.400000000001</v>
      </c>
      <c r="D59" s="155">
        <v>24732.35</v>
      </c>
      <c r="E59" s="155">
        <v>25136.2</v>
      </c>
      <c r="F59" s="155">
        <v>24703.599999999999</v>
      </c>
      <c r="G59" t="s">
        <v>340</v>
      </c>
      <c r="H59" s="160">
        <v>1.5900000000000001E-2</v>
      </c>
      <c r="I59" s="5"/>
      <c r="J59" s="130"/>
      <c r="K59" s="156">
        <v>45823</v>
      </c>
      <c r="L59" s="155">
        <v>390.1</v>
      </c>
      <c r="M59" s="155">
        <v>397</v>
      </c>
      <c r="N59" s="155">
        <v>402.2</v>
      </c>
      <c r="O59" s="155">
        <v>381.6</v>
      </c>
      <c r="P59" t="s">
        <v>419</v>
      </c>
      <c r="Q59" s="160">
        <v>-1.7899999999999999E-2</v>
      </c>
      <c r="S59" s="273">
        <f t="shared" si="0"/>
        <v>2.3800000000000002E-3</v>
      </c>
      <c r="U59">
        <v>17</v>
      </c>
      <c r="V59" s="197">
        <v>958.82545440001491</v>
      </c>
    </row>
    <row r="60" spans="2:22">
      <c r="B60" s="156">
        <v>45816</v>
      </c>
      <c r="C60" s="155">
        <v>24718.6</v>
      </c>
      <c r="D60" s="155">
        <v>25160.1</v>
      </c>
      <c r="E60" s="155">
        <v>25222.400000000001</v>
      </c>
      <c r="F60" s="155">
        <v>24473</v>
      </c>
      <c r="G60" t="s">
        <v>341</v>
      </c>
      <c r="H60" s="160">
        <v>-1.14E-2</v>
      </c>
      <c r="I60" s="5"/>
      <c r="J60" s="130"/>
      <c r="K60" s="156">
        <v>45816</v>
      </c>
      <c r="L60" s="155">
        <v>397.2</v>
      </c>
      <c r="M60" s="155">
        <v>400.4</v>
      </c>
      <c r="N60" s="155">
        <v>416.8</v>
      </c>
      <c r="O60" s="155">
        <v>393.75</v>
      </c>
      <c r="P60" t="s">
        <v>420</v>
      </c>
      <c r="Q60" s="160">
        <v>-5.8999999999999999E-3</v>
      </c>
      <c r="S60" s="273">
        <f t="shared" si="0"/>
        <v>-9.1999999999999998E-3</v>
      </c>
      <c r="U60">
        <v>18</v>
      </c>
      <c r="V60" s="197">
        <v>-1212.1772069672106</v>
      </c>
    </row>
    <row r="61" spans="2:22">
      <c r="B61" s="156">
        <v>45809</v>
      </c>
      <c r="C61" s="155">
        <v>25003.05</v>
      </c>
      <c r="D61" s="155">
        <v>24669.7</v>
      </c>
      <c r="E61" s="155">
        <v>25029.5</v>
      </c>
      <c r="F61" s="155">
        <v>24502.15</v>
      </c>
      <c r="G61" t="s">
        <v>334</v>
      </c>
      <c r="H61" s="160">
        <v>1.0200000000000001E-2</v>
      </c>
      <c r="I61" s="5"/>
      <c r="J61" s="130"/>
      <c r="K61" s="156">
        <v>45809</v>
      </c>
      <c r="L61" s="155">
        <v>399.55</v>
      </c>
      <c r="M61" s="155">
        <v>392.8</v>
      </c>
      <c r="N61" s="155">
        <v>400.8</v>
      </c>
      <c r="O61" s="155">
        <v>389.05</v>
      </c>
      <c r="P61" t="s">
        <v>421</v>
      </c>
      <c r="Q61" s="160">
        <v>1.72E-2</v>
      </c>
      <c r="S61" s="273">
        <f t="shared" si="0"/>
        <v>1.3000000000000001E-2</v>
      </c>
      <c r="U61">
        <v>19</v>
      </c>
      <c r="V61" s="197">
        <v>1684.8935147700984</v>
      </c>
    </row>
    <row r="62" spans="2:22">
      <c r="B62" s="156">
        <v>45802</v>
      </c>
      <c r="C62" s="155">
        <v>24750.7</v>
      </c>
      <c r="D62" s="155">
        <v>24919.35</v>
      </c>
      <c r="E62" s="155">
        <v>25079.200000000001</v>
      </c>
      <c r="F62" s="155">
        <v>24677.3</v>
      </c>
      <c r="G62" t="s">
        <v>342</v>
      </c>
      <c r="H62" s="160">
        <v>-4.1000000000000003E-3</v>
      </c>
      <c r="I62" s="5"/>
      <c r="J62" s="130"/>
      <c r="K62" s="156">
        <v>45802</v>
      </c>
      <c r="L62" s="155">
        <v>392.8</v>
      </c>
      <c r="M62" s="155">
        <v>402.25</v>
      </c>
      <c r="N62" s="155">
        <v>406</v>
      </c>
      <c r="O62" s="155">
        <v>391.05</v>
      </c>
      <c r="P62" t="s">
        <v>422</v>
      </c>
      <c r="Q62" s="160">
        <v>-2.3E-2</v>
      </c>
      <c r="S62" s="273">
        <f t="shared" si="0"/>
        <v>-1.166E-2</v>
      </c>
      <c r="U62">
        <v>20</v>
      </c>
      <c r="V62" s="197">
        <v>-458.65729222882675</v>
      </c>
    </row>
    <row r="63" spans="2:22">
      <c r="B63" s="156">
        <v>45795</v>
      </c>
      <c r="C63" s="155">
        <v>24853.15</v>
      </c>
      <c r="D63" s="155">
        <v>25005.35</v>
      </c>
      <c r="E63" s="155">
        <v>25062.95</v>
      </c>
      <c r="F63" s="155">
        <v>24462.400000000001</v>
      </c>
      <c r="G63" t="s">
        <v>336</v>
      </c>
      <c r="H63" s="160">
        <v>-6.7000000000000002E-3</v>
      </c>
      <c r="I63" s="5"/>
      <c r="J63" s="130"/>
      <c r="K63" s="156">
        <v>45795</v>
      </c>
      <c r="L63" s="155">
        <v>402.05</v>
      </c>
      <c r="M63" s="155">
        <v>407.8</v>
      </c>
      <c r="N63" s="155">
        <v>411.95</v>
      </c>
      <c r="O63" s="155">
        <v>389.5</v>
      </c>
      <c r="P63" t="s">
        <v>423</v>
      </c>
      <c r="Q63" s="160">
        <v>-9.1999999999999998E-3</v>
      </c>
      <c r="S63" s="273">
        <f t="shared" si="0"/>
        <v>-7.7000000000000002E-3</v>
      </c>
      <c r="U63">
        <v>21</v>
      </c>
      <c r="V63" s="197">
        <v>-264.02646913164762</v>
      </c>
    </row>
    <row r="64" spans="2:22">
      <c r="B64" s="156">
        <v>45788</v>
      </c>
      <c r="C64" s="155">
        <v>25019.8</v>
      </c>
      <c r="D64" s="155">
        <v>24420.1</v>
      </c>
      <c r="E64" s="155">
        <v>25116.25</v>
      </c>
      <c r="F64" s="155">
        <v>24378.85</v>
      </c>
      <c r="G64" t="s">
        <v>343</v>
      </c>
      <c r="H64" s="160">
        <v>4.2099999999999999E-2</v>
      </c>
      <c r="I64" s="5"/>
      <c r="J64" s="130"/>
      <c r="K64" s="156">
        <v>45788</v>
      </c>
      <c r="L64" s="155">
        <v>405.8</v>
      </c>
      <c r="M64" s="155">
        <v>382</v>
      </c>
      <c r="N64" s="155">
        <v>409.8</v>
      </c>
      <c r="O64" s="155">
        <v>378.5</v>
      </c>
      <c r="P64" t="s">
        <v>424</v>
      </c>
      <c r="Q64" s="160">
        <v>9.3799999999999994E-2</v>
      </c>
      <c r="S64" s="273">
        <f t="shared" si="0"/>
        <v>6.2780000000000002E-2</v>
      </c>
      <c r="U64">
        <v>22</v>
      </c>
      <c r="V64" s="197">
        <v>-1095.2736283244005</v>
      </c>
    </row>
    <row r="65" spans="2:22">
      <c r="B65" s="156">
        <v>45781</v>
      </c>
      <c r="C65" s="155">
        <v>24008</v>
      </c>
      <c r="D65" s="155">
        <v>24419.5</v>
      </c>
      <c r="E65" s="155">
        <v>24526.400000000001</v>
      </c>
      <c r="F65" s="155">
        <v>23935.75</v>
      </c>
      <c r="G65" t="s">
        <v>334</v>
      </c>
      <c r="H65" s="160">
        <v>-1.3899999999999999E-2</v>
      </c>
      <c r="I65" s="5"/>
      <c r="J65" s="130"/>
      <c r="K65" s="156">
        <v>45781</v>
      </c>
      <c r="L65" s="155">
        <v>371</v>
      </c>
      <c r="M65" s="155">
        <v>382</v>
      </c>
      <c r="N65" s="155">
        <v>389.9</v>
      </c>
      <c r="O65" s="155">
        <v>357.25</v>
      </c>
      <c r="P65" t="s">
        <v>425</v>
      </c>
      <c r="Q65" s="160">
        <v>-2.8199999999999999E-2</v>
      </c>
      <c r="S65" s="273">
        <f t="shared" si="0"/>
        <v>-1.9619999999999999E-2</v>
      </c>
      <c r="U65">
        <v>23</v>
      </c>
      <c r="V65" s="197">
        <v>109.67476807622469</v>
      </c>
    </row>
    <row r="66" spans="2:22">
      <c r="B66" s="156">
        <v>45774</v>
      </c>
      <c r="C66" s="155">
        <v>24346.7</v>
      </c>
      <c r="D66" s="155">
        <v>24070.25</v>
      </c>
      <c r="E66" s="155">
        <v>24589.15</v>
      </c>
      <c r="F66" s="155">
        <v>24054.05</v>
      </c>
      <c r="G66" t="s">
        <v>311</v>
      </c>
      <c r="H66" s="160">
        <v>1.2800000000000001E-2</v>
      </c>
      <c r="I66" s="5"/>
      <c r="J66" s="130"/>
      <c r="K66" s="156">
        <v>45774</v>
      </c>
      <c r="L66" s="155">
        <v>381.75</v>
      </c>
      <c r="M66" s="155">
        <v>386.15</v>
      </c>
      <c r="N66" s="155">
        <v>403.3</v>
      </c>
      <c r="O66" s="155">
        <v>380.65</v>
      </c>
      <c r="P66" t="s">
        <v>426</v>
      </c>
      <c r="Q66" s="160">
        <v>-1.5100000000000001E-2</v>
      </c>
      <c r="S66" s="273">
        <f t="shared" si="0"/>
        <v>1.64E-3</v>
      </c>
      <c r="U66">
        <v>24</v>
      </c>
      <c r="V66" s="197">
        <v>1492.4825105082643</v>
      </c>
    </row>
    <row r="67" spans="2:22">
      <c r="B67" s="156">
        <v>45767</v>
      </c>
      <c r="C67" s="155">
        <v>24039.35</v>
      </c>
      <c r="D67" s="155">
        <v>23949.15</v>
      </c>
      <c r="E67" s="155">
        <v>24365.45</v>
      </c>
      <c r="F67" s="155">
        <v>23847.85</v>
      </c>
      <c r="G67" t="s">
        <v>310</v>
      </c>
      <c r="H67" s="160">
        <v>7.9000000000000008E-3</v>
      </c>
      <c r="I67" s="5"/>
      <c r="J67" s="130"/>
      <c r="K67" s="156">
        <v>45767</v>
      </c>
      <c r="L67" s="155">
        <v>387.6</v>
      </c>
      <c r="M67" s="155">
        <v>383.1</v>
      </c>
      <c r="N67" s="155">
        <v>402.5</v>
      </c>
      <c r="O67" s="155">
        <v>382</v>
      </c>
      <c r="P67" t="s">
        <v>427</v>
      </c>
      <c r="Q67" s="160">
        <v>1.55E-2</v>
      </c>
      <c r="S67" s="273">
        <f t="shared" si="0"/>
        <v>1.0940000000000002E-2</v>
      </c>
      <c r="U67">
        <v>25</v>
      </c>
      <c r="V67" s="197">
        <v>1578.2381544603247</v>
      </c>
    </row>
    <row r="68" spans="2:22">
      <c r="B68" s="156">
        <v>45760</v>
      </c>
      <c r="C68" s="155">
        <v>23851.65</v>
      </c>
      <c r="D68" s="155">
        <v>23368.35</v>
      </c>
      <c r="E68" s="155">
        <v>23872.35</v>
      </c>
      <c r="F68" s="155">
        <v>23207</v>
      </c>
      <c r="G68" t="s">
        <v>344</v>
      </c>
      <c r="H68" s="160">
        <v>4.48E-2</v>
      </c>
      <c r="I68" s="5"/>
      <c r="J68" s="130"/>
      <c r="K68" s="156">
        <v>45760</v>
      </c>
      <c r="L68" s="155">
        <v>381.7</v>
      </c>
      <c r="M68" s="155">
        <v>375</v>
      </c>
      <c r="N68" s="155">
        <v>384.35</v>
      </c>
      <c r="O68" s="155">
        <v>372.3</v>
      </c>
      <c r="P68" t="s">
        <v>428</v>
      </c>
      <c r="Q68" s="160">
        <v>4.7300000000000002E-2</v>
      </c>
      <c r="S68" s="273">
        <f t="shared" si="0"/>
        <v>4.58E-2</v>
      </c>
      <c r="U68">
        <v>26</v>
      </c>
      <c r="V68" s="197">
        <v>-58.62216499220122</v>
      </c>
    </row>
    <row r="69" spans="2:22">
      <c r="B69" s="156">
        <v>45753</v>
      </c>
      <c r="C69" s="155">
        <v>22828.55</v>
      </c>
      <c r="D69" s="155">
        <v>21758.400000000001</v>
      </c>
      <c r="E69" s="155">
        <v>22923.9</v>
      </c>
      <c r="F69" s="155">
        <v>21743.65</v>
      </c>
      <c r="G69" t="s">
        <v>345</v>
      </c>
      <c r="H69" s="160">
        <v>-3.3E-3</v>
      </c>
      <c r="I69" s="5"/>
      <c r="J69" s="130"/>
      <c r="K69" s="156">
        <v>45753</v>
      </c>
      <c r="L69" s="155">
        <v>364.45</v>
      </c>
      <c r="M69" s="155">
        <v>337</v>
      </c>
      <c r="N69" s="155">
        <v>370.7</v>
      </c>
      <c r="O69" s="155">
        <v>335</v>
      </c>
      <c r="P69" t="s">
        <v>429</v>
      </c>
      <c r="Q69" s="160">
        <v>-1.2200000000000001E-2</v>
      </c>
      <c r="S69" s="273">
        <f t="shared" si="0"/>
        <v>-6.8600000000000006E-3</v>
      </c>
      <c r="U69">
        <v>27</v>
      </c>
      <c r="V69" s="197">
        <v>-778.07528215170919</v>
      </c>
    </row>
    <row r="70" spans="2:22">
      <c r="B70" s="156">
        <v>45746</v>
      </c>
      <c r="C70" s="155">
        <v>22904.45</v>
      </c>
      <c r="D70" s="155">
        <v>23341.1</v>
      </c>
      <c r="E70" s="155">
        <v>23565.15</v>
      </c>
      <c r="F70" s="155">
        <v>22857.45</v>
      </c>
      <c r="G70" t="s">
        <v>346</v>
      </c>
      <c r="H70" s="160">
        <v>-2.6100000000000002E-2</v>
      </c>
      <c r="I70" s="5"/>
      <c r="J70" s="130"/>
      <c r="K70" s="156">
        <v>45746</v>
      </c>
      <c r="L70" s="155">
        <v>368.95</v>
      </c>
      <c r="M70" s="155">
        <v>372.45</v>
      </c>
      <c r="N70" s="155">
        <v>388.2</v>
      </c>
      <c r="O70" s="155">
        <v>367.1</v>
      </c>
      <c r="P70" t="s">
        <v>430</v>
      </c>
      <c r="Q70" s="160">
        <v>-1.72E-2</v>
      </c>
      <c r="S70" s="273">
        <f t="shared" si="0"/>
        <v>-2.2540000000000001E-2</v>
      </c>
      <c r="U70">
        <v>28</v>
      </c>
      <c r="V70" s="197">
        <v>888.46967841883747</v>
      </c>
    </row>
    <row r="71" spans="2:22">
      <c r="B71" s="156">
        <v>45739</v>
      </c>
      <c r="C71" s="155">
        <v>23519.35</v>
      </c>
      <c r="D71" s="155">
        <v>23515.4</v>
      </c>
      <c r="E71" s="155">
        <v>23869.599999999999</v>
      </c>
      <c r="F71" s="155">
        <v>23412.2</v>
      </c>
      <c r="G71" t="s">
        <v>347</v>
      </c>
      <c r="H71" s="160">
        <v>7.1999999999999998E-3</v>
      </c>
      <c r="I71" s="5"/>
      <c r="J71" s="130"/>
      <c r="K71" s="156">
        <v>45739</v>
      </c>
      <c r="L71" s="155">
        <v>375.4</v>
      </c>
      <c r="M71" s="155">
        <v>385</v>
      </c>
      <c r="N71" s="155">
        <v>386.05</v>
      </c>
      <c r="O71" s="155">
        <v>372.35</v>
      </c>
      <c r="P71" t="s">
        <v>431</v>
      </c>
      <c r="Q71" s="160">
        <v>-1.0800000000000001E-2</v>
      </c>
      <c r="S71" s="273">
        <f t="shared" si="0"/>
        <v>0</v>
      </c>
      <c r="U71">
        <v>29</v>
      </c>
      <c r="V71" s="197">
        <v>403.36894862164144</v>
      </c>
    </row>
    <row r="72" spans="2:22">
      <c r="B72" s="156">
        <v>45732</v>
      </c>
      <c r="C72" s="155">
        <v>23350.400000000001</v>
      </c>
      <c r="D72" s="155">
        <v>22353.15</v>
      </c>
      <c r="E72" s="155">
        <v>23402.7</v>
      </c>
      <c r="F72" s="155">
        <v>22353.15</v>
      </c>
      <c r="G72" t="s">
        <v>348</v>
      </c>
      <c r="H72" s="160">
        <v>4.2599999999999999E-2</v>
      </c>
      <c r="I72" s="5"/>
      <c r="J72" s="130"/>
      <c r="K72" s="156">
        <v>45732</v>
      </c>
      <c r="L72" s="155">
        <v>379.5</v>
      </c>
      <c r="M72" s="155">
        <v>350.8</v>
      </c>
      <c r="N72" s="155">
        <v>381.9</v>
      </c>
      <c r="O72" s="155">
        <v>349</v>
      </c>
      <c r="P72" t="s">
        <v>432</v>
      </c>
      <c r="Q72" s="160">
        <v>8.2000000000000003E-2</v>
      </c>
      <c r="S72" s="273">
        <f t="shared" ref="S72:S110" si="1">(($V$9*H72)+($V$10*Q72))</f>
        <v>5.8360000000000002E-2</v>
      </c>
      <c r="U72">
        <v>30</v>
      </c>
      <c r="V72" s="197">
        <v>880.23726511749032</v>
      </c>
    </row>
    <row r="73" spans="2:22">
      <c r="B73" s="156">
        <v>45725</v>
      </c>
      <c r="C73" s="155">
        <v>22397.200000000001</v>
      </c>
      <c r="D73" s="155">
        <v>22521.85</v>
      </c>
      <c r="E73" s="155">
        <v>22676.75</v>
      </c>
      <c r="F73" s="155">
        <v>22314.7</v>
      </c>
      <c r="G73" t="s">
        <v>326</v>
      </c>
      <c r="H73" s="160">
        <v>-6.8999999999999999E-3</v>
      </c>
      <c r="I73" s="5"/>
      <c r="J73" s="130"/>
      <c r="K73" s="156">
        <v>45725</v>
      </c>
      <c r="L73" s="155">
        <v>350.75</v>
      </c>
      <c r="M73" s="155">
        <v>356.5</v>
      </c>
      <c r="N73" s="155">
        <v>362.8</v>
      </c>
      <c r="O73" s="155">
        <v>344.3</v>
      </c>
      <c r="P73" t="s">
        <v>400</v>
      </c>
      <c r="Q73" s="160">
        <v>-2E-3</v>
      </c>
      <c r="S73" s="273">
        <f t="shared" si="1"/>
        <v>-4.9399999999999999E-3</v>
      </c>
      <c r="U73">
        <v>31</v>
      </c>
      <c r="V73" s="197">
        <v>354.02108778523927</v>
      </c>
    </row>
    <row r="74" spans="2:22">
      <c r="B74" s="156">
        <v>45718</v>
      </c>
      <c r="C74" s="155">
        <v>22552.5</v>
      </c>
      <c r="D74" s="155">
        <v>22194.55</v>
      </c>
      <c r="E74" s="155">
        <v>22633.8</v>
      </c>
      <c r="F74" s="155">
        <v>21964.6</v>
      </c>
      <c r="G74" t="s">
        <v>349</v>
      </c>
      <c r="H74" s="160">
        <v>1.9300000000000001E-2</v>
      </c>
      <c r="I74" s="5"/>
      <c r="J74" s="130"/>
      <c r="K74" s="156">
        <v>45718</v>
      </c>
      <c r="L74" s="155">
        <v>351.45</v>
      </c>
      <c r="M74" s="155">
        <v>338.75</v>
      </c>
      <c r="N74" s="155">
        <v>360.5</v>
      </c>
      <c r="O74" s="155">
        <v>331.85</v>
      </c>
      <c r="P74" t="s">
        <v>433</v>
      </c>
      <c r="Q74" s="160">
        <v>3.61E-2</v>
      </c>
      <c r="S74" s="273">
        <f t="shared" si="1"/>
        <v>2.6020000000000001E-2</v>
      </c>
      <c r="U74">
        <v>32</v>
      </c>
      <c r="V74" s="197">
        <v>1882.2019593651103</v>
      </c>
    </row>
    <row r="75" spans="2:22">
      <c r="B75" s="156">
        <v>45711</v>
      </c>
      <c r="C75" s="155">
        <v>22124.7</v>
      </c>
      <c r="D75" s="155">
        <v>22609.35</v>
      </c>
      <c r="E75" s="155">
        <v>22668.05</v>
      </c>
      <c r="F75" s="155">
        <v>22104.85</v>
      </c>
      <c r="G75" t="s">
        <v>350</v>
      </c>
      <c r="H75" s="160">
        <v>-2.9399999999999999E-2</v>
      </c>
      <c r="I75" s="5"/>
      <c r="J75" s="130"/>
      <c r="K75" s="156">
        <v>45711</v>
      </c>
      <c r="L75" s="155">
        <v>339.2</v>
      </c>
      <c r="M75" s="155">
        <v>356</v>
      </c>
      <c r="N75" s="155">
        <v>356.95</v>
      </c>
      <c r="O75" s="155">
        <v>335.5</v>
      </c>
      <c r="P75" t="s">
        <v>434</v>
      </c>
      <c r="Q75" s="160">
        <v>-5.04E-2</v>
      </c>
      <c r="S75" s="273">
        <f t="shared" si="1"/>
        <v>-3.78E-2</v>
      </c>
      <c r="U75">
        <v>33</v>
      </c>
      <c r="V75" s="197">
        <v>524.89328743669716</v>
      </c>
    </row>
    <row r="76" spans="2:22">
      <c r="B76" s="156">
        <v>45704</v>
      </c>
      <c r="C76" s="155">
        <v>22795.9</v>
      </c>
      <c r="D76" s="155">
        <v>22809.9</v>
      </c>
      <c r="E76" s="155">
        <v>23049.95</v>
      </c>
      <c r="F76" s="155">
        <v>22720.3</v>
      </c>
      <c r="G76" t="s">
        <v>351</v>
      </c>
      <c r="H76" s="160">
        <v>-5.7999999999999996E-3</v>
      </c>
      <c r="I76" s="5"/>
      <c r="J76" s="130"/>
      <c r="K76" s="156">
        <v>45704</v>
      </c>
      <c r="L76" s="155">
        <v>357.2</v>
      </c>
      <c r="M76" s="155">
        <v>337.1</v>
      </c>
      <c r="N76" s="155">
        <v>362.45</v>
      </c>
      <c r="O76" s="155">
        <v>326.35000000000002</v>
      </c>
      <c r="P76" t="s">
        <v>435</v>
      </c>
      <c r="Q76" s="160">
        <v>5.9499999999999997E-2</v>
      </c>
      <c r="S76" s="273">
        <f t="shared" si="1"/>
        <v>2.0320000000000001E-2</v>
      </c>
      <c r="U76">
        <v>34</v>
      </c>
      <c r="V76" s="197">
        <v>1223.0672993002754</v>
      </c>
    </row>
    <row r="77" spans="2:22">
      <c r="B77" s="156">
        <v>45697</v>
      </c>
      <c r="C77" s="155">
        <v>22929.25</v>
      </c>
      <c r="D77" s="155">
        <v>23543.8</v>
      </c>
      <c r="E77" s="155">
        <v>23568.6</v>
      </c>
      <c r="F77" s="155">
        <v>22774.85</v>
      </c>
      <c r="G77" t="s">
        <v>326</v>
      </c>
      <c r="H77" s="160">
        <v>-2.6800000000000001E-2</v>
      </c>
      <c r="I77" s="5"/>
      <c r="J77" s="130"/>
      <c r="K77" s="156">
        <v>45697</v>
      </c>
      <c r="L77" s="155">
        <v>337.15</v>
      </c>
      <c r="M77" s="155">
        <v>367.05</v>
      </c>
      <c r="N77" s="155">
        <v>368.95</v>
      </c>
      <c r="O77" s="155">
        <v>332</v>
      </c>
      <c r="P77" t="s">
        <v>436</v>
      </c>
      <c r="Q77" s="160">
        <v>-8.1600000000000006E-2</v>
      </c>
      <c r="S77" s="273">
        <f t="shared" si="1"/>
        <v>-4.8719999999999999E-2</v>
      </c>
      <c r="U77">
        <v>35</v>
      </c>
      <c r="V77" s="197">
        <v>-2574.5330584948397</v>
      </c>
    </row>
    <row r="78" spans="2:22">
      <c r="B78" s="156">
        <v>45690</v>
      </c>
      <c r="C78" s="155">
        <v>23559.95</v>
      </c>
      <c r="D78" s="155">
        <v>23528.6</v>
      </c>
      <c r="E78" s="155">
        <v>23807.3</v>
      </c>
      <c r="F78" s="155">
        <v>23222</v>
      </c>
      <c r="G78" t="s">
        <v>352</v>
      </c>
      <c r="H78" s="160">
        <v>2.2000000000000001E-3</v>
      </c>
      <c r="I78" s="5"/>
      <c r="J78" s="130"/>
      <c r="K78" s="156">
        <v>45690</v>
      </c>
      <c r="L78" s="155">
        <v>367.1</v>
      </c>
      <c r="M78" s="155">
        <v>367.9</v>
      </c>
      <c r="N78" s="155">
        <v>379</v>
      </c>
      <c r="O78" s="155">
        <v>351.5</v>
      </c>
      <c r="P78" t="s">
        <v>437</v>
      </c>
      <c r="Q78" s="160">
        <v>7.1000000000000004E-3</v>
      </c>
      <c r="S78" s="273">
        <f t="shared" si="1"/>
        <v>4.1600000000000005E-3</v>
      </c>
      <c r="U78">
        <v>36</v>
      </c>
      <c r="V78" s="197">
        <v>-2198.6048887903835</v>
      </c>
    </row>
    <row r="79" spans="2:22">
      <c r="B79" s="156">
        <v>45683</v>
      </c>
      <c r="C79" s="155">
        <v>23508.400000000001</v>
      </c>
      <c r="D79" s="155">
        <v>22940.15</v>
      </c>
      <c r="E79" s="155">
        <v>23546.799999999999</v>
      </c>
      <c r="F79" s="155">
        <v>22786.9</v>
      </c>
      <c r="G79" t="s">
        <v>353</v>
      </c>
      <c r="H79" s="160">
        <v>1.7999999999999999E-2</v>
      </c>
      <c r="I79" s="5"/>
      <c r="J79" s="130"/>
      <c r="K79" s="156">
        <v>45683</v>
      </c>
      <c r="L79" s="155">
        <v>364.5</v>
      </c>
      <c r="M79" s="155">
        <v>361</v>
      </c>
      <c r="N79" s="155">
        <v>366.95</v>
      </c>
      <c r="O79" s="155">
        <v>342.95</v>
      </c>
      <c r="P79" t="s">
        <v>438</v>
      </c>
      <c r="Q79" s="160">
        <v>3.0000000000000001E-3</v>
      </c>
      <c r="S79" s="273">
        <f t="shared" si="1"/>
        <v>1.1999999999999999E-2</v>
      </c>
      <c r="U79">
        <v>37</v>
      </c>
      <c r="V79" s="197">
        <v>976.84498561069836</v>
      </c>
    </row>
    <row r="80" spans="2:22">
      <c r="B80" s="156">
        <v>45676</v>
      </c>
      <c r="C80" s="155">
        <v>23092.2</v>
      </c>
      <c r="D80" s="155">
        <v>23290.400000000001</v>
      </c>
      <c r="E80" s="155">
        <v>23426.3</v>
      </c>
      <c r="F80" s="155">
        <v>22976.85</v>
      </c>
      <c r="G80" t="s">
        <v>328</v>
      </c>
      <c r="H80" s="160">
        <v>-4.7999999999999996E-3</v>
      </c>
      <c r="I80" s="5"/>
      <c r="J80" s="130"/>
      <c r="K80" s="156">
        <v>45676</v>
      </c>
      <c r="L80" s="155">
        <v>363.4</v>
      </c>
      <c r="M80" s="155">
        <v>374.85</v>
      </c>
      <c r="N80" s="155">
        <v>376.2</v>
      </c>
      <c r="O80" s="155">
        <v>352.15</v>
      </c>
      <c r="P80" t="s">
        <v>439</v>
      </c>
      <c r="Q80" s="160">
        <v>-2.7300000000000001E-2</v>
      </c>
      <c r="S80" s="273">
        <f t="shared" si="1"/>
        <v>-1.38E-2</v>
      </c>
      <c r="U80">
        <v>38</v>
      </c>
      <c r="V80" s="197">
        <v>723.70756559812958</v>
      </c>
    </row>
    <row r="81" spans="2:22">
      <c r="B81" s="156">
        <v>45669</v>
      </c>
      <c r="C81" s="155">
        <v>23203.200000000001</v>
      </c>
      <c r="D81" s="155">
        <v>23195.4</v>
      </c>
      <c r="E81" s="155">
        <v>23391.65</v>
      </c>
      <c r="F81" s="155">
        <v>23047.25</v>
      </c>
      <c r="G81" t="s">
        <v>328</v>
      </c>
      <c r="H81" s="160">
        <v>-9.7000000000000003E-3</v>
      </c>
      <c r="I81" s="5"/>
      <c r="J81" s="130"/>
      <c r="K81" s="156">
        <v>45669</v>
      </c>
      <c r="L81" s="155">
        <v>373.6</v>
      </c>
      <c r="M81" s="155">
        <v>350</v>
      </c>
      <c r="N81" s="155">
        <v>375.4</v>
      </c>
      <c r="O81" s="155">
        <v>338.4</v>
      </c>
      <c r="P81" t="s">
        <v>440</v>
      </c>
      <c r="Q81" s="160">
        <v>4.8399999999999999E-2</v>
      </c>
      <c r="S81" s="273">
        <f t="shared" si="1"/>
        <v>1.3540000000000003E-2</v>
      </c>
      <c r="U81">
        <v>39</v>
      </c>
      <c r="V81" s="197">
        <v>-282.66718904050333</v>
      </c>
    </row>
    <row r="82" spans="2:22">
      <c r="B82" s="156">
        <v>45662</v>
      </c>
      <c r="C82" s="155">
        <v>23431.5</v>
      </c>
      <c r="D82" s="155">
        <v>24045.8</v>
      </c>
      <c r="E82" s="155">
        <v>24089.95</v>
      </c>
      <c r="F82" s="155">
        <v>23344.35</v>
      </c>
      <c r="G82" t="s">
        <v>332</v>
      </c>
      <c r="H82" s="160">
        <v>-2.3900000000000001E-2</v>
      </c>
      <c r="I82" s="5"/>
      <c r="J82" s="130"/>
      <c r="K82" s="156">
        <v>45662</v>
      </c>
      <c r="L82" s="155">
        <v>356.35</v>
      </c>
      <c r="M82" s="155">
        <v>397</v>
      </c>
      <c r="N82" s="155">
        <v>397</v>
      </c>
      <c r="O82" s="155">
        <v>355.05</v>
      </c>
      <c r="P82" t="s">
        <v>441</v>
      </c>
      <c r="Q82" s="160">
        <v>-0.1016</v>
      </c>
      <c r="S82" s="273">
        <f t="shared" si="1"/>
        <v>-5.4980000000000001E-2</v>
      </c>
      <c r="U82">
        <v>40</v>
      </c>
      <c r="V82" s="197">
        <v>-216.52623494334199</v>
      </c>
    </row>
    <row r="83" spans="2:22">
      <c r="B83" s="156">
        <v>45655</v>
      </c>
      <c r="C83" s="155">
        <v>24004.75</v>
      </c>
      <c r="D83" s="155">
        <v>23796.9</v>
      </c>
      <c r="E83" s="155">
        <v>24226.7</v>
      </c>
      <c r="F83" s="155">
        <v>23460.45</v>
      </c>
      <c r="G83" t="s">
        <v>350</v>
      </c>
      <c r="H83" s="160">
        <v>8.0000000000000002E-3</v>
      </c>
      <c r="I83" s="5"/>
      <c r="J83" s="130"/>
      <c r="K83" s="156">
        <v>45655</v>
      </c>
      <c r="L83" s="155">
        <v>396.65</v>
      </c>
      <c r="M83" s="155">
        <v>399.6</v>
      </c>
      <c r="N83" s="155">
        <v>402.95</v>
      </c>
      <c r="O83" s="155">
        <v>385.5</v>
      </c>
      <c r="P83" t="s">
        <v>442</v>
      </c>
      <c r="Q83" s="160">
        <v>-5.8999999999999999E-3</v>
      </c>
      <c r="S83" s="273">
        <f t="shared" si="1"/>
        <v>2.4399999999999995E-3</v>
      </c>
      <c r="U83">
        <v>41</v>
      </c>
      <c r="V83" s="197">
        <v>835.48397307996174</v>
      </c>
    </row>
    <row r="84" spans="2:22">
      <c r="B84" s="156">
        <v>45648</v>
      </c>
      <c r="C84" s="155">
        <v>23813.4</v>
      </c>
      <c r="D84" s="155">
        <v>23738.2</v>
      </c>
      <c r="E84" s="155">
        <v>23938.85</v>
      </c>
      <c r="F84" s="155">
        <v>23647.200000000001</v>
      </c>
      <c r="G84" t="s">
        <v>354</v>
      </c>
      <c r="H84" s="160">
        <v>9.5999999999999992E-3</v>
      </c>
      <c r="I84" s="5"/>
      <c r="J84" s="130"/>
      <c r="K84" s="156">
        <v>45648</v>
      </c>
      <c r="L84" s="155">
        <v>399</v>
      </c>
      <c r="M84" s="155">
        <v>404.85</v>
      </c>
      <c r="N84" s="155">
        <v>408</v>
      </c>
      <c r="O84" s="155">
        <v>396.85</v>
      </c>
      <c r="P84" t="s">
        <v>443</v>
      </c>
      <c r="Q84" s="160">
        <v>-5.1999999999999998E-3</v>
      </c>
      <c r="S84" s="273">
        <f t="shared" si="1"/>
        <v>3.6799999999999997E-3</v>
      </c>
      <c r="U84">
        <v>42</v>
      </c>
      <c r="V84" s="197">
        <v>2356.9047916485238</v>
      </c>
    </row>
    <row r="85" spans="2:22">
      <c r="B85" s="156">
        <v>45641</v>
      </c>
      <c r="C85" s="155">
        <v>23587.5</v>
      </c>
      <c r="D85" s="155">
        <v>24753.4</v>
      </c>
      <c r="E85" s="155">
        <v>24781.25</v>
      </c>
      <c r="F85" s="155">
        <v>23537.35</v>
      </c>
      <c r="G85" t="s">
        <v>335</v>
      </c>
      <c r="H85" s="160">
        <v>-4.7699999999999999E-2</v>
      </c>
      <c r="I85" s="5"/>
      <c r="J85" s="130"/>
      <c r="K85" s="156">
        <v>45641</v>
      </c>
      <c r="L85" s="155">
        <v>401.1</v>
      </c>
      <c r="M85" s="155">
        <v>427.95</v>
      </c>
      <c r="N85" s="155">
        <v>430.4</v>
      </c>
      <c r="O85" s="155">
        <v>400.05</v>
      </c>
      <c r="P85" t="s">
        <v>444</v>
      </c>
      <c r="Q85" s="160">
        <v>-6.3799999999999996E-2</v>
      </c>
      <c r="S85" s="273">
        <f t="shared" si="1"/>
        <v>-5.4140000000000001E-2</v>
      </c>
      <c r="U85">
        <v>43</v>
      </c>
      <c r="V85" s="197">
        <v>592.32129006842752</v>
      </c>
    </row>
    <row r="86" spans="2:22">
      <c r="B86" s="156">
        <v>45634</v>
      </c>
      <c r="C86" s="155">
        <v>24768.3</v>
      </c>
      <c r="D86" s="155">
        <v>24633.9</v>
      </c>
      <c r="E86" s="155">
        <v>24792.3</v>
      </c>
      <c r="F86" s="155">
        <v>24180.799999999999</v>
      </c>
      <c r="G86" t="s">
        <v>355</v>
      </c>
      <c r="H86" s="160">
        <v>3.7000000000000002E-3</v>
      </c>
      <c r="I86" s="5"/>
      <c r="J86" s="130"/>
      <c r="K86" s="156">
        <v>45634</v>
      </c>
      <c r="L86" s="155">
        <v>428.45</v>
      </c>
      <c r="M86" s="155">
        <v>443</v>
      </c>
      <c r="N86" s="155">
        <v>447.7</v>
      </c>
      <c r="O86" s="155">
        <v>420.3</v>
      </c>
      <c r="P86" t="s">
        <v>445</v>
      </c>
      <c r="Q86" s="160">
        <v>-2.5600000000000001E-2</v>
      </c>
      <c r="S86" s="273">
        <f t="shared" si="1"/>
        <v>-8.0200000000000011E-3</v>
      </c>
      <c r="U86">
        <v>44</v>
      </c>
      <c r="V86" s="197">
        <v>743.60265796976728</v>
      </c>
    </row>
    <row r="87" spans="2:22">
      <c r="B87" s="156">
        <v>45627</v>
      </c>
      <c r="C87" s="155">
        <v>24677.8</v>
      </c>
      <c r="D87" s="155">
        <v>24140.85</v>
      </c>
      <c r="E87" s="155">
        <v>24857.75</v>
      </c>
      <c r="F87" s="155">
        <v>24008.65</v>
      </c>
      <c r="G87" t="s">
        <v>349</v>
      </c>
      <c r="H87" s="160">
        <v>2.2700000000000001E-2</v>
      </c>
      <c r="I87" s="5"/>
      <c r="J87" s="130"/>
      <c r="K87" s="156">
        <v>45627</v>
      </c>
      <c r="L87" s="155">
        <v>439.7</v>
      </c>
      <c r="M87" s="155">
        <v>413</v>
      </c>
      <c r="N87" s="155">
        <v>442.5</v>
      </c>
      <c r="O87" s="155">
        <v>412</v>
      </c>
      <c r="P87" t="s">
        <v>446</v>
      </c>
      <c r="Q87" s="160">
        <v>6.1699999999999998E-2</v>
      </c>
      <c r="S87" s="273">
        <f t="shared" si="1"/>
        <v>3.8300000000000001E-2</v>
      </c>
      <c r="U87">
        <v>45</v>
      </c>
      <c r="V87" s="197">
        <v>-691.9786002261153</v>
      </c>
    </row>
    <row r="88" spans="2:22">
      <c r="B88" s="156">
        <v>45620</v>
      </c>
      <c r="C88" s="155">
        <v>24131.1</v>
      </c>
      <c r="D88" s="155">
        <v>24253.55</v>
      </c>
      <c r="E88" s="155">
        <v>24354.55</v>
      </c>
      <c r="F88" s="155">
        <v>23873.35</v>
      </c>
      <c r="G88" t="s">
        <v>298</v>
      </c>
      <c r="H88" s="160">
        <v>9.4000000000000004E-3</v>
      </c>
      <c r="I88" s="5"/>
      <c r="J88" s="130"/>
      <c r="K88" s="156">
        <v>45620</v>
      </c>
      <c r="L88" s="155">
        <v>414.15</v>
      </c>
      <c r="M88" s="155">
        <v>421.45</v>
      </c>
      <c r="N88" s="155">
        <v>423.45</v>
      </c>
      <c r="O88" s="155">
        <v>408</v>
      </c>
      <c r="P88" t="s">
        <v>447</v>
      </c>
      <c r="Q88" s="160">
        <v>1E-3</v>
      </c>
      <c r="S88" s="273">
        <f t="shared" si="1"/>
        <v>6.0400000000000002E-3</v>
      </c>
      <c r="U88">
        <v>46</v>
      </c>
      <c r="V88" s="197">
        <v>-328.18002908020378</v>
      </c>
    </row>
    <row r="89" spans="2:22">
      <c r="B89" s="156">
        <v>45613</v>
      </c>
      <c r="C89" s="155">
        <v>23907.25</v>
      </c>
      <c r="D89" s="155">
        <v>23605.3</v>
      </c>
      <c r="E89" s="155">
        <v>23956.1</v>
      </c>
      <c r="F89" s="155">
        <v>23263.15</v>
      </c>
      <c r="G89" t="s">
        <v>329</v>
      </c>
      <c r="H89" s="160">
        <v>1.5900000000000001E-2</v>
      </c>
      <c r="I89" s="5"/>
      <c r="J89" s="130"/>
      <c r="K89" s="156">
        <v>45613</v>
      </c>
      <c r="L89" s="155">
        <v>413.75</v>
      </c>
      <c r="M89" s="155">
        <v>408</v>
      </c>
      <c r="N89" s="155">
        <v>417.8</v>
      </c>
      <c r="O89" s="155">
        <v>397.4</v>
      </c>
      <c r="P89" t="s">
        <v>448</v>
      </c>
      <c r="Q89" s="160">
        <v>2.2499999999999999E-2</v>
      </c>
      <c r="S89" s="273">
        <f t="shared" si="1"/>
        <v>1.8540000000000001E-2</v>
      </c>
      <c r="U89">
        <v>47</v>
      </c>
      <c r="V89" s="197">
        <v>-773.06243147719147</v>
      </c>
    </row>
    <row r="90" spans="2:22">
      <c r="B90" s="156">
        <v>45606</v>
      </c>
      <c r="C90" s="155">
        <v>23532.7</v>
      </c>
      <c r="D90" s="155">
        <v>24087.25</v>
      </c>
      <c r="E90" s="155">
        <v>24336.799999999999</v>
      </c>
      <c r="F90" s="155">
        <v>23484.15</v>
      </c>
      <c r="G90" t="s">
        <v>356</v>
      </c>
      <c r="H90" s="160">
        <v>-2.5499999999999998E-2</v>
      </c>
      <c r="I90" s="5"/>
      <c r="J90" s="130"/>
      <c r="K90" s="156">
        <v>45606</v>
      </c>
      <c r="L90" s="155">
        <v>404.65</v>
      </c>
      <c r="M90" s="155">
        <v>431.95</v>
      </c>
      <c r="N90" s="155">
        <v>437.75</v>
      </c>
      <c r="O90" s="155">
        <v>396.95</v>
      </c>
      <c r="P90" t="s">
        <v>449</v>
      </c>
      <c r="Q90" s="160">
        <v>-6.4899999999999999E-2</v>
      </c>
      <c r="S90" s="273">
        <f t="shared" si="1"/>
        <v>-4.1259999999999998E-2</v>
      </c>
      <c r="U90">
        <v>48</v>
      </c>
      <c r="V90" s="197">
        <v>816.36715055031755</v>
      </c>
    </row>
    <row r="91" spans="2:22">
      <c r="B91" s="156">
        <v>45599</v>
      </c>
      <c r="C91" s="155">
        <v>24148.2</v>
      </c>
      <c r="D91" s="155">
        <v>24315.75</v>
      </c>
      <c r="E91" s="155">
        <v>24537.599999999999</v>
      </c>
      <c r="F91" s="155">
        <v>23816.15</v>
      </c>
      <c r="G91" t="s">
        <v>357</v>
      </c>
      <c r="H91" s="160">
        <v>-6.4000000000000003E-3</v>
      </c>
      <c r="I91" s="5"/>
      <c r="J91" s="130"/>
      <c r="K91" s="156">
        <v>45599</v>
      </c>
      <c r="L91" s="155">
        <v>432.75</v>
      </c>
      <c r="M91" s="155">
        <v>446.25</v>
      </c>
      <c r="N91" s="155">
        <v>454.75</v>
      </c>
      <c r="O91" s="155">
        <v>425.85</v>
      </c>
      <c r="P91" t="s">
        <v>450</v>
      </c>
      <c r="Q91" s="160">
        <v>-2.8500000000000001E-2</v>
      </c>
      <c r="S91" s="273">
        <f t="shared" si="1"/>
        <v>-1.524E-2</v>
      </c>
      <c r="U91">
        <v>49</v>
      </c>
      <c r="V91" s="197">
        <v>-2080.5557368491509</v>
      </c>
    </row>
    <row r="92" spans="2:22">
      <c r="B92" s="156">
        <v>45592</v>
      </c>
      <c r="C92" s="155">
        <v>24304.35</v>
      </c>
      <c r="D92" s="155">
        <v>24251.1</v>
      </c>
      <c r="E92" s="155">
        <v>24498.2</v>
      </c>
      <c r="F92" s="155">
        <v>24134.9</v>
      </c>
      <c r="G92" t="s">
        <v>358</v>
      </c>
      <c r="H92" s="160">
        <v>5.1000000000000004E-3</v>
      </c>
      <c r="I92" s="5"/>
      <c r="J92" s="130"/>
      <c r="K92" s="156">
        <v>45592</v>
      </c>
      <c r="L92" s="155">
        <v>445.45</v>
      </c>
      <c r="M92" s="155">
        <v>423.5</v>
      </c>
      <c r="N92" s="155">
        <v>448.45</v>
      </c>
      <c r="O92" s="155">
        <v>415</v>
      </c>
      <c r="P92" t="s">
        <v>451</v>
      </c>
      <c r="Q92" s="160">
        <v>5.5300000000000002E-2</v>
      </c>
      <c r="S92" s="273">
        <f t="shared" si="1"/>
        <v>2.5180000000000001E-2</v>
      </c>
      <c r="U92">
        <v>50</v>
      </c>
      <c r="V92" s="197">
        <v>6.0035165834969888</v>
      </c>
    </row>
    <row r="93" spans="2:22">
      <c r="B93" s="156">
        <v>45585</v>
      </c>
      <c r="C93" s="155">
        <v>24180.799999999999</v>
      </c>
      <c r="D93" s="155">
        <v>24956.15</v>
      </c>
      <c r="E93" s="155">
        <v>24978.3</v>
      </c>
      <c r="F93" s="155">
        <v>24073.9</v>
      </c>
      <c r="G93" t="s">
        <v>335</v>
      </c>
      <c r="H93" s="160">
        <v>-2.7099999999999999E-2</v>
      </c>
      <c r="I93" s="5"/>
      <c r="J93" s="130"/>
      <c r="K93" s="156">
        <v>45585</v>
      </c>
      <c r="L93" s="155">
        <v>422.1</v>
      </c>
      <c r="M93" s="155">
        <v>455.55</v>
      </c>
      <c r="N93" s="155">
        <v>465.55</v>
      </c>
      <c r="O93" s="155">
        <v>414.5</v>
      </c>
      <c r="P93" t="s">
        <v>452</v>
      </c>
      <c r="Q93" s="160">
        <v>-6.93E-2</v>
      </c>
      <c r="S93" s="273">
        <f t="shared" si="1"/>
        <v>-4.3980000000000005E-2</v>
      </c>
      <c r="U93">
        <v>51</v>
      </c>
      <c r="V93" s="197">
        <v>-414.12719890681916</v>
      </c>
    </row>
    <row r="94" spans="2:22">
      <c r="B94" s="156">
        <v>45578</v>
      </c>
      <c r="C94" s="155">
        <v>24854.05</v>
      </c>
      <c r="D94" s="155">
        <v>25023.45</v>
      </c>
      <c r="E94" s="155">
        <v>25212.05</v>
      </c>
      <c r="F94" s="155">
        <v>24567.65</v>
      </c>
      <c r="G94" t="s">
        <v>319</v>
      </c>
      <c r="H94" s="160">
        <v>-4.4000000000000003E-3</v>
      </c>
      <c r="I94" s="5"/>
      <c r="J94" s="130"/>
      <c r="K94" s="156">
        <v>45578</v>
      </c>
      <c r="L94" s="155">
        <v>453.55</v>
      </c>
      <c r="M94" s="155">
        <v>463.8</v>
      </c>
      <c r="N94" s="155">
        <v>474.4</v>
      </c>
      <c r="O94" s="155">
        <v>443.05</v>
      </c>
      <c r="P94" t="s">
        <v>453</v>
      </c>
      <c r="Q94" s="160">
        <v>-1.6500000000000001E-2</v>
      </c>
      <c r="S94" s="273">
        <f t="shared" si="1"/>
        <v>-9.2400000000000017E-3</v>
      </c>
      <c r="U94">
        <v>52</v>
      </c>
      <c r="V94" s="197">
        <v>2156.9580478690777</v>
      </c>
    </row>
    <row r="95" spans="2:22">
      <c r="B95" s="156">
        <v>45571</v>
      </c>
      <c r="C95" s="155">
        <v>24964.25</v>
      </c>
      <c r="D95" s="155">
        <v>25084.1</v>
      </c>
      <c r="E95" s="155">
        <v>25234.05</v>
      </c>
      <c r="F95" s="155">
        <v>24694.35</v>
      </c>
      <c r="G95" t="s">
        <v>359</v>
      </c>
      <c r="H95" s="160">
        <v>-2E-3</v>
      </c>
      <c r="I95" s="5"/>
      <c r="J95" s="130"/>
      <c r="K95" s="156">
        <v>45571</v>
      </c>
      <c r="L95" s="155">
        <v>461.15</v>
      </c>
      <c r="M95" s="155">
        <v>467.9</v>
      </c>
      <c r="N95" s="155">
        <v>477.9</v>
      </c>
      <c r="O95" s="155">
        <v>438.7</v>
      </c>
      <c r="P95" t="s">
        <v>454</v>
      </c>
      <c r="Q95" s="160">
        <v>-1.18E-2</v>
      </c>
      <c r="S95" s="273">
        <f t="shared" si="1"/>
        <v>-5.9199999999999999E-3</v>
      </c>
      <c r="U95">
        <v>53</v>
      </c>
      <c r="V95" s="197">
        <v>996.27781002942424</v>
      </c>
    </row>
    <row r="96" spans="2:22">
      <c r="B96" s="156">
        <v>45564</v>
      </c>
      <c r="C96" s="155">
        <v>25014.6</v>
      </c>
      <c r="D96" s="155">
        <v>26061.3</v>
      </c>
      <c r="E96" s="155">
        <v>26134.7</v>
      </c>
      <c r="F96" s="155">
        <v>24966.799999999999</v>
      </c>
      <c r="G96" t="s">
        <v>360</v>
      </c>
      <c r="H96" s="160">
        <v>-4.4499999999999998E-2</v>
      </c>
      <c r="I96" s="5"/>
      <c r="J96" s="130"/>
      <c r="K96" s="156">
        <v>45564</v>
      </c>
      <c r="L96" s="155">
        <v>466.65</v>
      </c>
      <c r="M96" s="155">
        <v>485.4</v>
      </c>
      <c r="N96" s="155">
        <v>491.2</v>
      </c>
      <c r="O96" s="155">
        <v>460.6</v>
      </c>
      <c r="P96" t="s">
        <v>455</v>
      </c>
      <c r="Q96" s="160">
        <v>-3.8800000000000001E-2</v>
      </c>
      <c r="S96" s="273">
        <f t="shared" si="1"/>
        <v>-4.2220000000000001E-2</v>
      </c>
      <c r="U96">
        <v>54</v>
      </c>
      <c r="V96" s="197">
        <v>392.46969035995056</v>
      </c>
    </row>
    <row r="97" spans="2:22">
      <c r="B97" s="156">
        <v>45557</v>
      </c>
      <c r="C97" s="155">
        <v>26178.95</v>
      </c>
      <c r="D97" s="155">
        <v>25872.55</v>
      </c>
      <c r="E97" s="155">
        <v>26277.35</v>
      </c>
      <c r="F97" s="155">
        <v>25847.35</v>
      </c>
      <c r="G97" t="s">
        <v>347</v>
      </c>
      <c r="H97" s="160">
        <v>1.4999999999999999E-2</v>
      </c>
      <c r="I97" s="5"/>
      <c r="J97" s="130"/>
      <c r="K97" s="156">
        <v>45557</v>
      </c>
      <c r="L97" s="155">
        <v>485.5</v>
      </c>
      <c r="M97" s="155">
        <v>444.95</v>
      </c>
      <c r="N97" s="155">
        <v>494.85</v>
      </c>
      <c r="O97" s="155">
        <v>444.5</v>
      </c>
      <c r="P97" t="s">
        <v>456</v>
      </c>
      <c r="Q97" s="160">
        <v>9.3100000000000002E-2</v>
      </c>
      <c r="S97" s="273">
        <f t="shared" si="1"/>
        <v>4.6240000000000003E-2</v>
      </c>
      <c r="U97">
        <v>55</v>
      </c>
      <c r="V97" s="197">
        <v>428.35162530325766</v>
      </c>
    </row>
    <row r="98" spans="2:22">
      <c r="B98" s="156">
        <v>45550</v>
      </c>
      <c r="C98" s="155">
        <v>25790.95</v>
      </c>
      <c r="D98" s="155">
        <v>25406.65</v>
      </c>
      <c r="E98" s="155">
        <v>25849.25</v>
      </c>
      <c r="F98" s="155">
        <v>25285.55</v>
      </c>
      <c r="G98" t="s">
        <v>361</v>
      </c>
      <c r="H98" s="160">
        <v>1.7100000000000001E-2</v>
      </c>
      <c r="I98" s="5"/>
      <c r="J98" s="130"/>
      <c r="K98" s="156">
        <v>45550</v>
      </c>
      <c r="L98" s="155">
        <v>444.15</v>
      </c>
      <c r="M98" s="155">
        <v>443.5</v>
      </c>
      <c r="N98" s="155">
        <v>451.9</v>
      </c>
      <c r="O98" s="155">
        <v>430.8</v>
      </c>
      <c r="P98" t="s">
        <v>457</v>
      </c>
      <c r="Q98" s="160">
        <v>5.3E-3</v>
      </c>
      <c r="S98" s="273">
        <f t="shared" si="1"/>
        <v>1.238E-2</v>
      </c>
      <c r="U98">
        <v>56</v>
      </c>
      <c r="V98" s="197">
        <v>819.45490225173376</v>
      </c>
    </row>
    <row r="99" spans="2:22">
      <c r="B99" s="156">
        <v>45543</v>
      </c>
      <c r="C99" s="155">
        <v>25356.5</v>
      </c>
      <c r="D99" s="155">
        <v>24823.4</v>
      </c>
      <c r="E99" s="155">
        <v>25433.35</v>
      </c>
      <c r="F99" s="155">
        <v>24753.15</v>
      </c>
      <c r="G99" t="s">
        <v>362</v>
      </c>
      <c r="H99" s="160">
        <v>2.0299999999999999E-2</v>
      </c>
      <c r="I99" s="5"/>
      <c r="J99" s="130"/>
      <c r="K99" s="156">
        <v>45543</v>
      </c>
      <c r="L99" s="155">
        <v>441.8</v>
      </c>
      <c r="M99" s="155">
        <v>417</v>
      </c>
      <c r="N99" s="155">
        <v>449.6</v>
      </c>
      <c r="O99" s="155">
        <v>411.3</v>
      </c>
      <c r="P99" t="s">
        <v>458</v>
      </c>
      <c r="Q99" s="160">
        <v>5.9499999999999997E-2</v>
      </c>
      <c r="S99" s="273">
        <f t="shared" si="1"/>
        <v>3.5979999999999998E-2</v>
      </c>
      <c r="U99">
        <v>57</v>
      </c>
      <c r="V99" s="197">
        <v>1533.9824282955024</v>
      </c>
    </row>
    <row r="100" spans="2:22">
      <c r="B100" s="156">
        <v>45536</v>
      </c>
      <c r="C100" s="155">
        <v>24852.15</v>
      </c>
      <c r="D100" s="155">
        <v>25333.599999999999</v>
      </c>
      <c r="E100" s="155">
        <v>25333.65</v>
      </c>
      <c r="F100" s="155">
        <v>24801.3</v>
      </c>
      <c r="G100" t="s">
        <v>358</v>
      </c>
      <c r="H100" s="160">
        <v>-1.52E-2</v>
      </c>
      <c r="I100" s="5"/>
      <c r="J100" s="130"/>
      <c r="K100" s="156">
        <v>45536</v>
      </c>
      <c r="L100" s="155">
        <v>417</v>
      </c>
      <c r="M100" s="155">
        <v>435.85</v>
      </c>
      <c r="N100" s="155">
        <v>436.75</v>
      </c>
      <c r="O100" s="155">
        <v>414.35</v>
      </c>
      <c r="P100" t="s">
        <v>459</v>
      </c>
      <c r="Q100" s="160">
        <v>-4.0599999999999997E-2</v>
      </c>
      <c r="S100" s="273">
        <f t="shared" si="1"/>
        <v>-2.5360000000000001E-2</v>
      </c>
      <c r="U100">
        <v>58</v>
      </c>
      <c r="V100" s="197">
        <v>1293.8152586908707</v>
      </c>
    </row>
    <row r="101" spans="2:22">
      <c r="B101" s="156">
        <v>45529</v>
      </c>
      <c r="C101" s="155">
        <v>25235.9</v>
      </c>
      <c r="D101" s="155">
        <v>24906.1</v>
      </c>
      <c r="E101" s="155">
        <v>25268.35</v>
      </c>
      <c r="F101" s="155">
        <v>24874.7</v>
      </c>
      <c r="G101" t="s">
        <v>363</v>
      </c>
      <c r="H101" s="160">
        <v>1.66E-2</v>
      </c>
      <c r="I101" s="5"/>
      <c r="J101" s="130"/>
      <c r="K101" s="156">
        <v>45529</v>
      </c>
      <c r="L101" s="155">
        <v>434.65</v>
      </c>
      <c r="M101" s="155">
        <v>420</v>
      </c>
      <c r="N101" s="155">
        <v>437.4</v>
      </c>
      <c r="O101" s="155">
        <v>417</v>
      </c>
      <c r="P101" t="s">
        <v>460</v>
      </c>
      <c r="Q101" s="160">
        <v>0.04</v>
      </c>
      <c r="S101" s="273">
        <f t="shared" si="1"/>
        <v>2.596E-2</v>
      </c>
      <c r="U101">
        <v>59</v>
      </c>
      <c r="V101" s="197">
        <v>994.54437619815008</v>
      </c>
    </row>
    <row r="102" spans="2:22">
      <c r="B102" s="156">
        <v>45522</v>
      </c>
      <c r="C102" s="155">
        <v>24823.15</v>
      </c>
      <c r="D102" s="155">
        <v>24636.35</v>
      </c>
      <c r="E102" s="155">
        <v>24867.35</v>
      </c>
      <c r="F102" s="155">
        <v>24522.95</v>
      </c>
      <c r="G102" t="s">
        <v>364</v>
      </c>
      <c r="H102" s="160">
        <v>1.15E-2</v>
      </c>
      <c r="I102" s="5"/>
      <c r="J102" s="130"/>
      <c r="K102" s="156">
        <v>45522</v>
      </c>
      <c r="L102" s="155">
        <v>417.95</v>
      </c>
      <c r="M102" s="155">
        <v>416.7</v>
      </c>
      <c r="N102" s="155">
        <v>427.3</v>
      </c>
      <c r="O102" s="155">
        <v>415.05</v>
      </c>
      <c r="P102" t="s">
        <v>461</v>
      </c>
      <c r="Q102" s="160">
        <v>1.04E-2</v>
      </c>
      <c r="S102" s="273">
        <f t="shared" si="1"/>
        <v>1.106E-2</v>
      </c>
      <c r="U102">
        <v>60</v>
      </c>
      <c r="V102" s="197">
        <v>-648.21420207598385</v>
      </c>
    </row>
    <row r="103" spans="2:22">
      <c r="B103" s="156">
        <v>45515</v>
      </c>
      <c r="C103" s="155">
        <v>24541.15</v>
      </c>
      <c r="D103" s="155">
        <v>24320.05</v>
      </c>
      <c r="E103" s="155">
        <v>24563.9</v>
      </c>
      <c r="F103" s="155">
        <v>24099.7</v>
      </c>
      <c r="G103" t="s">
        <v>356</v>
      </c>
      <c r="H103" s="160">
        <v>7.1000000000000004E-3</v>
      </c>
      <c r="I103" s="5"/>
      <c r="J103" s="130"/>
      <c r="K103" s="156">
        <v>45515</v>
      </c>
      <c r="L103" s="155">
        <v>413.65</v>
      </c>
      <c r="M103" s="155">
        <v>417.1</v>
      </c>
      <c r="N103" s="155">
        <v>422.9</v>
      </c>
      <c r="O103" s="155">
        <v>403.1</v>
      </c>
      <c r="P103" t="s">
        <v>462</v>
      </c>
      <c r="Q103" s="160">
        <v>-9.7999999999999997E-3</v>
      </c>
      <c r="S103" s="273">
        <f t="shared" si="1"/>
        <v>3.4000000000000002E-4</v>
      </c>
      <c r="U103">
        <v>61</v>
      </c>
      <c r="V103" s="197">
        <v>574.70621696485523</v>
      </c>
    </row>
    <row r="104" spans="2:22">
      <c r="B104" s="156">
        <v>45508</v>
      </c>
      <c r="C104" s="155">
        <v>24367.5</v>
      </c>
      <c r="D104" s="155">
        <v>24302.85</v>
      </c>
      <c r="E104" s="155">
        <v>24419.75</v>
      </c>
      <c r="F104" s="155">
        <v>23893.7</v>
      </c>
      <c r="G104" t="s">
        <v>340</v>
      </c>
      <c r="H104" s="160">
        <v>-1.4200000000000001E-2</v>
      </c>
      <c r="I104" s="5"/>
      <c r="J104" s="130"/>
      <c r="K104" s="156">
        <v>45508</v>
      </c>
      <c r="L104" s="155">
        <v>417.75</v>
      </c>
      <c r="M104" s="155">
        <v>446</v>
      </c>
      <c r="N104" s="155">
        <v>452.9</v>
      </c>
      <c r="O104" s="155">
        <v>416.05</v>
      </c>
      <c r="P104" t="s">
        <v>463</v>
      </c>
      <c r="Q104" s="160">
        <v>-9.2499999999999999E-2</v>
      </c>
      <c r="S104" s="273">
        <f t="shared" si="1"/>
        <v>-4.5519999999999998E-2</v>
      </c>
      <c r="U104">
        <v>62</v>
      </c>
      <c r="V104" s="197">
        <v>-2060.8437859934302</v>
      </c>
    </row>
    <row r="105" spans="2:22">
      <c r="B105" s="156">
        <v>45501</v>
      </c>
      <c r="C105" s="155">
        <v>24717.7</v>
      </c>
      <c r="D105" s="155">
        <v>24943.3</v>
      </c>
      <c r="E105" s="155">
        <v>25078.3</v>
      </c>
      <c r="F105" s="155">
        <v>24686.85</v>
      </c>
      <c r="G105" t="s">
        <v>365</v>
      </c>
      <c r="H105" s="160">
        <v>-4.7000000000000002E-3</v>
      </c>
      <c r="I105" s="5"/>
      <c r="J105" s="130"/>
      <c r="K105" s="156">
        <v>45501</v>
      </c>
      <c r="L105" s="155">
        <v>460.35</v>
      </c>
      <c r="M105" s="155">
        <v>446.95</v>
      </c>
      <c r="N105" s="155">
        <v>471</v>
      </c>
      <c r="O105" s="155">
        <v>440</v>
      </c>
      <c r="P105" t="s">
        <v>464</v>
      </c>
      <c r="Q105" s="160">
        <v>3.5200000000000002E-2</v>
      </c>
      <c r="S105" s="273">
        <f t="shared" si="1"/>
        <v>1.1260000000000003E-2</v>
      </c>
      <c r="U105">
        <v>63</v>
      </c>
      <c r="V105" s="197">
        <v>-105.69858655341082</v>
      </c>
    </row>
    <row r="106" spans="2:22">
      <c r="B106" s="156">
        <v>45494</v>
      </c>
      <c r="C106" s="155">
        <v>24834.85</v>
      </c>
      <c r="D106" s="155">
        <v>24445.75</v>
      </c>
      <c r="E106" s="155">
        <v>24861.15</v>
      </c>
      <c r="F106" s="155">
        <v>24074.2</v>
      </c>
      <c r="G106" t="s">
        <v>345</v>
      </c>
      <c r="H106" s="160">
        <v>1.24E-2</v>
      </c>
      <c r="I106" s="5"/>
      <c r="J106" s="130"/>
      <c r="K106" s="156">
        <v>45494</v>
      </c>
      <c r="L106" s="155">
        <v>444.7</v>
      </c>
      <c r="M106" s="155">
        <v>415</v>
      </c>
      <c r="N106" s="155">
        <v>446.2</v>
      </c>
      <c r="O106" s="155">
        <v>400</v>
      </c>
      <c r="P106" t="s">
        <v>465</v>
      </c>
      <c r="Q106" s="160">
        <v>7.3800000000000004E-2</v>
      </c>
      <c r="S106" s="273">
        <f t="shared" si="1"/>
        <v>3.6960000000000007E-2</v>
      </c>
      <c r="U106">
        <v>64</v>
      </c>
      <c r="V106" s="197">
        <v>-1165.5820766841118</v>
      </c>
    </row>
    <row r="107" spans="2:22">
      <c r="B107" s="156">
        <v>45487</v>
      </c>
      <c r="C107" s="155">
        <v>24530.9</v>
      </c>
      <c r="D107" s="155">
        <v>24587.599999999999</v>
      </c>
      <c r="E107" s="155">
        <v>24854.799999999999</v>
      </c>
      <c r="F107" s="155">
        <v>24504.45</v>
      </c>
      <c r="G107" t="s">
        <v>366</v>
      </c>
      <c r="H107" s="160">
        <v>1.1999999999999999E-3</v>
      </c>
      <c r="I107" s="5"/>
      <c r="J107" s="130"/>
      <c r="K107" s="156">
        <v>45487</v>
      </c>
      <c r="L107" s="155">
        <v>414.15</v>
      </c>
      <c r="M107" s="155">
        <v>436.4</v>
      </c>
      <c r="N107" s="155">
        <v>445.25</v>
      </c>
      <c r="O107" s="155">
        <v>412.85</v>
      </c>
      <c r="P107" t="s">
        <v>466</v>
      </c>
      <c r="Q107" s="160">
        <v>-4.58E-2</v>
      </c>
      <c r="S107" s="273">
        <f t="shared" si="1"/>
        <v>-1.7600000000000001E-2</v>
      </c>
      <c r="U107">
        <v>65</v>
      </c>
      <c r="V107" s="197">
        <v>414.78348738285365</v>
      </c>
    </row>
    <row r="108" spans="2:22">
      <c r="B108" s="156">
        <v>45480</v>
      </c>
      <c r="C108" s="155">
        <v>24502.15</v>
      </c>
      <c r="D108" s="155">
        <v>24329.45</v>
      </c>
      <c r="E108" s="155">
        <v>24592.2</v>
      </c>
      <c r="F108" s="155">
        <v>24141.8</v>
      </c>
      <c r="G108" t="s">
        <v>315</v>
      </c>
      <c r="H108" s="160">
        <v>7.3000000000000001E-3</v>
      </c>
      <c r="I108" s="5"/>
      <c r="J108" s="130"/>
      <c r="K108" s="156">
        <v>45480</v>
      </c>
      <c r="L108" s="155">
        <v>434.05</v>
      </c>
      <c r="M108" s="155">
        <v>440.7</v>
      </c>
      <c r="N108" s="155">
        <v>444.5</v>
      </c>
      <c r="O108" s="155">
        <v>426.85</v>
      </c>
      <c r="P108" t="s">
        <v>467</v>
      </c>
      <c r="Q108" s="160">
        <v>-1.34E-2</v>
      </c>
      <c r="S108" s="273">
        <f t="shared" si="1"/>
        <v>-9.7999999999999997E-4</v>
      </c>
      <c r="U108">
        <v>66</v>
      </c>
      <c r="V108" s="197">
        <v>-720.31978985986643</v>
      </c>
    </row>
    <row r="109" spans="2:22">
      <c r="B109" s="156">
        <v>45473</v>
      </c>
      <c r="C109" s="155">
        <v>24323.85</v>
      </c>
      <c r="D109" s="155">
        <v>23992.95</v>
      </c>
      <c r="E109" s="155">
        <v>24401</v>
      </c>
      <c r="F109" s="155">
        <v>23992.7</v>
      </c>
      <c r="G109" t="s">
        <v>360</v>
      </c>
      <c r="H109" s="160">
        <v>1.2999999999999999E-2</v>
      </c>
      <c r="I109" s="5"/>
      <c r="J109" s="130"/>
      <c r="K109" s="156">
        <v>45473</v>
      </c>
      <c r="L109" s="155">
        <v>439.95</v>
      </c>
      <c r="M109" s="155">
        <v>441</v>
      </c>
      <c r="N109" s="155">
        <v>442.25</v>
      </c>
      <c r="O109" s="155">
        <v>428</v>
      </c>
      <c r="P109" t="s">
        <v>468</v>
      </c>
      <c r="Q109" s="160">
        <v>-1.5E-3</v>
      </c>
      <c r="S109" s="273">
        <f t="shared" si="1"/>
        <v>7.1999999999999998E-3</v>
      </c>
      <c r="U109">
        <v>67</v>
      </c>
      <c r="V109" s="197">
        <v>817.81904949979571</v>
      </c>
    </row>
    <row r="110" spans="2:22">
      <c r="B110" s="157">
        <v>45466</v>
      </c>
      <c r="C110" s="158">
        <v>24010.6</v>
      </c>
      <c r="D110" s="158">
        <v>23382.3</v>
      </c>
      <c r="E110" s="158">
        <v>24174</v>
      </c>
      <c r="F110" s="158">
        <v>23350</v>
      </c>
      <c r="G110" s="159" t="s">
        <v>348</v>
      </c>
      <c r="H110" s="161">
        <v>2.1700000000000001E-2</v>
      </c>
      <c r="I110" s="5"/>
      <c r="J110" s="130"/>
      <c r="K110" s="157">
        <v>45466</v>
      </c>
      <c r="L110" s="158">
        <v>440.6</v>
      </c>
      <c r="M110" s="158">
        <v>436</v>
      </c>
      <c r="N110" s="158">
        <v>444.45</v>
      </c>
      <c r="O110" s="158">
        <v>426.5</v>
      </c>
      <c r="P110" s="159" t="s">
        <v>469</v>
      </c>
      <c r="Q110" s="161">
        <v>4.3E-3</v>
      </c>
      <c r="S110" s="273">
        <f t="shared" si="1"/>
        <v>1.474E-2</v>
      </c>
      <c r="U110">
        <v>68</v>
      </c>
      <c r="V110" s="197">
        <v>13.851284016135736</v>
      </c>
    </row>
    <row r="111" spans="2:22">
      <c r="H111" s="5">
        <f>SUM(H7:H110)</f>
        <v>3.8899999999999962E-2</v>
      </c>
      <c r="I111" s="5"/>
      <c r="Q111" s="5">
        <f>SUM(Q7:Q110)</f>
        <v>-9.8000000000000743E-3</v>
      </c>
      <c r="U111">
        <v>69</v>
      </c>
      <c r="V111" s="197">
        <v>0.53005519196784689</v>
      </c>
    </row>
    <row r="112" spans="2:22">
      <c r="U112">
        <v>70</v>
      </c>
      <c r="V112" s="197">
        <v>-1065.6455773061898</v>
      </c>
    </row>
    <row r="113" spans="21:22">
      <c r="U113">
        <v>71</v>
      </c>
      <c r="V113" s="197">
        <v>-1177.2911329729413</v>
      </c>
    </row>
    <row r="114" spans="21:22">
      <c r="U114">
        <v>72</v>
      </c>
      <c r="V114" s="197">
        <v>-258.53847722400195</v>
      </c>
    </row>
    <row r="115" spans="21:22">
      <c r="U115">
        <v>73</v>
      </c>
      <c r="V115" s="197">
        <v>473.35788706351258</v>
      </c>
    </row>
    <row r="116" spans="21:22">
      <c r="U116">
        <v>74</v>
      </c>
      <c r="V116" s="197">
        <v>855.2660173546135</v>
      </c>
    </row>
    <row r="117" spans="21:22">
      <c r="U117">
        <v>75</v>
      </c>
      <c r="V117" s="197">
        <v>1662.9118009495194</v>
      </c>
    </row>
    <row r="118" spans="21:22">
      <c r="U118">
        <v>76</v>
      </c>
      <c r="V118" s="197">
        <v>-432.75006898533928</v>
      </c>
    </row>
    <row r="119" spans="21:22">
      <c r="U119">
        <v>77</v>
      </c>
      <c r="V119" s="197">
        <v>385.00937119645005</v>
      </c>
    </row>
    <row r="120" spans="21:22">
      <c r="U120">
        <v>78</v>
      </c>
      <c r="V120" s="197">
        <v>119.30872377444122</v>
      </c>
    </row>
    <row r="121" spans="21:22">
      <c r="U121">
        <v>79</v>
      </c>
      <c r="V121" s="197">
        <v>-0.73750307433006412</v>
      </c>
    </row>
    <row r="122" spans="21:22">
      <c r="U122">
        <v>80</v>
      </c>
      <c r="V122" s="197">
        <v>1091.7478950895593</v>
      </c>
    </row>
    <row r="123" spans="21:22">
      <c r="U123">
        <v>81</v>
      </c>
      <c r="V123" s="197">
        <v>1514.5474901605319</v>
      </c>
    </row>
    <row r="124" spans="21:22">
      <c r="U124">
        <v>82</v>
      </c>
      <c r="V124" s="197">
        <v>942.50548031459471</v>
      </c>
    </row>
    <row r="125" spans="21:22">
      <c r="U125">
        <v>83</v>
      </c>
      <c r="V125" s="197">
        <v>603.07101222967822</v>
      </c>
    </row>
    <row r="126" spans="21:22">
      <c r="U126">
        <v>84</v>
      </c>
      <c r="V126" s="197">
        <v>-528.64961654805029</v>
      </c>
    </row>
    <row r="127" spans="21:22">
      <c r="U127">
        <v>85</v>
      </c>
      <c r="V127" s="197">
        <v>-969.65759551407746</v>
      </c>
    </row>
    <row r="128" spans="21:22">
      <c r="U128">
        <v>86</v>
      </c>
      <c r="V128" s="197">
        <v>646.58759772463418</v>
      </c>
    </row>
    <row r="129" spans="21:22">
      <c r="U129">
        <v>87</v>
      </c>
      <c r="V129" s="197">
        <v>1280.3912733982565</v>
      </c>
    </row>
    <row r="130" spans="21:22">
      <c r="U130">
        <v>88</v>
      </c>
      <c r="V130" s="197">
        <v>-2725.6808699629487</v>
      </c>
    </row>
    <row r="131" spans="21:22">
      <c r="U131">
        <v>89</v>
      </c>
      <c r="V131" s="197">
        <v>442.90386404070961</v>
      </c>
    </row>
    <row r="132" spans="21:22">
      <c r="U132">
        <v>90</v>
      </c>
      <c r="V132" s="197">
        <v>14.647301031718243</v>
      </c>
    </row>
    <row r="133" spans="21:22">
      <c r="U133">
        <v>91</v>
      </c>
      <c r="V133" s="197">
        <v>900.7660895224376</v>
      </c>
    </row>
    <row r="134" spans="21:22">
      <c r="U134">
        <v>92</v>
      </c>
      <c r="V134" s="197">
        <v>-758.91203652254603</v>
      </c>
    </row>
    <row r="135" spans="21:22">
      <c r="U135">
        <v>93</v>
      </c>
      <c r="V135" s="197">
        <v>-1252.6896427179995</v>
      </c>
    </row>
    <row r="136" spans="21:22">
      <c r="U136">
        <v>94</v>
      </c>
      <c r="V136" s="197">
        <v>-892.0963636741667</v>
      </c>
    </row>
    <row r="137" spans="21:22">
      <c r="U137">
        <v>95</v>
      </c>
      <c r="V137" s="197">
        <v>-668.06977408366561</v>
      </c>
    </row>
    <row r="138" spans="21:22">
      <c r="U138">
        <v>96</v>
      </c>
      <c r="V138" s="197">
        <v>-962.32916667002178</v>
      </c>
    </row>
    <row r="139" spans="21:22">
      <c r="U139">
        <v>97</v>
      </c>
      <c r="V139" s="197">
        <v>640.50091054873769</v>
      </c>
    </row>
    <row r="140" spans="21:22">
      <c r="U140">
        <v>98</v>
      </c>
      <c r="V140" s="197">
        <v>1025.4120560628812</v>
      </c>
    </row>
    <row r="141" spans="21:22">
      <c r="U141">
        <v>99</v>
      </c>
      <c r="V141" s="197">
        <v>164.98504824925536</v>
      </c>
    </row>
    <row r="142" spans="21:22">
      <c r="U142">
        <v>100</v>
      </c>
      <c r="V142" s="197">
        <v>570.66161346820923</v>
      </c>
    </row>
    <row r="143" spans="21:22">
      <c r="U143">
        <v>101</v>
      </c>
      <c r="V143" s="197">
        <v>280.32125247372301</v>
      </c>
    </row>
    <row r="144" spans="21:22">
      <c r="U144">
        <v>102</v>
      </c>
      <c r="V144" s="197">
        <v>885.96612167546982</v>
      </c>
    </row>
    <row r="145" spans="21:22">
      <c r="U145">
        <v>103</v>
      </c>
      <c r="V145" s="197">
        <v>-2129.8813009628125</v>
      </c>
    </row>
    <row r="146" spans="21:22">
      <c r="U146">
        <v>104</v>
      </c>
      <c r="V146" s="197">
        <v>-442.3317473793432</v>
      </c>
    </row>
    <row r="147" spans="21:22">
      <c r="U147">
        <v>105</v>
      </c>
      <c r="V147" s="197">
        <v>-441.95249982637853</v>
      </c>
    </row>
    <row r="148" spans="21:22">
      <c r="U148">
        <v>106</v>
      </c>
      <c r="V148" s="197">
        <v>-303.57197083063431</v>
      </c>
    </row>
    <row r="149" spans="21:22">
      <c r="U149">
        <v>107</v>
      </c>
      <c r="V149" s="197">
        <v>-408.98815796912083</v>
      </c>
    </row>
    <row r="150" spans="21:22">
      <c r="U150">
        <v>108</v>
      </c>
      <c r="V150" s="197">
        <v>1618.2614571132278</v>
      </c>
    </row>
    <row r="151" spans="21:22">
      <c r="U151">
        <v>109</v>
      </c>
      <c r="V151" s="197">
        <v>-299.349371478237</v>
      </c>
    </row>
    <row r="152" spans="21:22">
      <c r="U152">
        <v>110</v>
      </c>
      <c r="V152" s="197">
        <v>-378.26799414691044</v>
      </c>
    </row>
    <row r="153" spans="21:22">
      <c r="U153">
        <v>111</v>
      </c>
      <c r="V153" s="197">
        <v>1202.8982412367254</v>
      </c>
    </row>
    <row r="154" spans="21:22">
      <c r="U154">
        <v>112</v>
      </c>
      <c r="V154" s="197">
        <v>-358.19219836932291</v>
      </c>
    </row>
    <row r="155" spans="21:22">
      <c r="U155">
        <v>113</v>
      </c>
      <c r="V155" s="197">
        <v>-2293.5967364200783</v>
      </c>
    </row>
    <row r="156" spans="21:22">
      <c r="U156">
        <v>114</v>
      </c>
      <c r="V156" s="197">
        <v>620.03118107093246</v>
      </c>
    </row>
    <row r="157" spans="21:22">
      <c r="U157">
        <v>115</v>
      </c>
      <c r="V157" s="197">
        <v>1337.9203608271066</v>
      </c>
    </row>
    <row r="158" spans="21:22">
      <c r="U158">
        <v>116</v>
      </c>
      <c r="V158" s="197">
        <v>405.2016833646253</v>
      </c>
    </row>
    <row r="159" spans="21:22">
      <c r="U159">
        <v>117</v>
      </c>
      <c r="V159" s="197">
        <v>613.71191627063558</v>
      </c>
    </row>
    <row r="160" spans="21:22">
      <c r="U160">
        <v>118</v>
      </c>
      <c r="V160" s="197">
        <v>-221.64938507708183</v>
      </c>
    </row>
    <row r="161" spans="21:22">
      <c r="U161">
        <v>119</v>
      </c>
      <c r="V161" s="197">
        <v>-642.3782662748556</v>
      </c>
    </row>
    <row r="162" spans="21:22">
      <c r="U162">
        <v>120</v>
      </c>
      <c r="V162" s="197">
        <v>1196.1457792393444</v>
      </c>
    </row>
    <row r="163" spans="21:22">
      <c r="U163">
        <v>121</v>
      </c>
      <c r="V163" s="197">
        <v>1365.7021432031861</v>
      </c>
    </row>
    <row r="164" spans="21:22">
      <c r="U164">
        <v>122</v>
      </c>
      <c r="V164" s="197">
        <v>1533.0538627989345</v>
      </c>
    </row>
    <row r="165" spans="21:22">
      <c r="U165">
        <v>123</v>
      </c>
      <c r="V165" s="197">
        <v>-2139.0417061381477</v>
      </c>
    </row>
    <row r="166" spans="21:22">
      <c r="U166">
        <v>124</v>
      </c>
      <c r="V166" s="197">
        <v>334.46751590744418</v>
      </c>
    </row>
    <row r="167" spans="21:22">
      <c r="U167">
        <v>125</v>
      </c>
      <c r="V167" s="197">
        <v>-542.713138872218</v>
      </c>
    </row>
    <row r="168" spans="21:22">
      <c r="U168">
        <v>126</v>
      </c>
      <c r="V168" s="197">
        <v>980.6045260621911</v>
      </c>
    </row>
    <row r="169" spans="21:22">
      <c r="U169">
        <v>127</v>
      </c>
      <c r="V169" s="197">
        <v>-386.08544892098115</v>
      </c>
    </row>
    <row r="170" spans="21:22">
      <c r="U170">
        <v>128</v>
      </c>
      <c r="V170" s="197">
        <v>1611.7500734358139</v>
      </c>
    </row>
    <row r="171" spans="21:22">
      <c r="U171">
        <v>129</v>
      </c>
      <c r="V171" s="197">
        <v>-985.76614477903945</v>
      </c>
    </row>
    <row r="172" spans="21:22">
      <c r="U172">
        <v>130</v>
      </c>
      <c r="V172" s="197">
        <v>-207.89468760333443</v>
      </c>
    </row>
    <row r="173" spans="21:22">
      <c r="U173">
        <v>131</v>
      </c>
      <c r="V173" s="197">
        <v>1799.7022998185287</v>
      </c>
    </row>
    <row r="174" spans="21:22">
      <c r="U174">
        <v>132</v>
      </c>
      <c r="V174" s="197">
        <v>-551.99023734504885</v>
      </c>
    </row>
    <row r="175" spans="21:22">
      <c r="U175">
        <v>133</v>
      </c>
      <c r="V175" s="197">
        <v>-933.51311304233241</v>
      </c>
    </row>
    <row r="176" spans="21:22">
      <c r="U176">
        <v>134</v>
      </c>
      <c r="V176" s="197">
        <v>478.65152325517516</v>
      </c>
    </row>
    <row r="177" spans="21:22">
      <c r="U177">
        <v>135</v>
      </c>
      <c r="V177" s="197">
        <v>-450.31605546755162</v>
      </c>
    </row>
    <row r="178" spans="21:22">
      <c r="U178">
        <v>136</v>
      </c>
      <c r="V178" s="197">
        <v>-65.30930482493082</v>
      </c>
    </row>
    <row r="179" spans="21:22">
      <c r="U179">
        <v>137</v>
      </c>
      <c r="V179" s="197">
        <v>-1179.3882978394715</v>
      </c>
    </row>
    <row r="180" spans="21:22">
      <c r="U180">
        <v>138</v>
      </c>
      <c r="V180" s="197">
        <v>-2082.0827035614639</v>
      </c>
    </row>
    <row r="181" spans="21:22">
      <c r="U181">
        <v>139</v>
      </c>
      <c r="V181" s="197">
        <v>994.30841417398028</v>
      </c>
    </row>
    <row r="182" spans="21:22">
      <c r="U182">
        <v>140</v>
      </c>
      <c r="V182" s="197">
        <v>-514.64913936205517</v>
      </c>
    </row>
    <row r="183" spans="21:22">
      <c r="U183">
        <v>141</v>
      </c>
      <c r="V183" s="197">
        <v>1557.3107832613427</v>
      </c>
    </row>
    <row r="184" spans="21:22">
      <c r="U184">
        <v>142</v>
      </c>
      <c r="V184" s="197">
        <v>800.47943902975476</v>
      </c>
    </row>
    <row r="185" spans="21:22">
      <c r="U185">
        <v>143</v>
      </c>
      <c r="V185" s="197">
        <v>-359.26363002747911</v>
      </c>
    </row>
    <row r="186" spans="21:22">
      <c r="U186">
        <v>144</v>
      </c>
      <c r="V186" s="197">
        <v>-1441.1124564116096</v>
      </c>
    </row>
    <row r="187" spans="21:22">
      <c r="U187">
        <v>145</v>
      </c>
      <c r="V187" s="197">
        <v>-322.69793067205097</v>
      </c>
    </row>
    <row r="188" spans="21:22">
      <c r="U188">
        <v>146</v>
      </c>
      <c r="V188" s="197">
        <v>-365.69990124751837</v>
      </c>
    </row>
    <row r="189" spans="21:22">
      <c r="U189">
        <v>147</v>
      </c>
      <c r="V189" s="197">
        <v>776.15088843547232</v>
      </c>
    </row>
    <row r="190" spans="21:22">
      <c r="U190">
        <v>148</v>
      </c>
      <c r="V190" s="197">
        <v>2201.5765785348362</v>
      </c>
    </row>
    <row r="191" spans="21:22">
      <c r="U191">
        <v>149</v>
      </c>
      <c r="V191" s="197">
        <v>-488.52238034938131</v>
      </c>
    </row>
    <row r="192" spans="21:22">
      <c r="U192">
        <v>150</v>
      </c>
      <c r="V192" s="197">
        <v>-245.83514197472988</v>
      </c>
    </row>
    <row r="193" spans="21:22">
      <c r="U193">
        <v>151</v>
      </c>
      <c r="V193" s="197">
        <v>1163.8393539868628</v>
      </c>
    </row>
    <row r="194" spans="21:22">
      <c r="U194">
        <v>152</v>
      </c>
      <c r="V194" s="197">
        <v>1150.1087449681536</v>
      </c>
    </row>
    <row r="195" spans="21:22">
      <c r="U195">
        <v>153</v>
      </c>
      <c r="V195" s="197">
        <v>-486.42059858668955</v>
      </c>
    </row>
    <row r="196" spans="21:22">
      <c r="U196">
        <v>154</v>
      </c>
      <c r="V196" s="197">
        <v>363.3075676177823</v>
      </c>
    </row>
    <row r="197" spans="21:22">
      <c r="U197">
        <v>155</v>
      </c>
      <c r="V197" s="197">
        <v>1823.2321354247445</v>
      </c>
    </row>
    <row r="198" spans="21:22">
      <c r="U198">
        <v>156</v>
      </c>
      <c r="V198" s="197">
        <v>-235.09131084911121</v>
      </c>
    </row>
    <row r="199" spans="21:22">
      <c r="U199">
        <v>157</v>
      </c>
      <c r="V199" s="197">
        <v>-1356.7330460288638</v>
      </c>
    </row>
    <row r="200" spans="21:22">
      <c r="U200">
        <v>158</v>
      </c>
      <c r="V200" s="197">
        <v>520.08331724180243</v>
      </c>
    </row>
    <row r="201" spans="21:22">
      <c r="U201">
        <v>159</v>
      </c>
      <c r="V201" s="197">
        <v>258.59438513540408</v>
      </c>
    </row>
    <row r="202" spans="21:22">
      <c r="U202">
        <v>160</v>
      </c>
      <c r="V202" s="197">
        <v>-43.210294119166889</v>
      </c>
    </row>
    <row r="203" spans="21:22">
      <c r="U203">
        <v>161</v>
      </c>
      <c r="V203" s="197">
        <v>-1654.6669271103156</v>
      </c>
    </row>
    <row r="204" spans="21:22">
      <c r="U204">
        <v>162</v>
      </c>
      <c r="V204" s="197">
        <v>1943.2118741875156</v>
      </c>
    </row>
    <row r="205" spans="21:22">
      <c r="U205">
        <v>163</v>
      </c>
      <c r="V205" s="197">
        <v>-295.73675740507082</v>
      </c>
    </row>
    <row r="206" spans="21:22">
      <c r="U206">
        <v>164</v>
      </c>
      <c r="V206" s="197">
        <v>273.7925174663589</v>
      </c>
    </row>
    <row r="207" spans="21:22">
      <c r="U207">
        <v>165</v>
      </c>
      <c r="V207" s="197">
        <v>462.45707891449393</v>
      </c>
    </row>
    <row r="208" spans="21:22">
      <c r="U208">
        <v>166</v>
      </c>
      <c r="V208" s="197">
        <v>-120.75928705503304</v>
      </c>
    </row>
    <row r="209" spans="21:22">
      <c r="U209">
        <v>167</v>
      </c>
      <c r="V209" s="197">
        <v>502.73791945666375</v>
      </c>
    </row>
    <row r="210" spans="21:22">
      <c r="U210">
        <v>168</v>
      </c>
      <c r="V210" s="197">
        <v>21.586036177292328</v>
      </c>
    </row>
    <row r="211" spans="21:22">
      <c r="U211">
        <v>169</v>
      </c>
      <c r="V211" s="197">
        <v>260.82919795919747</v>
      </c>
    </row>
    <row r="212" spans="21:22">
      <c r="U212">
        <v>170</v>
      </c>
      <c r="V212" s="197">
        <v>-303.37243697236369</v>
      </c>
    </row>
    <row r="213" spans="21:22">
      <c r="U213">
        <v>171</v>
      </c>
      <c r="V213" s="197">
        <v>-568.56490892552688</v>
      </c>
    </row>
    <row r="214" spans="21:22">
      <c r="U214">
        <v>172</v>
      </c>
      <c r="V214" s="197">
        <v>1000.6799011596763</v>
      </c>
    </row>
    <row r="215" spans="21:22">
      <c r="U215">
        <v>173</v>
      </c>
      <c r="V215" s="197">
        <v>1708.0371802068451</v>
      </c>
    </row>
    <row r="216" spans="21:22">
      <c r="U216">
        <v>174</v>
      </c>
      <c r="V216" s="197">
        <v>1896.9315223043482</v>
      </c>
    </row>
    <row r="217" spans="21:22">
      <c r="U217">
        <v>175</v>
      </c>
      <c r="V217" s="197">
        <v>341.79587943731337</v>
      </c>
    </row>
    <row r="218" spans="21:22">
      <c r="U218">
        <v>176</v>
      </c>
      <c r="V218" s="197">
        <v>-1196.6170197044826</v>
      </c>
    </row>
    <row r="219" spans="21:22">
      <c r="U219">
        <v>177</v>
      </c>
      <c r="V219" s="197">
        <v>1333.0750256973547</v>
      </c>
    </row>
    <row r="220" spans="21:22">
      <c r="U220">
        <v>178</v>
      </c>
      <c r="V220" s="197">
        <v>-5.5671999110181076</v>
      </c>
    </row>
    <row r="221" spans="21:22">
      <c r="U221">
        <v>179</v>
      </c>
      <c r="V221" s="197">
        <v>1655.7580066371065</v>
      </c>
    </row>
    <row r="222" spans="21:22">
      <c r="U222">
        <v>180</v>
      </c>
      <c r="V222" s="197">
        <v>653.2245916396098</v>
      </c>
    </row>
    <row r="223" spans="21:22">
      <c r="U223">
        <v>181</v>
      </c>
      <c r="V223" s="197">
        <v>-379.57131238701226</v>
      </c>
    </row>
    <row r="224" spans="21:22">
      <c r="U224">
        <v>182</v>
      </c>
      <c r="V224" s="197">
        <v>277.74080794700484</v>
      </c>
    </row>
    <row r="225" spans="21:22">
      <c r="U225">
        <v>183</v>
      </c>
      <c r="V225" s="197">
        <v>564.93467333884018</v>
      </c>
    </row>
    <row r="226" spans="21:22">
      <c r="U226">
        <v>184</v>
      </c>
      <c r="V226" s="197">
        <v>1047.0954129938737</v>
      </c>
    </row>
    <row r="227" spans="21:22">
      <c r="U227">
        <v>185</v>
      </c>
      <c r="V227" s="197">
        <v>-275.67213364017664</v>
      </c>
    </row>
    <row r="228" spans="21:22">
      <c r="U228">
        <v>186</v>
      </c>
      <c r="V228" s="197">
        <v>173.55281073141552</v>
      </c>
    </row>
    <row r="229" spans="21:22">
      <c r="U229">
        <v>187</v>
      </c>
      <c r="V229" s="197">
        <v>-933.724557624211</v>
      </c>
    </row>
    <row r="230" spans="21:22">
      <c r="U230">
        <v>188</v>
      </c>
      <c r="V230" s="197">
        <v>-1101.3297298599555</v>
      </c>
    </row>
    <row r="231" spans="21:22">
      <c r="U231">
        <v>189</v>
      </c>
      <c r="V231" s="197">
        <v>854.28742433689558</v>
      </c>
    </row>
    <row r="232" spans="21:22">
      <c r="U232">
        <v>190</v>
      </c>
      <c r="V232" s="197">
        <v>503.55395969325673</v>
      </c>
    </row>
    <row r="233" spans="21:22">
      <c r="U233">
        <v>191</v>
      </c>
      <c r="V233" s="197">
        <v>813.52036604485761</v>
      </c>
    </row>
    <row r="234" spans="21:22">
      <c r="U234">
        <v>192</v>
      </c>
      <c r="V234" s="197">
        <v>-78.849998793983701</v>
      </c>
    </row>
    <row r="235" spans="21:22">
      <c r="U235">
        <v>193</v>
      </c>
      <c r="V235" s="197">
        <v>1716.2033398716437</v>
      </c>
    </row>
    <row r="236" spans="21:22">
      <c r="U236">
        <v>194</v>
      </c>
      <c r="V236" s="197">
        <v>1905.4309037478718</v>
      </c>
    </row>
    <row r="237" spans="21:22">
      <c r="U237">
        <v>195</v>
      </c>
      <c r="V237" s="197">
        <v>2767.6110482175554</v>
      </c>
    </row>
    <row r="238" spans="21:22">
      <c r="U238">
        <v>196</v>
      </c>
      <c r="V238" s="197">
        <v>-1334.2758340648502</v>
      </c>
    </row>
    <row r="239" spans="21:22">
      <c r="U239">
        <v>197</v>
      </c>
      <c r="V239" s="197">
        <v>-315.08416700078158</v>
      </c>
    </row>
    <row r="240" spans="21:22">
      <c r="U240">
        <v>198</v>
      </c>
      <c r="V240" s="197">
        <v>-221.16627066613228</v>
      </c>
    </row>
    <row r="241" spans="21:22">
      <c r="U241">
        <v>199</v>
      </c>
      <c r="V241" s="197">
        <v>1934.6296365046837</v>
      </c>
    </row>
    <row r="242" spans="21:22">
      <c r="U242">
        <v>200</v>
      </c>
      <c r="V242" s="197">
        <v>914.96684001625795</v>
      </c>
    </row>
    <row r="243" spans="21:22">
      <c r="U243">
        <v>201</v>
      </c>
      <c r="V243" s="197">
        <v>1953.2319492637439</v>
      </c>
    </row>
    <row r="244" spans="21:22">
      <c r="U244">
        <v>202</v>
      </c>
      <c r="V244" s="197">
        <v>852.99065073392603</v>
      </c>
    </row>
    <row r="245" spans="21:22">
      <c r="U245">
        <v>203</v>
      </c>
      <c r="V245" s="197">
        <v>-4.6461719412661893</v>
      </c>
    </row>
    <row r="246" spans="21:22">
      <c r="U246">
        <v>204</v>
      </c>
      <c r="V246" s="197">
        <v>759.19218851873984</v>
      </c>
    </row>
    <row r="247" spans="21:22">
      <c r="U247">
        <v>205</v>
      </c>
      <c r="V247" s="197">
        <v>-869.46156368602351</v>
      </c>
    </row>
    <row r="248" spans="21:22">
      <c r="U248">
        <v>206</v>
      </c>
      <c r="V248" s="197">
        <v>-994.62025135562658</v>
      </c>
    </row>
    <row r="249" spans="21:22">
      <c r="U249">
        <v>207</v>
      </c>
      <c r="V249" s="197">
        <v>-800.25644122318272</v>
      </c>
    </row>
    <row r="250" spans="21:22">
      <c r="U250">
        <v>208</v>
      </c>
      <c r="V250" s="197">
        <v>927.78121565039237</v>
      </c>
    </row>
    <row r="251" spans="21:22">
      <c r="U251">
        <v>209</v>
      </c>
      <c r="V251" s="197">
        <v>-790.33417314590588</v>
      </c>
    </row>
    <row r="252" spans="21:22">
      <c r="U252">
        <v>210</v>
      </c>
      <c r="V252" s="197">
        <v>45.389425948134011</v>
      </c>
    </row>
    <row r="253" spans="21:22">
      <c r="U253">
        <v>211</v>
      </c>
      <c r="V253" s="197">
        <v>138.64423842428903</v>
      </c>
    </row>
    <row r="254" spans="21:22">
      <c r="U254">
        <v>212</v>
      </c>
      <c r="V254" s="197">
        <v>810.46771036506084</v>
      </c>
    </row>
    <row r="255" spans="21:22">
      <c r="U255">
        <v>213</v>
      </c>
      <c r="V255" s="197">
        <v>-647.93791938984714</v>
      </c>
    </row>
    <row r="256" spans="21:22">
      <c r="U256">
        <v>214</v>
      </c>
      <c r="V256" s="197">
        <v>1505.8242517119013</v>
      </c>
    </row>
    <row r="257" spans="21:22">
      <c r="U257">
        <v>215</v>
      </c>
      <c r="V257" s="197">
        <v>-76.472632913011182</v>
      </c>
    </row>
    <row r="258" spans="21:22">
      <c r="U258">
        <v>216</v>
      </c>
      <c r="V258" s="197">
        <v>1005.6542235621225</v>
      </c>
    </row>
    <row r="259" spans="21:22">
      <c r="U259">
        <v>217</v>
      </c>
      <c r="V259" s="197">
        <v>0.64851645807905811</v>
      </c>
    </row>
    <row r="260" spans="21:22">
      <c r="U260">
        <v>218</v>
      </c>
      <c r="V260" s="197">
        <v>-490.97700101499885</v>
      </c>
    </row>
    <row r="261" spans="21:22">
      <c r="U261">
        <v>219</v>
      </c>
      <c r="V261" s="197">
        <v>-367.71547841197321</v>
      </c>
    </row>
    <row r="262" spans="21:22">
      <c r="U262">
        <v>220</v>
      </c>
      <c r="V262" s="197">
        <v>521.02278184636532</v>
      </c>
    </row>
    <row r="263" spans="21:22">
      <c r="U263">
        <v>221</v>
      </c>
      <c r="V263" s="197">
        <v>-1050.7323366763731</v>
      </c>
    </row>
    <row r="264" spans="21:22">
      <c r="U264">
        <v>222</v>
      </c>
      <c r="V264" s="197">
        <v>-258.5144219532479</v>
      </c>
    </row>
    <row r="265" spans="21:22">
      <c r="U265">
        <v>223</v>
      </c>
      <c r="V265" s="197">
        <v>890.61885649404735</v>
      </c>
    </row>
    <row r="266" spans="21:22">
      <c r="U266">
        <v>224</v>
      </c>
      <c r="V266" s="197">
        <v>922.02061295837939</v>
      </c>
    </row>
    <row r="267" spans="21:22">
      <c r="U267">
        <v>225</v>
      </c>
      <c r="V267" s="197">
        <v>-1480.1794514166763</v>
      </c>
    </row>
    <row r="268" spans="21:22">
      <c r="U268">
        <v>226</v>
      </c>
      <c r="V268" s="197">
        <v>888.0900452976457</v>
      </c>
    </row>
    <row r="269" spans="21:22">
      <c r="U269">
        <v>227</v>
      </c>
      <c r="V269" s="197">
        <v>620.91807016435723</v>
      </c>
    </row>
    <row r="270" spans="21:22">
      <c r="U270">
        <v>228</v>
      </c>
      <c r="V270" s="197">
        <v>-808.01151841935189</v>
      </c>
    </row>
    <row r="271" spans="21:22">
      <c r="U271">
        <v>229</v>
      </c>
      <c r="V271" s="197">
        <v>-1591.6770591342033</v>
      </c>
    </row>
    <row r="272" spans="21:22">
      <c r="U272">
        <v>230</v>
      </c>
      <c r="V272" s="197">
        <v>332.01626873692499</v>
      </c>
    </row>
    <row r="273" spans="21:22">
      <c r="U273">
        <v>231</v>
      </c>
      <c r="V273" s="197">
        <v>88.931326075452716</v>
      </c>
    </row>
    <row r="274" spans="21:22">
      <c r="U274">
        <v>232</v>
      </c>
      <c r="V274" s="197">
        <v>-861.87451340069561</v>
      </c>
    </row>
    <row r="275" spans="21:22">
      <c r="U275">
        <v>233</v>
      </c>
      <c r="V275" s="197">
        <v>293.40362011457859</v>
      </c>
    </row>
    <row r="276" spans="21:22">
      <c r="U276">
        <v>234</v>
      </c>
      <c r="V276" s="197">
        <v>525.59626116735808</v>
      </c>
    </row>
    <row r="277" spans="21:22">
      <c r="U277">
        <v>235</v>
      </c>
      <c r="V277" s="197">
        <v>248.88899680028001</v>
      </c>
    </row>
    <row r="278" spans="21:22">
      <c r="U278">
        <v>236</v>
      </c>
      <c r="V278" s="197">
        <v>-484.64748855037175</v>
      </c>
    </row>
    <row r="279" spans="21:22">
      <c r="U279">
        <v>237</v>
      </c>
      <c r="V279" s="197">
        <v>-803.95575326985909</v>
      </c>
    </row>
    <row r="280" spans="21:22">
      <c r="U280">
        <v>238</v>
      </c>
      <c r="V280" s="197">
        <v>255.81057455432182</v>
      </c>
    </row>
    <row r="281" spans="21:22">
      <c r="U281">
        <v>239</v>
      </c>
      <c r="V281" s="197">
        <v>-1175.0699447879222</v>
      </c>
    </row>
    <row r="282" spans="21:22">
      <c r="U282">
        <v>240</v>
      </c>
      <c r="V282" s="197">
        <v>479.9427454622363</v>
      </c>
    </row>
    <row r="283" spans="21:22">
      <c r="U283">
        <v>241</v>
      </c>
      <c r="V283" s="197">
        <v>980.24057494532644</v>
      </c>
    </row>
    <row r="284" spans="21:22">
      <c r="U284">
        <v>242</v>
      </c>
      <c r="V284" s="197">
        <v>1395.4524037314009</v>
      </c>
    </row>
    <row r="285" spans="21:22">
      <c r="U285">
        <v>243</v>
      </c>
      <c r="V285" s="197">
        <v>-206.19061036866924</v>
      </c>
    </row>
    <row r="286" spans="21:22">
      <c r="U286">
        <v>244</v>
      </c>
      <c r="V286" s="197">
        <v>1585.7657770818951</v>
      </c>
    </row>
    <row r="287" spans="21:22">
      <c r="U287">
        <v>245</v>
      </c>
      <c r="V287" s="197">
        <v>1630.0404985154619</v>
      </c>
    </row>
    <row r="288" spans="21:22">
      <c r="U288">
        <v>246</v>
      </c>
      <c r="V288" s="197">
        <v>949.06242223541562</v>
      </c>
    </row>
    <row r="289" spans="21:22">
      <c r="U289">
        <v>247</v>
      </c>
      <c r="V289" s="197">
        <v>135.01429948985214</v>
      </c>
    </row>
    <row r="290" spans="21:22">
      <c r="U290">
        <v>248</v>
      </c>
      <c r="V290" s="197">
        <v>572.00531541225109</v>
      </c>
    </row>
    <row r="291" spans="21:22">
      <c r="U291">
        <v>249</v>
      </c>
      <c r="V291" s="197">
        <v>940.44301679488035</v>
      </c>
    </row>
    <row r="292" spans="21:22">
      <c r="U292">
        <v>250</v>
      </c>
      <c r="V292" s="197">
        <v>734.48635808858489</v>
      </c>
    </row>
    <row r="293" spans="21:22">
      <c r="U293">
        <v>251</v>
      </c>
      <c r="V293" s="197">
        <v>1134.4485785077918</v>
      </c>
    </row>
    <row r="294" spans="21:22">
      <c r="U294">
        <v>252</v>
      </c>
      <c r="V294" s="197">
        <v>652.87868356051558</v>
      </c>
    </row>
    <row r="295" spans="21:22">
      <c r="U295">
        <v>253</v>
      </c>
      <c r="V295" s="197">
        <v>-186.6148979999947</v>
      </c>
    </row>
    <row r="296" spans="21:22">
      <c r="U296">
        <v>254</v>
      </c>
      <c r="V296" s="197">
        <v>-1129.2487523899188</v>
      </c>
    </row>
    <row r="297" spans="21:22">
      <c r="U297">
        <v>255</v>
      </c>
      <c r="V297" s="197">
        <v>438.60843079113931</v>
      </c>
    </row>
    <row r="298" spans="21:22">
      <c r="U298">
        <v>256</v>
      </c>
      <c r="V298" s="197">
        <v>-109.00546058859265</v>
      </c>
    </row>
    <row r="299" spans="21:22">
      <c r="U299">
        <v>257</v>
      </c>
      <c r="V299" s="197">
        <v>182.66686635494824</v>
      </c>
    </row>
    <row r="300" spans="21:22">
      <c r="U300">
        <v>258</v>
      </c>
      <c r="V300" s="197">
        <v>1060.0067054523618</v>
      </c>
    </row>
    <row r="301" spans="21:22">
      <c r="U301">
        <v>259</v>
      </c>
      <c r="V301" s="197">
        <v>-672.35416427226301</v>
      </c>
    </row>
    <row r="302" spans="21:22">
      <c r="U302">
        <v>260</v>
      </c>
      <c r="V302" s="197">
        <v>166.75400415061313</v>
      </c>
    </row>
    <row r="303" spans="21:22">
      <c r="U303">
        <v>261</v>
      </c>
      <c r="V303" s="197">
        <v>735.3405660070257</v>
      </c>
    </row>
    <row r="304" spans="21:22">
      <c r="U304">
        <v>262</v>
      </c>
      <c r="V304" s="197">
        <v>-722.13291452689259</v>
      </c>
    </row>
    <row r="305" spans="21:22">
      <c r="U305">
        <v>263</v>
      </c>
      <c r="V305" s="197">
        <v>-1540.0370761858462</v>
      </c>
    </row>
    <row r="306" spans="21:22">
      <c r="U306">
        <v>264</v>
      </c>
      <c r="V306" s="197">
        <v>37.202425815608755</v>
      </c>
    </row>
    <row r="307" spans="21:22">
      <c r="U307">
        <v>265</v>
      </c>
      <c r="V307" s="197">
        <v>-209.52345216099445</v>
      </c>
    </row>
    <row r="308" spans="21:22">
      <c r="U308">
        <v>266</v>
      </c>
      <c r="V308" s="197">
        <v>512.0879888303823</v>
      </c>
    </row>
    <row r="309" spans="21:22">
      <c r="U309">
        <v>267</v>
      </c>
      <c r="V309" s="197">
        <v>1094.842829342655</v>
      </c>
    </row>
    <row r="310" spans="21:22">
      <c r="U310">
        <v>268</v>
      </c>
      <c r="V310" s="197">
        <v>-92.157116218618313</v>
      </c>
    </row>
    <row r="311" spans="21:22">
      <c r="U311">
        <v>269</v>
      </c>
      <c r="V311" s="197">
        <v>287.48819354888394</v>
      </c>
    </row>
    <row r="312" spans="21:22">
      <c r="U312">
        <v>270</v>
      </c>
      <c r="V312" s="197">
        <v>-40.993036818998718</v>
      </c>
    </row>
    <row r="313" spans="21:22">
      <c r="U313">
        <v>271</v>
      </c>
      <c r="V313" s="197">
        <v>11.61755177407251</v>
      </c>
    </row>
    <row r="314" spans="21:22">
      <c r="U314">
        <v>272</v>
      </c>
      <c r="V314" s="197">
        <v>813.5070602781982</v>
      </c>
    </row>
    <row r="315" spans="21:22">
      <c r="U315">
        <v>273</v>
      </c>
      <c r="V315" s="197">
        <v>1075.1161144318799</v>
      </c>
    </row>
    <row r="316" spans="21:22">
      <c r="U316">
        <v>274</v>
      </c>
      <c r="V316" s="197">
        <v>-392.6837277380356</v>
      </c>
    </row>
    <row r="317" spans="21:22">
      <c r="U317">
        <v>275</v>
      </c>
      <c r="V317" s="197">
        <v>-996.5914944377746</v>
      </c>
    </row>
    <row r="318" spans="21:22">
      <c r="U318">
        <v>276</v>
      </c>
      <c r="V318" s="197">
        <v>-384.94233342392897</v>
      </c>
    </row>
    <row r="319" spans="21:22">
      <c r="U319">
        <v>277</v>
      </c>
      <c r="V319" s="197">
        <v>1802.0934332610861</v>
      </c>
    </row>
    <row r="320" spans="21:22">
      <c r="U320">
        <v>278</v>
      </c>
      <c r="V320" s="197">
        <v>-948.10159821791422</v>
      </c>
    </row>
    <row r="321" spans="21:22">
      <c r="U321">
        <v>279</v>
      </c>
      <c r="V321" s="197">
        <v>-1289.6451652920075</v>
      </c>
    </row>
    <row r="322" spans="21:22">
      <c r="U322">
        <v>280</v>
      </c>
      <c r="V322" s="197">
        <v>-577.03957016477193</v>
      </c>
    </row>
    <row r="323" spans="21:22">
      <c r="U323">
        <v>281</v>
      </c>
      <c r="V323" s="197">
        <v>-485.23243656244603</v>
      </c>
    </row>
    <row r="324" spans="21:22">
      <c r="U324">
        <v>282</v>
      </c>
      <c r="V324" s="197">
        <v>-504.483178469964</v>
      </c>
    </row>
    <row r="325" spans="21:22">
      <c r="U325">
        <v>283</v>
      </c>
      <c r="V325" s="197">
        <v>-192.48555290517925</v>
      </c>
    </row>
    <row r="326" spans="21:22">
      <c r="U326">
        <v>284</v>
      </c>
      <c r="V326" s="197">
        <v>1444.7878087579395</v>
      </c>
    </row>
    <row r="327" spans="21:22">
      <c r="U327">
        <v>285</v>
      </c>
      <c r="V327" s="197">
        <v>275.95656349726352</v>
      </c>
    </row>
    <row r="328" spans="21:22">
      <c r="U328">
        <v>286</v>
      </c>
      <c r="V328" s="197">
        <v>467.77037795750726</v>
      </c>
    </row>
    <row r="329" spans="21:22">
      <c r="U329">
        <v>287</v>
      </c>
      <c r="V329" s="197">
        <v>-247.84868289747851</v>
      </c>
    </row>
    <row r="330" spans="21:22">
      <c r="U330">
        <v>288</v>
      </c>
      <c r="V330" s="197">
        <v>364.77654476538675</v>
      </c>
    </row>
    <row r="331" spans="21:22">
      <c r="U331">
        <v>289</v>
      </c>
      <c r="V331" s="197">
        <v>2007.6670656470417</v>
      </c>
    </row>
    <row r="332" spans="21:22">
      <c r="U332">
        <v>290</v>
      </c>
      <c r="V332" s="197">
        <v>253.39153941756842</v>
      </c>
    </row>
    <row r="333" spans="21:22">
      <c r="U333">
        <v>291</v>
      </c>
      <c r="V333" s="197">
        <v>828.23507027614778</v>
      </c>
    </row>
    <row r="334" spans="21:22">
      <c r="U334">
        <v>292</v>
      </c>
      <c r="V334" s="197">
        <v>901.34637999072402</v>
      </c>
    </row>
    <row r="335" spans="21:22">
      <c r="U335">
        <v>293</v>
      </c>
      <c r="V335" s="197">
        <v>-574.76017512001977</v>
      </c>
    </row>
    <row r="336" spans="21:22">
      <c r="U336">
        <v>294</v>
      </c>
      <c r="V336" s="197">
        <v>-1006.9291984905581</v>
      </c>
    </row>
    <row r="337" spans="21:22">
      <c r="U337">
        <v>295</v>
      </c>
      <c r="V337" s="197">
        <v>379.93703667931828</v>
      </c>
    </row>
    <row r="338" spans="21:22">
      <c r="U338">
        <v>296</v>
      </c>
      <c r="V338" s="197">
        <v>-96.342616450756481</v>
      </c>
    </row>
    <row r="339" spans="21:22">
      <c r="U339">
        <v>297</v>
      </c>
      <c r="V339" s="197">
        <v>956.98006950446302</v>
      </c>
    </row>
    <row r="340" spans="21:22">
      <c r="U340">
        <v>298</v>
      </c>
      <c r="V340" s="197">
        <v>727.16743146091039</v>
      </c>
    </row>
    <row r="341" spans="21:22">
      <c r="U341">
        <v>299</v>
      </c>
      <c r="V341" s="197">
        <v>-1290.5380147083833</v>
      </c>
    </row>
    <row r="342" spans="21:22">
      <c r="U342">
        <v>300</v>
      </c>
      <c r="V342" s="197">
        <v>780.66443433800146</v>
      </c>
    </row>
    <row r="343" spans="21:22">
      <c r="U343">
        <v>301</v>
      </c>
      <c r="V343" s="197">
        <v>-497.4421298922536</v>
      </c>
    </row>
    <row r="344" spans="21:22">
      <c r="U344">
        <v>302</v>
      </c>
      <c r="V344" s="197">
        <v>-379.02543349408421</v>
      </c>
    </row>
    <row r="345" spans="21:22">
      <c r="U345">
        <v>303</v>
      </c>
      <c r="V345" s="197">
        <v>-104.82270085428249</v>
      </c>
    </row>
    <row r="346" spans="21:22">
      <c r="U346">
        <v>304</v>
      </c>
      <c r="V346" s="197">
        <v>-868.73294956308746</v>
      </c>
    </row>
    <row r="347" spans="21:22">
      <c r="U347">
        <v>305</v>
      </c>
      <c r="V347" s="197">
        <v>1310.9543582322365</v>
      </c>
    </row>
    <row r="348" spans="21:22">
      <c r="U348">
        <v>306</v>
      </c>
      <c r="V348" s="197">
        <v>-56.515634518042646</v>
      </c>
    </row>
    <row r="349" spans="21:22">
      <c r="U349">
        <v>307</v>
      </c>
      <c r="V349" s="197">
        <v>2022.4718501636476</v>
      </c>
    </row>
    <row r="350" spans="21:22">
      <c r="U350">
        <v>308</v>
      </c>
      <c r="V350" s="197">
        <v>-1563.363415660333</v>
      </c>
    </row>
    <row r="351" spans="21:22">
      <c r="U351">
        <v>309</v>
      </c>
      <c r="V351" s="197">
        <v>-316.47228326375568</v>
      </c>
    </row>
    <row r="352" spans="21:22">
      <c r="U352">
        <v>310</v>
      </c>
      <c r="V352" s="197">
        <v>1561.3884545472499</v>
      </c>
    </row>
    <row r="353" spans="21:22">
      <c r="U353">
        <v>311</v>
      </c>
      <c r="V353" s="197">
        <v>-19.503392681263861</v>
      </c>
    </row>
    <row r="354" spans="21:22">
      <c r="U354">
        <v>312</v>
      </c>
      <c r="V354" s="197">
        <v>223.16200034901715</v>
      </c>
    </row>
    <row r="355" spans="21:22">
      <c r="U355">
        <v>313</v>
      </c>
      <c r="V355" s="197">
        <v>-576.3779468185819</v>
      </c>
    </row>
    <row r="356" spans="21:22">
      <c r="U356">
        <v>314</v>
      </c>
      <c r="V356" s="197">
        <v>-674.891022589165</v>
      </c>
    </row>
    <row r="357" spans="21:22">
      <c r="U357">
        <v>315</v>
      </c>
      <c r="V357" s="197">
        <v>895.71767223310985</v>
      </c>
    </row>
    <row r="358" spans="21:22">
      <c r="U358">
        <v>316</v>
      </c>
      <c r="V358" s="197">
        <v>-1847.426282850224</v>
      </c>
    </row>
    <row r="359" spans="21:22">
      <c r="U359">
        <v>317</v>
      </c>
      <c r="V359" s="197">
        <v>346.16193359849376</v>
      </c>
    </row>
    <row r="360" spans="21:22">
      <c r="U360">
        <v>318</v>
      </c>
      <c r="V360" s="197">
        <v>-836.39393910462672</v>
      </c>
    </row>
    <row r="361" spans="21:22">
      <c r="U361">
        <v>319</v>
      </c>
      <c r="V361" s="197">
        <v>-988.67219480015865</v>
      </c>
    </row>
    <row r="362" spans="21:22">
      <c r="U362">
        <v>320</v>
      </c>
      <c r="V362" s="197">
        <v>-975.07258470167699</v>
      </c>
    </row>
    <row r="363" spans="21:22">
      <c r="U363">
        <v>321</v>
      </c>
      <c r="V363" s="197">
        <v>954.9924031750777</v>
      </c>
    </row>
    <row r="364" spans="21:22">
      <c r="U364">
        <v>322</v>
      </c>
      <c r="V364" s="197">
        <v>-1832.7894294847185</v>
      </c>
    </row>
    <row r="365" spans="21:22">
      <c r="U365">
        <v>323</v>
      </c>
      <c r="V365" s="197">
        <v>471.31034442188616</v>
      </c>
    </row>
    <row r="366" spans="21:22">
      <c r="U366">
        <v>324</v>
      </c>
      <c r="V366" s="197">
        <v>-260.65864231186237</v>
      </c>
    </row>
    <row r="367" spans="21:22">
      <c r="U367">
        <v>325</v>
      </c>
      <c r="V367" s="197">
        <v>-691.48082156725673</v>
      </c>
    </row>
    <row r="368" spans="21:22">
      <c r="U368">
        <v>326</v>
      </c>
      <c r="V368" s="197">
        <v>-1514.3450173626022</v>
      </c>
    </row>
    <row r="369" spans="21:22">
      <c r="U369">
        <v>327</v>
      </c>
      <c r="V369" s="197">
        <v>1640.4891520685896</v>
      </c>
    </row>
    <row r="370" spans="21:22">
      <c r="U370">
        <v>328</v>
      </c>
      <c r="V370" s="197">
        <v>-237.75530730703809</v>
      </c>
    </row>
    <row r="371" spans="21:22">
      <c r="U371">
        <v>329</v>
      </c>
      <c r="V371" s="197">
        <v>-891.78438713238006</v>
      </c>
    </row>
    <row r="372" spans="21:22">
      <c r="U372">
        <v>330</v>
      </c>
      <c r="V372" s="197">
        <v>553.34606049964964</v>
      </c>
    </row>
    <row r="373" spans="21:22">
      <c r="U373">
        <v>331</v>
      </c>
      <c r="V373" s="197">
        <v>-923.24480786665572</v>
      </c>
    </row>
    <row r="374" spans="21:22">
      <c r="U374">
        <v>332</v>
      </c>
      <c r="V374" s="197">
        <v>1461.8698075055493</v>
      </c>
    </row>
    <row r="375" spans="21:22">
      <c r="U375">
        <v>333</v>
      </c>
      <c r="V375" s="197">
        <v>-540.824172767964</v>
      </c>
    </row>
    <row r="376" spans="21:22">
      <c r="U376">
        <v>334</v>
      </c>
      <c r="V376" s="197">
        <v>2418.4167563838696</v>
      </c>
    </row>
    <row r="377" spans="21:22">
      <c r="U377">
        <v>335</v>
      </c>
      <c r="V377" s="197">
        <v>-47.04426993175224</v>
      </c>
    </row>
    <row r="378" spans="21:22">
      <c r="U378">
        <v>336</v>
      </c>
      <c r="V378" s="197">
        <v>50.634509341557042</v>
      </c>
    </row>
    <row r="379" spans="21:22">
      <c r="U379">
        <v>337</v>
      </c>
      <c r="V379" s="197">
        <v>481.61458757607602</v>
      </c>
    </row>
    <row r="380" spans="21:22">
      <c r="U380">
        <v>338</v>
      </c>
      <c r="V380" s="197">
        <v>165.78200051587197</v>
      </c>
    </row>
    <row r="381" spans="21:22">
      <c r="U381">
        <v>339</v>
      </c>
      <c r="V381" s="197">
        <v>217.56314865837714</v>
      </c>
    </row>
    <row r="382" spans="21:22">
      <c r="U382">
        <v>340</v>
      </c>
      <c r="V382" s="197">
        <v>-717.44247514501831</v>
      </c>
    </row>
    <row r="383" spans="21:22">
      <c r="U383">
        <v>341</v>
      </c>
      <c r="V383" s="197">
        <v>2741.9633071219382</v>
      </c>
    </row>
    <row r="384" spans="21:22">
      <c r="U384">
        <v>342</v>
      </c>
      <c r="V384" s="197">
        <v>-336.59130536956775</v>
      </c>
    </row>
    <row r="385" spans="21:22">
      <c r="U385">
        <v>343</v>
      </c>
      <c r="V385" s="197">
        <v>-778.06440863197099</v>
      </c>
    </row>
    <row r="386" spans="21:22">
      <c r="U386">
        <v>344</v>
      </c>
      <c r="V386" s="197">
        <v>-613.22169309502419</v>
      </c>
    </row>
    <row r="387" spans="21:22">
      <c r="U387">
        <v>345</v>
      </c>
      <c r="V387" s="197">
        <v>723.49808106592309</v>
      </c>
    </row>
    <row r="388" spans="21:22">
      <c r="U388">
        <v>346</v>
      </c>
      <c r="V388" s="197">
        <v>2080.757821849731</v>
      </c>
    </row>
    <row r="389" spans="21:22">
      <c r="U389">
        <v>347</v>
      </c>
      <c r="V389" s="197">
        <v>-253.37299681499218</v>
      </c>
    </row>
    <row r="390" spans="21:22">
      <c r="U390">
        <v>348</v>
      </c>
      <c r="V390" s="197">
        <v>-1008.2151309426708</v>
      </c>
    </row>
    <row r="391" spans="21:22">
      <c r="U391">
        <v>349</v>
      </c>
      <c r="V391" s="197">
        <v>-805.11655264540695</v>
      </c>
    </row>
    <row r="392" spans="21:22">
      <c r="U392">
        <v>350</v>
      </c>
      <c r="V392" s="197">
        <v>-733.95820267295426</v>
      </c>
    </row>
    <row r="393" spans="21:22">
      <c r="U393">
        <v>351</v>
      </c>
      <c r="V393" s="197">
        <v>-1091.9222161729117</v>
      </c>
    </row>
    <row r="394" spans="21:22">
      <c r="U394">
        <v>352</v>
      </c>
      <c r="V394" s="197">
        <v>-317.64058579145211</v>
      </c>
    </row>
    <row r="395" spans="21:22">
      <c r="U395">
        <v>353</v>
      </c>
      <c r="V395" s="197">
        <v>-402.42407239963711</v>
      </c>
    </row>
    <row r="396" spans="21:22">
      <c r="U396">
        <v>354</v>
      </c>
      <c r="V396" s="197">
        <v>265.76853467726448</v>
      </c>
    </row>
    <row r="397" spans="21:22">
      <c r="U397">
        <v>355</v>
      </c>
      <c r="V397" s="197">
        <v>478.62143674246568</v>
      </c>
    </row>
    <row r="398" spans="21:22">
      <c r="U398">
        <v>356</v>
      </c>
      <c r="V398" s="197">
        <v>-1232.2572818402712</v>
      </c>
    </row>
    <row r="399" spans="21:22">
      <c r="U399">
        <v>357</v>
      </c>
      <c r="V399" s="197">
        <v>532.63994357844217</v>
      </c>
    </row>
    <row r="400" spans="21:22">
      <c r="U400">
        <v>358</v>
      </c>
      <c r="V400" s="197">
        <v>767.09409329003279</v>
      </c>
    </row>
    <row r="401" spans="21:22">
      <c r="U401">
        <v>359</v>
      </c>
      <c r="V401" s="197">
        <v>-470.24865051409944</v>
      </c>
    </row>
    <row r="402" spans="21:22">
      <c r="U402">
        <v>360</v>
      </c>
      <c r="V402" s="197">
        <v>-12.137820315961548</v>
      </c>
    </row>
    <row r="403" spans="21:22">
      <c r="U403">
        <v>361</v>
      </c>
      <c r="V403" s="197">
        <v>529.80322848479022</v>
      </c>
    </row>
    <row r="404" spans="21:22">
      <c r="U404">
        <v>362</v>
      </c>
      <c r="V404" s="197">
        <v>240.66956174080914</v>
      </c>
    </row>
    <row r="405" spans="21:22">
      <c r="U405">
        <v>363</v>
      </c>
      <c r="V405" s="197">
        <v>-55.830609157946157</v>
      </c>
    </row>
    <row r="406" spans="21:22">
      <c r="U406">
        <v>364</v>
      </c>
      <c r="V406" s="197">
        <v>837.38420343448979</v>
      </c>
    </row>
    <row r="407" spans="21:22">
      <c r="U407">
        <v>365</v>
      </c>
      <c r="V407" s="197">
        <v>-897.71265520979364</v>
      </c>
    </row>
    <row r="408" spans="21:22">
      <c r="U408">
        <v>366</v>
      </c>
      <c r="V408" s="197">
        <v>10.393302143769262</v>
      </c>
    </row>
    <row r="409" spans="21:22">
      <c r="U409">
        <v>367</v>
      </c>
      <c r="V409" s="197">
        <v>-626.74484850072395</v>
      </c>
    </row>
    <row r="410" spans="21:22">
      <c r="U410">
        <v>368</v>
      </c>
      <c r="V410" s="197">
        <v>544.25306504259652</v>
      </c>
    </row>
    <row r="411" spans="21:22">
      <c r="U411">
        <v>369</v>
      </c>
      <c r="V411" s="197">
        <v>-1319.7336794721577</v>
      </c>
    </row>
    <row r="412" spans="21:22">
      <c r="U412">
        <v>370</v>
      </c>
      <c r="V412" s="197">
        <v>24.191612230113776</v>
      </c>
    </row>
    <row r="413" spans="21:22">
      <c r="U413">
        <v>371</v>
      </c>
      <c r="V413" s="197">
        <v>-373.76160362213267</v>
      </c>
    </row>
    <row r="414" spans="21:22">
      <c r="U414">
        <v>372</v>
      </c>
      <c r="V414" s="197">
        <v>2287.7370903815863</v>
      </c>
    </row>
    <row r="415" spans="21:22">
      <c r="U415">
        <v>373</v>
      </c>
      <c r="V415" s="197">
        <v>361.44260396422794</v>
      </c>
    </row>
    <row r="416" spans="21:22">
      <c r="U416">
        <v>374</v>
      </c>
      <c r="V416" s="197">
        <v>159.62199320682481</v>
      </c>
    </row>
    <row r="417" spans="21:22">
      <c r="U417">
        <v>375</v>
      </c>
      <c r="V417" s="197">
        <v>-1731.3021416085385</v>
      </c>
    </row>
    <row r="418" spans="21:22">
      <c r="U418">
        <v>376</v>
      </c>
      <c r="V418" s="197">
        <v>-611.14640276879049</v>
      </c>
    </row>
    <row r="419" spans="21:22">
      <c r="U419">
        <v>377</v>
      </c>
      <c r="V419" s="197">
        <v>674.69650342084651</v>
      </c>
    </row>
    <row r="420" spans="21:22">
      <c r="U420">
        <v>378</v>
      </c>
      <c r="V420" s="197">
        <v>1324.6772066469325</v>
      </c>
    </row>
    <row r="421" spans="21:22">
      <c r="U421">
        <v>379</v>
      </c>
      <c r="V421" s="197">
        <v>4.9402224768757605</v>
      </c>
    </row>
    <row r="422" spans="21:22">
      <c r="U422">
        <v>380</v>
      </c>
      <c r="V422" s="197">
        <v>-699.27243003552303</v>
      </c>
    </row>
    <row r="423" spans="21:22">
      <c r="U423">
        <v>381</v>
      </c>
      <c r="V423" s="197">
        <v>-1251.7304414422492</v>
      </c>
    </row>
    <row r="424" spans="21:22">
      <c r="U424">
        <v>382</v>
      </c>
      <c r="V424" s="197">
        <v>-869.2406316121328</v>
      </c>
    </row>
    <row r="425" spans="21:22">
      <c r="U425">
        <v>383</v>
      </c>
      <c r="V425" s="197">
        <v>1131.2776929081833</v>
      </c>
    </row>
    <row r="426" spans="21:22">
      <c r="U426">
        <v>384</v>
      </c>
      <c r="V426" s="197">
        <v>570.53142996737279</v>
      </c>
    </row>
    <row r="427" spans="21:22">
      <c r="U427">
        <v>385</v>
      </c>
      <c r="V427" s="197">
        <v>-89.920841543158588</v>
      </c>
    </row>
    <row r="428" spans="21:22">
      <c r="U428">
        <v>386</v>
      </c>
      <c r="V428" s="197">
        <v>250.04563696044769</v>
      </c>
    </row>
    <row r="429" spans="21:22">
      <c r="U429">
        <v>387</v>
      </c>
      <c r="V429" s="197">
        <v>30.066885968727902</v>
      </c>
    </row>
    <row r="430" spans="21:22">
      <c r="U430">
        <v>388</v>
      </c>
      <c r="V430" s="197">
        <v>1081.2428154974248</v>
      </c>
    </row>
    <row r="431" spans="21:22">
      <c r="U431">
        <v>389</v>
      </c>
      <c r="V431" s="197">
        <v>1410.0671527484967</v>
      </c>
    </row>
    <row r="432" spans="21:22">
      <c r="U432">
        <v>390</v>
      </c>
      <c r="V432" s="197">
        <v>1534.2609364146222</v>
      </c>
    </row>
    <row r="433" spans="21:22">
      <c r="U433">
        <v>391</v>
      </c>
      <c r="V433" s="197">
        <v>460.92218199230143</v>
      </c>
    </row>
    <row r="434" spans="21:22">
      <c r="U434">
        <v>392</v>
      </c>
      <c r="V434" s="197">
        <v>467.51611761800666</v>
      </c>
    </row>
    <row r="435" spans="21:22">
      <c r="U435">
        <v>393</v>
      </c>
      <c r="V435" s="197">
        <v>67.627360212278489</v>
      </c>
    </row>
    <row r="436" spans="21:22">
      <c r="U436">
        <v>394</v>
      </c>
      <c r="V436" s="197">
        <v>-1722.6741037422246</v>
      </c>
    </row>
    <row r="437" spans="21:22">
      <c r="U437">
        <v>395</v>
      </c>
      <c r="V437" s="197">
        <v>571.52172051603839</v>
      </c>
    </row>
    <row r="438" spans="21:22">
      <c r="U438">
        <v>396</v>
      </c>
      <c r="V438" s="197">
        <v>1612.9511957457453</v>
      </c>
    </row>
    <row r="439" spans="21:22">
      <c r="U439">
        <v>397</v>
      </c>
      <c r="V439" s="197">
        <v>-392.30939394823076</v>
      </c>
    </row>
    <row r="440" spans="21:22">
      <c r="U440">
        <v>398</v>
      </c>
      <c r="V440" s="197">
        <v>-2271.8464587175208</v>
      </c>
    </row>
    <row r="441" spans="21:22">
      <c r="U441">
        <v>399</v>
      </c>
      <c r="V441" s="197">
        <v>-119.19238238442105</v>
      </c>
    </row>
    <row r="442" spans="21:22">
      <c r="U442">
        <v>400</v>
      </c>
      <c r="V442" s="197">
        <v>-201.06838226414601</v>
      </c>
    </row>
    <row r="443" spans="21:22">
      <c r="U443">
        <v>401</v>
      </c>
      <c r="V443" s="197">
        <v>2300.4964614258461</v>
      </c>
    </row>
    <row r="444" spans="21:22">
      <c r="U444">
        <v>402</v>
      </c>
      <c r="V444" s="197">
        <v>1164.4086144128541</v>
      </c>
    </row>
    <row r="445" spans="21:22">
      <c r="U445">
        <v>403</v>
      </c>
      <c r="V445" s="197">
        <v>434.72614671001713</v>
      </c>
    </row>
    <row r="446" spans="21:22">
      <c r="U446">
        <v>404</v>
      </c>
      <c r="V446" s="197">
        <v>1192.5482970147496</v>
      </c>
    </row>
    <row r="447" spans="21:22">
      <c r="U447">
        <v>405</v>
      </c>
      <c r="V447" s="197">
        <v>-437.78590826450164</v>
      </c>
    </row>
    <row r="448" spans="21:22">
      <c r="U448">
        <v>406</v>
      </c>
      <c r="V448" s="197">
        <v>1709.0620794464398</v>
      </c>
    </row>
    <row r="449" spans="21:22">
      <c r="U449">
        <v>407</v>
      </c>
      <c r="V449" s="197">
        <v>-197.18888657194179</v>
      </c>
    </row>
    <row r="450" spans="21:22">
      <c r="U450">
        <v>408</v>
      </c>
      <c r="V450" s="197">
        <v>-385.84468706722794</v>
      </c>
    </row>
    <row r="451" spans="21:22">
      <c r="U451">
        <v>409</v>
      </c>
      <c r="V451" s="197">
        <v>-72.718183679842781</v>
      </c>
    </row>
    <row r="452" spans="21:22">
      <c r="U452">
        <v>410</v>
      </c>
      <c r="V452" s="197">
        <v>-939.64579217888763</v>
      </c>
    </row>
    <row r="453" spans="21:22">
      <c r="U453">
        <v>411</v>
      </c>
      <c r="V453" s="197">
        <v>299.138471345281</v>
      </c>
    </row>
    <row r="454" spans="21:22">
      <c r="U454">
        <v>412</v>
      </c>
      <c r="V454" s="197">
        <v>-978.31875060467132</v>
      </c>
    </row>
    <row r="455" spans="21:22">
      <c r="U455">
        <v>413</v>
      </c>
      <c r="V455" s="197">
        <v>-860.83030247179272</v>
      </c>
    </row>
    <row r="456" spans="21:22">
      <c r="U456">
        <v>414</v>
      </c>
      <c r="V456" s="197">
        <v>72.54608468806515</v>
      </c>
    </row>
    <row r="457" spans="21:22">
      <c r="U457">
        <v>415</v>
      </c>
      <c r="V457" s="197">
        <v>934.66216551082857</v>
      </c>
    </row>
    <row r="458" spans="21:22">
      <c r="U458">
        <v>416</v>
      </c>
      <c r="V458" s="197">
        <v>-403.31758114059949</v>
      </c>
    </row>
    <row r="459" spans="21:22">
      <c r="U459">
        <v>417</v>
      </c>
      <c r="V459" s="197">
        <v>1229.9871983154674</v>
      </c>
    </row>
    <row r="460" spans="21:22">
      <c r="U460">
        <v>418</v>
      </c>
      <c r="V460" s="197">
        <v>415.02137877159072</v>
      </c>
    </row>
    <row r="461" spans="21:22">
      <c r="U461">
        <v>419</v>
      </c>
      <c r="V461" s="197">
        <v>495.94065504696482</v>
      </c>
    </row>
    <row r="462" spans="21:22">
      <c r="U462">
        <v>420</v>
      </c>
      <c r="V462" s="197">
        <v>-825.64690075799217</v>
      </c>
    </row>
    <row r="463" spans="21:22">
      <c r="U463">
        <v>421</v>
      </c>
      <c r="V463" s="197">
        <v>93.785871347124399</v>
      </c>
    </row>
    <row r="464" spans="21:22">
      <c r="U464">
        <v>422</v>
      </c>
      <c r="V464" s="197">
        <v>132.78832394831412</v>
      </c>
    </row>
    <row r="465" spans="21:22">
      <c r="U465">
        <v>423</v>
      </c>
      <c r="V465" s="197">
        <v>1102.8591579476026</v>
      </c>
    </row>
    <row r="466" spans="21:22">
      <c r="U466">
        <v>424</v>
      </c>
      <c r="V466" s="197">
        <v>297.97705549056832</v>
      </c>
    </row>
    <row r="467" spans="21:22">
      <c r="U467">
        <v>425</v>
      </c>
      <c r="V467" s="197">
        <v>215.87770171694831</v>
      </c>
    </row>
    <row r="468" spans="21:22">
      <c r="U468">
        <v>426</v>
      </c>
      <c r="V468" s="197">
        <v>119.481515307069</v>
      </c>
    </row>
    <row r="469" spans="21:22">
      <c r="U469">
        <v>427</v>
      </c>
      <c r="V469" s="197">
        <v>507.79468932347731</v>
      </c>
    </row>
    <row r="470" spans="21:22">
      <c r="U470">
        <v>428</v>
      </c>
      <c r="V470" s="197">
        <v>650.41397937658394</v>
      </c>
    </row>
    <row r="471" spans="21:22">
      <c r="U471">
        <v>429</v>
      </c>
      <c r="V471" s="197">
        <v>1705.9767776048079</v>
      </c>
    </row>
    <row r="472" spans="21:22">
      <c r="U472">
        <v>430</v>
      </c>
      <c r="V472" s="197">
        <v>196.11391540332397</v>
      </c>
    </row>
    <row r="473" spans="21:22">
      <c r="U473">
        <v>431</v>
      </c>
      <c r="V473" s="197">
        <v>-820.36486802877789</v>
      </c>
    </row>
    <row r="474" spans="21:22">
      <c r="U474">
        <v>432</v>
      </c>
      <c r="V474" s="197">
        <v>1157.0780538972767</v>
      </c>
    </row>
    <row r="475" spans="21:22">
      <c r="U475">
        <v>433</v>
      </c>
      <c r="V475" s="197">
        <v>-1158.8898575525916</v>
      </c>
    </row>
    <row r="476" spans="21:22">
      <c r="U476">
        <v>434</v>
      </c>
      <c r="V476" s="197">
        <v>-511.77301191858618</v>
      </c>
    </row>
    <row r="477" spans="21:22">
      <c r="U477">
        <v>435</v>
      </c>
      <c r="V477" s="197">
        <v>1313.1832529213946</v>
      </c>
    </row>
    <row r="478" spans="21:22">
      <c r="U478">
        <v>436</v>
      </c>
      <c r="V478" s="197">
        <v>-215.54645576958995</v>
      </c>
    </row>
    <row r="479" spans="21:22">
      <c r="U479">
        <v>437</v>
      </c>
      <c r="V479" s="197">
        <v>1287.6273963030749</v>
      </c>
    </row>
    <row r="480" spans="21:22">
      <c r="U480">
        <v>438</v>
      </c>
      <c r="V480" s="197">
        <v>-324.77704708752452</v>
      </c>
    </row>
    <row r="481" spans="21:22">
      <c r="U481">
        <v>439</v>
      </c>
      <c r="V481" s="197">
        <v>204.58389369157464</v>
      </c>
    </row>
    <row r="482" spans="21:22">
      <c r="U482">
        <v>440</v>
      </c>
      <c r="V482" s="197">
        <v>-245.02105538042167</v>
      </c>
    </row>
    <row r="483" spans="21:22">
      <c r="U483">
        <v>441</v>
      </c>
      <c r="V483" s="197">
        <v>-166.83479792371128</v>
      </c>
    </row>
    <row r="484" spans="21:22">
      <c r="U484">
        <v>442</v>
      </c>
      <c r="V484" s="197">
        <v>47.240944397159694</v>
      </c>
    </row>
    <row r="485" spans="21:22">
      <c r="U485">
        <v>443</v>
      </c>
      <c r="V485" s="197">
        <v>-695.55858289323533</v>
      </c>
    </row>
    <row r="486" spans="21:22">
      <c r="U486">
        <v>444</v>
      </c>
      <c r="V486" s="197">
        <v>-523.08990718046539</v>
      </c>
    </row>
    <row r="487" spans="21:22">
      <c r="U487">
        <v>445</v>
      </c>
      <c r="V487" s="197">
        <v>492.02097263440982</v>
      </c>
    </row>
    <row r="488" spans="21:22">
      <c r="U488">
        <v>446</v>
      </c>
      <c r="V488" s="197">
        <v>393.71899805224086</v>
      </c>
    </row>
    <row r="489" spans="21:22">
      <c r="U489">
        <v>447</v>
      </c>
      <c r="V489" s="197">
        <v>-94.410026561863532</v>
      </c>
    </row>
    <row r="490" spans="21:22">
      <c r="U490">
        <v>448</v>
      </c>
      <c r="V490" s="197">
        <v>2731.7906160288494</v>
      </c>
    </row>
    <row r="491" spans="21:22">
      <c r="U491">
        <v>449</v>
      </c>
      <c r="V491" s="197">
        <v>2052.6296770240142</v>
      </c>
    </row>
    <row r="492" spans="21:22">
      <c r="U492">
        <v>450</v>
      </c>
      <c r="V492" s="197">
        <v>2790.4630118208152</v>
      </c>
    </row>
    <row r="493" spans="21:22">
      <c r="U493">
        <v>451</v>
      </c>
      <c r="V493" s="197">
        <v>-618.48688129547668</v>
      </c>
    </row>
    <row r="494" spans="21:22">
      <c r="U494">
        <v>452</v>
      </c>
      <c r="V494" s="197">
        <v>1347.5670391060876</v>
      </c>
    </row>
    <row r="495" spans="21:22">
      <c r="U495">
        <v>453</v>
      </c>
      <c r="V495" s="197">
        <v>-58.948823645208506</v>
      </c>
    </row>
    <row r="496" spans="21:22">
      <c r="U496">
        <v>454</v>
      </c>
      <c r="V496" s="197">
        <v>-873.51117369526742</v>
      </c>
    </row>
    <row r="497" spans="21:22">
      <c r="U497">
        <v>455</v>
      </c>
      <c r="V497" s="197">
        <v>-507.25282131676892</v>
      </c>
    </row>
    <row r="498" spans="21:22">
      <c r="U498">
        <v>456</v>
      </c>
      <c r="V498" s="197">
        <v>-584.98833587767308</v>
      </c>
    </row>
    <row r="499" spans="21:22">
      <c r="U499">
        <v>457</v>
      </c>
      <c r="V499" s="197">
        <v>1640.3403858621916</v>
      </c>
    </row>
    <row r="500" spans="21:22">
      <c r="U500">
        <v>458</v>
      </c>
      <c r="V500" s="197">
        <v>996.05458577713193</v>
      </c>
    </row>
    <row r="501" spans="21:22">
      <c r="U501">
        <v>459</v>
      </c>
      <c r="V501" s="197">
        <v>-657.52802925200217</v>
      </c>
    </row>
    <row r="502" spans="21:22">
      <c r="U502">
        <v>460</v>
      </c>
      <c r="V502" s="197">
        <v>-994.54042004925509</v>
      </c>
    </row>
    <row r="503" spans="21:22">
      <c r="U503">
        <v>461</v>
      </c>
      <c r="V503" s="197">
        <v>1517.5378040272922</v>
      </c>
    </row>
    <row r="504" spans="21:22">
      <c r="U504">
        <v>462</v>
      </c>
      <c r="V504" s="197">
        <v>-416.62679691607326</v>
      </c>
    </row>
    <row r="505" spans="21:22">
      <c r="U505">
        <v>463</v>
      </c>
      <c r="V505" s="197">
        <v>-59.372678815117865</v>
      </c>
    </row>
    <row r="506" spans="21:22">
      <c r="U506">
        <v>464</v>
      </c>
      <c r="V506" s="197">
        <v>724.2136031606226</v>
      </c>
    </row>
    <row r="507" spans="21:22">
      <c r="U507">
        <v>465</v>
      </c>
      <c r="V507" s="197">
        <v>-594.98495356894978</v>
      </c>
    </row>
    <row r="508" spans="21:22">
      <c r="U508">
        <v>466</v>
      </c>
      <c r="V508" s="197">
        <v>379.08809645749807</v>
      </c>
    </row>
    <row r="509" spans="21:22">
      <c r="U509">
        <v>467</v>
      </c>
      <c r="V509" s="197">
        <v>-1051.8138802916349</v>
      </c>
    </row>
    <row r="510" spans="21:22">
      <c r="U510">
        <v>468</v>
      </c>
      <c r="V510" s="197">
        <v>1662.7909519499799</v>
      </c>
    </row>
    <row r="511" spans="21:22">
      <c r="U511">
        <v>469</v>
      </c>
      <c r="V511" s="197">
        <v>-104.5566298813491</v>
      </c>
    </row>
    <row r="512" spans="21:22">
      <c r="U512">
        <v>470</v>
      </c>
      <c r="V512" s="197">
        <v>-1610.3100079657484</v>
      </c>
    </row>
    <row r="513" spans="21:22">
      <c r="U513">
        <v>471</v>
      </c>
      <c r="V513" s="197">
        <v>-1057.772846167157</v>
      </c>
    </row>
    <row r="514" spans="21:22">
      <c r="U514">
        <v>472</v>
      </c>
      <c r="V514" s="197">
        <v>792.47961837526259</v>
      </c>
    </row>
    <row r="515" spans="21:22">
      <c r="U515">
        <v>473</v>
      </c>
      <c r="V515" s="197">
        <v>-877.33871631129409</v>
      </c>
    </row>
    <row r="516" spans="21:22">
      <c r="U516">
        <v>474</v>
      </c>
      <c r="V516" s="197">
        <v>-829.59387749463895</v>
      </c>
    </row>
    <row r="517" spans="21:22">
      <c r="U517">
        <v>475</v>
      </c>
      <c r="V517" s="197">
        <v>319.5028674821549</v>
      </c>
    </row>
    <row r="518" spans="21:22">
      <c r="U518">
        <v>476</v>
      </c>
      <c r="V518" s="197">
        <v>-629.18035534613887</v>
      </c>
    </row>
    <row r="519" spans="21:22">
      <c r="U519">
        <v>477</v>
      </c>
      <c r="V519" s="197">
        <v>1049.2143821262882</v>
      </c>
    </row>
    <row r="520" spans="21:22">
      <c r="U520">
        <v>478</v>
      </c>
      <c r="V520" s="197">
        <v>-596.12025544055427</v>
      </c>
    </row>
    <row r="521" spans="21:22">
      <c r="U521">
        <v>479</v>
      </c>
      <c r="V521" s="197">
        <v>111.1639507793392</v>
      </c>
    </row>
    <row r="522" spans="21:22">
      <c r="U522">
        <v>480</v>
      </c>
      <c r="V522" s="197">
        <v>206.60097454548512</v>
      </c>
    </row>
    <row r="523" spans="21:22">
      <c r="U523">
        <v>481</v>
      </c>
      <c r="V523" s="197">
        <v>-1058.5181873352426</v>
      </c>
    </row>
    <row r="524" spans="21:22">
      <c r="U524">
        <v>482</v>
      </c>
      <c r="V524" s="197">
        <v>-1436.9426544886314</v>
      </c>
    </row>
    <row r="525" spans="21:22">
      <c r="U525">
        <v>483</v>
      </c>
      <c r="V525" s="197">
        <v>-1137.5756962751054</v>
      </c>
    </row>
    <row r="526" spans="21:22">
      <c r="U526">
        <v>484</v>
      </c>
      <c r="V526" s="197">
        <v>-595.0406560608601</v>
      </c>
    </row>
    <row r="527" spans="21:22">
      <c r="U527">
        <v>485</v>
      </c>
      <c r="V527" s="197">
        <v>-268.13667460078989</v>
      </c>
    </row>
    <row r="528" spans="21:22">
      <c r="U528">
        <v>486</v>
      </c>
      <c r="V528" s="197">
        <v>-877.55281785685679</v>
      </c>
    </row>
    <row r="529" spans="21:22">
      <c r="U529">
        <v>487</v>
      </c>
      <c r="V529" s="197">
        <v>-1011.1497894895006</v>
      </c>
    </row>
    <row r="530" spans="21:22">
      <c r="U530">
        <v>488</v>
      </c>
      <c r="V530" s="197">
        <v>101.20290451897782</v>
      </c>
    </row>
    <row r="531" spans="21:22">
      <c r="U531">
        <v>489</v>
      </c>
      <c r="V531" s="197">
        <v>-432.33828487505713</v>
      </c>
    </row>
    <row r="532" spans="21:22">
      <c r="U532">
        <v>490</v>
      </c>
      <c r="V532" s="197">
        <v>2402.7151976659793</v>
      </c>
    </row>
    <row r="533" spans="21:22">
      <c r="U533">
        <v>491</v>
      </c>
      <c r="V533" s="197">
        <v>-697.68065742182785</v>
      </c>
    </row>
    <row r="534" spans="21:22">
      <c r="U534">
        <v>492</v>
      </c>
      <c r="V534" s="197">
        <v>77.93245513221197</v>
      </c>
    </row>
    <row r="535" spans="21:22">
      <c r="U535">
        <v>493</v>
      </c>
      <c r="V535" s="197">
        <v>-1059.5083924740186</v>
      </c>
    </row>
    <row r="536" spans="21:22">
      <c r="U536">
        <v>494</v>
      </c>
      <c r="V536" s="197">
        <v>691.54382743291285</v>
      </c>
    </row>
    <row r="537" spans="21:22">
      <c r="U537">
        <v>495</v>
      </c>
      <c r="V537" s="197">
        <v>962.70951618600498</v>
      </c>
    </row>
    <row r="538" spans="21:22">
      <c r="U538">
        <v>496</v>
      </c>
      <c r="V538" s="197">
        <v>36.123803671287348</v>
      </c>
    </row>
    <row r="539" spans="21:22">
      <c r="U539">
        <v>497</v>
      </c>
      <c r="V539" s="197">
        <v>518.53057670037538</v>
      </c>
    </row>
    <row r="540" spans="21:22">
      <c r="U540">
        <v>498</v>
      </c>
      <c r="V540" s="197">
        <v>-397.09413487597772</v>
      </c>
    </row>
    <row r="541" spans="21:22">
      <c r="U541">
        <v>499</v>
      </c>
      <c r="V541" s="197">
        <v>-597.77078210225977</v>
      </c>
    </row>
    <row r="542" spans="21:22">
      <c r="U542">
        <v>500</v>
      </c>
      <c r="V542" s="197">
        <v>-334.93462135172433</v>
      </c>
    </row>
    <row r="543" spans="21:22">
      <c r="U543">
        <v>501</v>
      </c>
      <c r="V543" s="197">
        <v>771.79833907112288</v>
      </c>
    </row>
    <row r="544" spans="21:22">
      <c r="U544">
        <v>502</v>
      </c>
      <c r="V544" s="197">
        <v>1328.4126271775415</v>
      </c>
    </row>
    <row r="545" spans="21:22">
      <c r="U545">
        <v>503</v>
      </c>
      <c r="V545" s="197">
        <v>998.50026138818112</v>
      </c>
    </row>
    <row r="546" spans="21:22">
      <c r="U546">
        <v>504</v>
      </c>
      <c r="V546" s="197">
        <v>-565.61139701299203</v>
      </c>
    </row>
    <row r="547" spans="21:22">
      <c r="U547">
        <v>505</v>
      </c>
      <c r="V547" s="197">
        <v>1118.0288181805647</v>
      </c>
    </row>
    <row r="548" spans="21:22">
      <c r="U548">
        <v>506</v>
      </c>
      <c r="V548" s="197">
        <v>-299.32358873815019</v>
      </c>
    </row>
    <row r="549" spans="21:22">
      <c r="U549">
        <v>507</v>
      </c>
      <c r="V549" s="197">
        <v>-200.97675676370795</v>
      </c>
    </row>
    <row r="550" spans="21:22">
      <c r="U550">
        <v>508</v>
      </c>
      <c r="V550" s="197">
        <v>62.436491185765689</v>
      </c>
    </row>
    <row r="551" spans="21:22">
      <c r="U551">
        <v>509</v>
      </c>
      <c r="V551" s="197">
        <v>-928.1568233998803</v>
      </c>
    </row>
    <row r="552" spans="21:22">
      <c r="U552">
        <v>510</v>
      </c>
      <c r="V552" s="197">
        <v>-231.37136585720469</v>
      </c>
    </row>
    <row r="553" spans="21:22">
      <c r="U553">
        <v>511</v>
      </c>
      <c r="V553" s="197">
        <v>2294.8096389350494</v>
      </c>
    </row>
    <row r="554" spans="21:22">
      <c r="U554">
        <v>512</v>
      </c>
      <c r="V554" s="197">
        <v>-33.760613741707118</v>
      </c>
    </row>
    <row r="555" spans="21:22">
      <c r="U555">
        <v>513</v>
      </c>
      <c r="V555" s="197">
        <v>806.35700533088061</v>
      </c>
    </row>
    <row r="556" spans="21:22">
      <c r="U556">
        <v>514</v>
      </c>
      <c r="V556" s="197">
        <v>319.27913739490862</v>
      </c>
    </row>
    <row r="557" spans="21:22">
      <c r="U557">
        <v>515</v>
      </c>
      <c r="V557" s="197">
        <v>-993.18404896670586</v>
      </c>
    </row>
    <row r="558" spans="21:22">
      <c r="U558">
        <v>516</v>
      </c>
      <c r="V558" s="197">
        <v>-186.39467316811402</v>
      </c>
    </row>
    <row r="559" spans="21:22">
      <c r="U559">
        <v>517</v>
      </c>
      <c r="V559" s="197">
        <v>21.010489242096867</v>
      </c>
    </row>
    <row r="560" spans="21:22">
      <c r="U560">
        <v>518</v>
      </c>
      <c r="V560" s="197">
        <v>-2156.3363021372866</v>
      </c>
    </row>
    <row r="561" spans="21:22">
      <c r="U561">
        <v>519</v>
      </c>
      <c r="V561" s="197">
        <v>542.08367524082826</v>
      </c>
    </row>
    <row r="562" spans="21:22">
      <c r="U562">
        <v>520</v>
      </c>
      <c r="V562" s="197">
        <v>-1220.1222444280311</v>
      </c>
    </row>
    <row r="563" spans="21:22">
      <c r="U563">
        <v>521</v>
      </c>
      <c r="V563" s="197">
        <v>-1059.3393720623353</v>
      </c>
    </row>
    <row r="564" spans="21:22">
      <c r="U564">
        <v>522</v>
      </c>
      <c r="V564" s="197">
        <v>1509.6052804431265</v>
      </c>
    </row>
    <row r="565" spans="21:22">
      <c r="U565">
        <v>523</v>
      </c>
      <c r="V565" s="197">
        <v>-1232.4806632302223</v>
      </c>
    </row>
    <row r="566" spans="21:22">
      <c r="U566">
        <v>524</v>
      </c>
      <c r="V566" s="197">
        <v>-222.96166365625857</v>
      </c>
    </row>
    <row r="567" spans="21:22">
      <c r="U567">
        <v>525</v>
      </c>
      <c r="V567" s="197">
        <v>81.240607032068453</v>
      </c>
    </row>
    <row r="568" spans="21:22">
      <c r="U568">
        <v>526</v>
      </c>
      <c r="V568" s="197">
        <v>90.168819516033494</v>
      </c>
    </row>
    <row r="569" spans="21:22">
      <c r="U569">
        <v>527</v>
      </c>
      <c r="V569" s="197">
        <v>-445.39941863423672</v>
      </c>
    </row>
    <row r="570" spans="21:22">
      <c r="U570">
        <v>528</v>
      </c>
      <c r="V570" s="197">
        <v>4097.8811895182616</v>
      </c>
    </row>
    <row r="571" spans="21:22">
      <c r="U571">
        <v>529</v>
      </c>
      <c r="V571" s="197">
        <v>305.54758480428325</v>
      </c>
    </row>
    <row r="572" spans="21:22">
      <c r="U572">
        <v>530</v>
      </c>
      <c r="V572" s="197">
        <v>463.77052976279907</v>
      </c>
    </row>
    <row r="573" spans="21:22">
      <c r="U573">
        <v>531</v>
      </c>
      <c r="V573" s="197">
        <v>385.57694305281814</v>
      </c>
    </row>
    <row r="574" spans="21:22">
      <c r="U574">
        <v>532</v>
      </c>
      <c r="V574" s="197">
        <v>934.32978695990755</v>
      </c>
    </row>
    <row r="575" spans="21:22">
      <c r="U575">
        <v>533</v>
      </c>
      <c r="V575" s="197">
        <v>1116.2325430454187</v>
      </c>
    </row>
    <row r="576" spans="21:22">
      <c r="U576">
        <v>534</v>
      </c>
      <c r="V576" s="197">
        <v>-494.36307311083186</v>
      </c>
    </row>
    <row r="577" spans="21:22">
      <c r="U577">
        <v>535</v>
      </c>
      <c r="V577" s="197">
        <v>-1053.6048607618513</v>
      </c>
    </row>
    <row r="578" spans="21:22">
      <c r="U578">
        <v>536</v>
      </c>
      <c r="V578" s="197">
        <v>-45.352015284025782</v>
      </c>
    </row>
    <row r="579" spans="21:22">
      <c r="U579">
        <v>537</v>
      </c>
      <c r="V579" s="197">
        <v>-1069.0432031320645</v>
      </c>
    </row>
    <row r="580" spans="21:22">
      <c r="U580">
        <v>538</v>
      </c>
      <c r="V580" s="197">
        <v>-1309.2371242526078</v>
      </c>
    </row>
    <row r="581" spans="21:22">
      <c r="U581">
        <v>539</v>
      </c>
      <c r="V581" s="197">
        <v>-906.50874263616629</v>
      </c>
    </row>
    <row r="582" spans="21:22">
      <c r="U582">
        <v>540</v>
      </c>
      <c r="V582" s="197">
        <v>-317.58593199214914</v>
      </c>
    </row>
    <row r="583" spans="21:22">
      <c r="U583">
        <v>541</v>
      </c>
      <c r="V583" s="197">
        <v>78.020587610422112</v>
      </c>
    </row>
    <row r="584" spans="21:22">
      <c r="U584">
        <v>542</v>
      </c>
      <c r="V584" s="197">
        <v>841.51299050175635</v>
      </c>
    </row>
    <row r="585" spans="21:22">
      <c r="U585">
        <v>543</v>
      </c>
      <c r="V585" s="197">
        <v>-1440.3790688077274</v>
      </c>
    </row>
    <row r="586" spans="21:22">
      <c r="U586">
        <v>544</v>
      </c>
      <c r="V586" s="197">
        <v>597.04410220933892</v>
      </c>
    </row>
    <row r="587" spans="21:22">
      <c r="U587">
        <v>545</v>
      </c>
      <c r="V587" s="197">
        <v>-66.186288057482187</v>
      </c>
    </row>
    <row r="588" spans="21:22">
      <c r="U588">
        <v>546</v>
      </c>
      <c r="V588" s="197">
        <v>-1164.3394145809928</v>
      </c>
    </row>
    <row r="589" spans="21:22">
      <c r="U589">
        <v>547</v>
      </c>
      <c r="V589" s="197">
        <v>2200.4646091172253</v>
      </c>
    </row>
    <row r="590" spans="21:22">
      <c r="U590">
        <v>548</v>
      </c>
      <c r="V590" s="197">
        <v>893.37200175154499</v>
      </c>
    </row>
    <row r="591" spans="21:22">
      <c r="U591">
        <v>549</v>
      </c>
      <c r="V591" s="197">
        <v>-1503.7160199699297</v>
      </c>
    </row>
    <row r="592" spans="21:22">
      <c r="U592">
        <v>550</v>
      </c>
      <c r="V592" s="197">
        <v>1658.8034934830512</v>
      </c>
    </row>
    <row r="593" spans="21:22">
      <c r="U593">
        <v>551</v>
      </c>
      <c r="V593" s="197">
        <v>-221.86272595945582</v>
      </c>
    </row>
    <row r="594" spans="21:22">
      <c r="U594">
        <v>552</v>
      </c>
      <c r="V594" s="197">
        <v>-678.62857880118941</v>
      </c>
    </row>
    <row r="595" spans="21:22">
      <c r="U595">
        <v>553</v>
      </c>
      <c r="V595" s="197">
        <v>-708.34623241239024</v>
      </c>
    </row>
    <row r="596" spans="21:22">
      <c r="U596">
        <v>554</v>
      </c>
      <c r="V596" s="197">
        <v>-446.38338959257027</v>
      </c>
    </row>
    <row r="597" spans="21:22">
      <c r="U597">
        <v>555</v>
      </c>
      <c r="V597" s="197">
        <v>-506.88792496076684</v>
      </c>
    </row>
    <row r="598" spans="21:22">
      <c r="U598">
        <v>556</v>
      </c>
      <c r="V598" s="197">
        <v>100.49807577750525</v>
      </c>
    </row>
    <row r="599" spans="21:22">
      <c r="U599">
        <v>557</v>
      </c>
      <c r="V599" s="197">
        <v>-581.96482120659857</v>
      </c>
    </row>
    <row r="600" spans="21:22">
      <c r="U600">
        <v>558</v>
      </c>
      <c r="V600" s="197">
        <v>751.55819191296132</v>
      </c>
    </row>
    <row r="601" spans="21:22">
      <c r="U601">
        <v>559</v>
      </c>
      <c r="V601" s="197">
        <v>2449.2549948393744</v>
      </c>
    </row>
    <row r="602" spans="21:22">
      <c r="U602">
        <v>560</v>
      </c>
      <c r="V602" s="197">
        <v>-696.96067131116752</v>
      </c>
    </row>
    <row r="603" spans="21:22">
      <c r="U603">
        <v>561</v>
      </c>
      <c r="V603" s="197">
        <v>306.43581982069259</v>
      </c>
    </row>
    <row r="604" spans="21:22">
      <c r="U604">
        <v>562</v>
      </c>
      <c r="V604" s="197">
        <v>-359.15816498042597</v>
      </c>
    </row>
    <row r="605" spans="21:22">
      <c r="U605">
        <v>563</v>
      </c>
      <c r="V605" s="197">
        <v>-1004.8509401713861</v>
      </c>
    </row>
    <row r="606" spans="21:22">
      <c r="U606">
        <v>564</v>
      </c>
      <c r="V606" s="197">
        <v>-2536.1701580872004</v>
      </c>
    </row>
    <row r="607" spans="21:22">
      <c r="U607">
        <v>565</v>
      </c>
      <c r="V607" s="197">
        <v>-493.31053458610342</v>
      </c>
    </row>
    <row r="608" spans="21:22">
      <c r="U608">
        <v>566</v>
      </c>
      <c r="V608" s="197">
        <v>-242.21843540844679</v>
      </c>
    </row>
    <row r="609" spans="21:22">
      <c r="U609">
        <v>567</v>
      </c>
      <c r="V609" s="197">
        <v>-1671.2742222840286</v>
      </c>
    </row>
    <row r="610" spans="21:22">
      <c r="U610">
        <v>568</v>
      </c>
      <c r="V610" s="197">
        <v>606.95575144320617</v>
      </c>
    </row>
    <row r="611" spans="21:22">
      <c r="U611">
        <v>569</v>
      </c>
      <c r="V611" s="197">
        <v>962.64269844438491</v>
      </c>
    </row>
    <row r="612" spans="21:22">
      <c r="U612">
        <v>570</v>
      </c>
      <c r="V612" s="197">
        <v>-499.24324428149083</v>
      </c>
    </row>
    <row r="613" spans="21:22">
      <c r="U613">
        <v>571</v>
      </c>
      <c r="V613" s="197">
        <v>69.974363421824847</v>
      </c>
    </row>
    <row r="614" spans="21:22">
      <c r="U614">
        <v>572</v>
      </c>
      <c r="V614" s="197">
        <v>-28.391249429104803</v>
      </c>
    </row>
    <row r="615" spans="21:22">
      <c r="U615">
        <v>573</v>
      </c>
      <c r="V615" s="197">
        <v>-670.05862568063844</v>
      </c>
    </row>
    <row r="616" spans="21:22">
      <c r="U616">
        <v>574</v>
      </c>
      <c r="V616" s="197">
        <v>529.45854026422808</v>
      </c>
    </row>
    <row r="617" spans="21:22">
      <c r="U617">
        <v>575</v>
      </c>
      <c r="V617" s="197">
        <v>-305.65810651781129</v>
      </c>
    </row>
    <row r="618" spans="21:22">
      <c r="U618">
        <v>576</v>
      </c>
      <c r="V618" s="197">
        <v>-1220.7857213988714</v>
      </c>
    </row>
    <row r="619" spans="21:22">
      <c r="U619">
        <v>577</v>
      </c>
      <c r="V619" s="197">
        <v>344.05280737092119</v>
      </c>
    </row>
    <row r="620" spans="21:22">
      <c r="U620">
        <v>578</v>
      </c>
      <c r="V620" s="197">
        <v>-1377.9294764573535</v>
      </c>
    </row>
    <row r="621" spans="21:22">
      <c r="U621">
        <v>579</v>
      </c>
      <c r="V621" s="197">
        <v>-490.35044095434233</v>
      </c>
    </row>
    <row r="622" spans="21:22">
      <c r="U622">
        <v>580</v>
      </c>
      <c r="V622" s="197">
        <v>761.42206517271165</v>
      </c>
    </row>
    <row r="623" spans="21:22">
      <c r="U623">
        <v>581</v>
      </c>
      <c r="V623" s="197">
        <v>1775.3223278358348</v>
      </c>
    </row>
    <row r="624" spans="21:22">
      <c r="U624">
        <v>582</v>
      </c>
      <c r="V624" s="197">
        <v>-938.68371530610921</v>
      </c>
    </row>
    <row r="625" spans="21:22">
      <c r="U625">
        <v>583</v>
      </c>
      <c r="V625" s="197">
        <v>1123.657550774223</v>
      </c>
    </row>
    <row r="626" spans="21:22">
      <c r="U626">
        <v>584</v>
      </c>
      <c r="V626" s="197">
        <v>-689.08266988305832</v>
      </c>
    </row>
    <row r="627" spans="21:22">
      <c r="U627">
        <v>585</v>
      </c>
      <c r="V627" s="197">
        <v>212.50127801882286</v>
      </c>
    </row>
    <row r="628" spans="21:22">
      <c r="U628">
        <v>586</v>
      </c>
      <c r="V628" s="197">
        <v>-245.97310313434468</v>
      </c>
    </row>
    <row r="629" spans="21:22">
      <c r="U629">
        <v>587</v>
      </c>
      <c r="V629" s="197">
        <v>216.59519172041468</v>
      </c>
    </row>
    <row r="630" spans="21:22">
      <c r="U630">
        <v>588</v>
      </c>
      <c r="V630" s="197">
        <v>-898.77395208589587</v>
      </c>
    </row>
    <row r="631" spans="21:22">
      <c r="U631">
        <v>589</v>
      </c>
      <c r="V631" s="197">
        <v>-94.680361910267919</v>
      </c>
    </row>
    <row r="632" spans="21:22">
      <c r="U632">
        <v>590</v>
      </c>
      <c r="V632" s="197">
        <v>10.877295041863434</v>
      </c>
    </row>
    <row r="633" spans="21:22">
      <c r="U633">
        <v>591</v>
      </c>
      <c r="V633" s="197">
        <v>926.70833301804396</v>
      </c>
    </row>
    <row r="634" spans="21:22">
      <c r="U634">
        <v>592</v>
      </c>
      <c r="V634" s="197">
        <v>927.6258400493482</v>
      </c>
    </row>
    <row r="635" spans="21:22">
      <c r="U635">
        <v>593</v>
      </c>
      <c r="V635" s="197">
        <v>570.89615184789477</v>
      </c>
    </row>
    <row r="636" spans="21:22">
      <c r="U636">
        <v>594</v>
      </c>
      <c r="V636" s="197">
        <v>-983.88688888804722</v>
      </c>
    </row>
    <row r="637" spans="21:22">
      <c r="U637">
        <v>595</v>
      </c>
      <c r="V637" s="197">
        <v>-460.53917327736855</v>
      </c>
    </row>
    <row r="638" spans="21:22">
      <c r="U638">
        <v>596</v>
      </c>
      <c r="V638" s="197">
        <v>-1452.2413146764388</v>
      </c>
    </row>
    <row r="639" spans="21:22">
      <c r="U639">
        <v>597</v>
      </c>
      <c r="V639" s="197">
        <v>47.988101572306419</v>
      </c>
    </row>
    <row r="640" spans="21:22">
      <c r="U640">
        <v>598</v>
      </c>
      <c r="V640" s="197">
        <v>-406.86903716296706</v>
      </c>
    </row>
    <row r="641" spans="21:22">
      <c r="U641">
        <v>599</v>
      </c>
      <c r="V641" s="197">
        <v>1982.1029182361069</v>
      </c>
    </row>
    <row r="642" spans="21:22">
      <c r="U642">
        <v>600</v>
      </c>
      <c r="V642" s="197">
        <v>-485.42383493186941</v>
      </c>
    </row>
    <row r="643" spans="21:22">
      <c r="U643">
        <v>601</v>
      </c>
      <c r="V643" s="197">
        <v>-1656.5400267991988</v>
      </c>
    </row>
    <row r="644" spans="21:22">
      <c r="U644">
        <v>602</v>
      </c>
      <c r="V644" s="197">
        <v>-592.90007186110802</v>
      </c>
    </row>
    <row r="645" spans="21:22">
      <c r="U645">
        <v>603</v>
      </c>
      <c r="V645" s="197">
        <v>1546.4213561597892</v>
      </c>
    </row>
    <row r="646" spans="21:22">
      <c r="U646">
        <v>604</v>
      </c>
      <c r="V646" s="197">
        <v>2537.6245384909453</v>
      </c>
    </row>
    <row r="647" spans="21:22">
      <c r="U647">
        <v>605</v>
      </c>
      <c r="V647" s="197">
        <v>268.01993972442489</v>
      </c>
    </row>
    <row r="648" spans="21:22">
      <c r="U648">
        <v>606</v>
      </c>
      <c r="V648" s="197">
        <v>-207.00486517232099</v>
      </c>
    </row>
    <row r="649" spans="21:22">
      <c r="U649">
        <v>607</v>
      </c>
      <c r="V649" s="197">
        <v>-2233.5295771073711</v>
      </c>
    </row>
    <row r="650" spans="21:22">
      <c r="U650">
        <v>608</v>
      </c>
      <c r="V650" s="197">
        <v>1629.5012668441868</v>
      </c>
    </row>
    <row r="651" spans="21:22">
      <c r="U651">
        <v>609</v>
      </c>
      <c r="V651" s="197">
        <v>-671.63653432191654</v>
      </c>
    </row>
    <row r="652" spans="21:22">
      <c r="U652">
        <v>610</v>
      </c>
      <c r="V652" s="197">
        <v>206.45507032335553</v>
      </c>
    </row>
    <row r="653" spans="21:22">
      <c r="U653">
        <v>611</v>
      </c>
      <c r="V653" s="197">
        <v>195.4384587087963</v>
      </c>
    </row>
    <row r="654" spans="21:22">
      <c r="U654">
        <v>612</v>
      </c>
      <c r="V654" s="197">
        <v>804.89917814493219</v>
      </c>
    </row>
    <row r="655" spans="21:22">
      <c r="U655">
        <v>613</v>
      </c>
      <c r="V655" s="197">
        <v>-1706.3415085244942</v>
      </c>
    </row>
    <row r="656" spans="21:22">
      <c r="U656">
        <v>614</v>
      </c>
      <c r="V656" s="197">
        <v>646.28942973859762</v>
      </c>
    </row>
    <row r="657" spans="21:22">
      <c r="U657">
        <v>615</v>
      </c>
      <c r="V657" s="197">
        <v>-135.20469999896247</v>
      </c>
    </row>
    <row r="658" spans="21:22">
      <c r="U658">
        <v>616</v>
      </c>
      <c r="V658" s="197">
        <v>9.3276645369146962</v>
      </c>
    </row>
    <row r="659" spans="21:22">
      <c r="U659">
        <v>617</v>
      </c>
      <c r="V659" s="197">
        <v>-1215.9408058883589</v>
      </c>
    </row>
    <row r="660" spans="21:22">
      <c r="U660">
        <v>618</v>
      </c>
      <c r="V660" s="197">
        <v>-2040.6741684164815</v>
      </c>
    </row>
    <row r="661" spans="21:22">
      <c r="U661">
        <v>619</v>
      </c>
      <c r="V661" s="197">
        <v>1750.6846611740752</v>
      </c>
    </row>
    <row r="662" spans="21:22">
      <c r="U662">
        <v>620</v>
      </c>
      <c r="V662" s="197">
        <v>-348.55886727094463</v>
      </c>
    </row>
    <row r="663" spans="21:22">
      <c r="U663">
        <v>621</v>
      </c>
      <c r="V663" s="197">
        <v>396.97159849642645</v>
      </c>
    </row>
    <row r="664" spans="21:22">
      <c r="U664">
        <v>622</v>
      </c>
      <c r="V664" s="197">
        <v>1823.8383206071246</v>
      </c>
    </row>
    <row r="665" spans="21:22">
      <c r="U665">
        <v>623</v>
      </c>
      <c r="V665" s="197">
        <v>456.63972024828189</v>
      </c>
    </row>
    <row r="666" spans="21:22">
      <c r="U666">
        <v>624</v>
      </c>
      <c r="V666" s="197">
        <v>537.53019005328986</v>
      </c>
    </row>
    <row r="667" spans="21:22">
      <c r="U667">
        <v>625</v>
      </c>
      <c r="V667" s="197">
        <v>-1187.6315744735423</v>
      </c>
    </row>
    <row r="668" spans="21:22">
      <c r="U668">
        <v>626</v>
      </c>
      <c r="V668" s="197">
        <v>2054.3337230353259</v>
      </c>
    </row>
    <row r="669" spans="21:22">
      <c r="U669">
        <v>627</v>
      </c>
      <c r="V669" s="197">
        <v>1253.1358959570541</v>
      </c>
    </row>
    <row r="670" spans="21:22">
      <c r="U670">
        <v>628</v>
      </c>
      <c r="V670" s="197">
        <v>1647.690972765773</v>
      </c>
    </row>
    <row r="671" spans="21:22">
      <c r="U671">
        <v>629</v>
      </c>
      <c r="V671" s="197">
        <v>-23.182225478991512</v>
      </c>
    </row>
    <row r="672" spans="21:22">
      <c r="U672">
        <v>630</v>
      </c>
      <c r="V672" s="197">
        <v>-955.0018458718373</v>
      </c>
    </row>
    <row r="673" spans="21:22">
      <c r="U673">
        <v>631</v>
      </c>
      <c r="V673" s="197">
        <v>-251.76762749516064</v>
      </c>
    </row>
    <row r="674" spans="21:22">
      <c r="U674">
        <v>632</v>
      </c>
      <c r="V674" s="197">
        <v>-120.18016010738992</v>
      </c>
    </row>
    <row r="675" spans="21:22">
      <c r="U675">
        <v>633</v>
      </c>
      <c r="V675" s="197">
        <v>-1242.9838338969316</v>
      </c>
    </row>
    <row r="676" spans="21:22">
      <c r="U676">
        <v>634</v>
      </c>
      <c r="V676" s="197">
        <v>1297.5563374596848</v>
      </c>
    </row>
    <row r="677" spans="21:22">
      <c r="U677">
        <v>635</v>
      </c>
      <c r="V677" s="197">
        <v>-868.26099211211954</v>
      </c>
    </row>
    <row r="678" spans="21:22">
      <c r="U678">
        <v>636</v>
      </c>
      <c r="V678" s="197">
        <v>70.484945402641529</v>
      </c>
    </row>
    <row r="679" spans="21:22">
      <c r="U679">
        <v>637</v>
      </c>
      <c r="V679" s="197">
        <v>296.48731612991037</v>
      </c>
    </row>
    <row r="680" spans="21:22">
      <c r="U680">
        <v>638</v>
      </c>
      <c r="V680" s="197">
        <v>-1106.1721894261998</v>
      </c>
    </row>
    <row r="681" spans="21:22">
      <c r="U681">
        <v>639</v>
      </c>
      <c r="V681" s="197">
        <v>144.04704251444883</v>
      </c>
    </row>
    <row r="682" spans="21:22">
      <c r="U682">
        <v>640</v>
      </c>
      <c r="V682" s="197">
        <v>204.0636206163382</v>
      </c>
    </row>
    <row r="683" spans="21:22">
      <c r="U683">
        <v>641</v>
      </c>
      <c r="V683" s="197">
        <v>-1293.264136088181</v>
      </c>
    </row>
    <row r="684" spans="21:22">
      <c r="U684">
        <v>642</v>
      </c>
      <c r="V684" s="197">
        <v>1107.5719074738186</v>
      </c>
    </row>
    <row r="685" spans="21:22">
      <c r="U685">
        <v>643</v>
      </c>
      <c r="V685" s="197">
        <v>-148.13193568152056</v>
      </c>
    </row>
    <row r="686" spans="21:22">
      <c r="U686">
        <v>644</v>
      </c>
      <c r="V686" s="197">
        <v>1826.8177034131397</v>
      </c>
    </row>
    <row r="687" spans="21:22">
      <c r="U687">
        <v>645</v>
      </c>
      <c r="V687" s="197">
        <v>-2309.7300551197345</v>
      </c>
    </row>
    <row r="688" spans="21:22">
      <c r="U688">
        <v>646</v>
      </c>
      <c r="V688" s="197">
        <v>1029.9723675679068</v>
      </c>
    </row>
    <row r="689" spans="21:22">
      <c r="U689">
        <v>647</v>
      </c>
      <c r="V689" s="197">
        <v>765.15121132109675</v>
      </c>
    </row>
    <row r="690" spans="21:22">
      <c r="U690">
        <v>648</v>
      </c>
      <c r="V690" s="197">
        <v>-1805.2598732891088</v>
      </c>
    </row>
    <row r="691" spans="21:22">
      <c r="U691">
        <v>649</v>
      </c>
      <c r="V691" s="197">
        <v>734.53582660074653</v>
      </c>
    </row>
    <row r="692" spans="21:22">
      <c r="U692">
        <v>650</v>
      </c>
      <c r="V692" s="197">
        <v>260.68020260059842</v>
      </c>
    </row>
    <row r="693" spans="21:22">
      <c r="U693">
        <v>651</v>
      </c>
      <c r="V693" s="197">
        <v>181.31018520944104</v>
      </c>
    </row>
    <row r="694" spans="21:22">
      <c r="U694">
        <v>652</v>
      </c>
      <c r="V694" s="197">
        <v>646.06877688538634</v>
      </c>
    </row>
    <row r="695" spans="21:22">
      <c r="U695">
        <v>653</v>
      </c>
      <c r="V695" s="197">
        <v>58.711827753377712</v>
      </c>
    </row>
    <row r="696" spans="21:22">
      <c r="U696">
        <v>654</v>
      </c>
      <c r="V696" s="197">
        <v>977.42327799278905</v>
      </c>
    </row>
    <row r="697" spans="21:22">
      <c r="U697">
        <v>655</v>
      </c>
      <c r="V697" s="197">
        <v>-1352.2078577415525</v>
      </c>
    </row>
    <row r="698" spans="21:22">
      <c r="U698">
        <v>656</v>
      </c>
      <c r="V698" s="197">
        <v>1533.7972733621225</v>
      </c>
    </row>
    <row r="699" spans="21:22">
      <c r="U699">
        <v>657</v>
      </c>
      <c r="V699" s="197">
        <v>-319.67517395893185</v>
      </c>
    </row>
    <row r="700" spans="21:22">
      <c r="U700">
        <v>658</v>
      </c>
      <c r="V700" s="197">
        <v>260.76931460216451</v>
      </c>
    </row>
    <row r="701" spans="21:22">
      <c r="U701">
        <v>659</v>
      </c>
      <c r="V701" s="197">
        <v>791.64283933061347</v>
      </c>
    </row>
    <row r="702" spans="21:22">
      <c r="U702">
        <v>660</v>
      </c>
      <c r="V702" s="197">
        <v>78.19569936313286</v>
      </c>
    </row>
    <row r="703" spans="21:22">
      <c r="U703">
        <v>661</v>
      </c>
      <c r="V703" s="197">
        <v>831.07944477422757</v>
      </c>
    </row>
    <row r="704" spans="21:22">
      <c r="U704">
        <v>662</v>
      </c>
      <c r="V704" s="197">
        <v>989.65446176778642</v>
      </c>
    </row>
    <row r="705" spans="21:22">
      <c r="U705">
        <v>663</v>
      </c>
      <c r="V705" s="197">
        <v>-231.20043686927443</v>
      </c>
    </row>
    <row r="706" spans="21:22">
      <c r="U706">
        <v>664</v>
      </c>
      <c r="V706" s="197">
        <v>-1191.0536445737696</v>
      </c>
    </row>
    <row r="707" spans="21:22">
      <c r="U707">
        <v>665</v>
      </c>
      <c r="V707" s="197">
        <v>903.40125982398854</v>
      </c>
    </row>
    <row r="708" spans="21:22">
      <c r="U708">
        <v>666</v>
      </c>
      <c r="V708" s="197">
        <v>-263.55803413853118</v>
      </c>
    </row>
    <row r="709" spans="21:22">
      <c r="U709">
        <v>667</v>
      </c>
      <c r="V709" s="197">
        <v>-649.57269386074358</v>
      </c>
    </row>
    <row r="710" spans="21:22">
      <c r="U710">
        <v>668</v>
      </c>
      <c r="V710" s="197">
        <v>-506.40182732791828</v>
      </c>
    </row>
    <row r="711" spans="21:22">
      <c r="U711">
        <v>669</v>
      </c>
      <c r="V711" s="197">
        <v>553.26859132832237</v>
      </c>
    </row>
    <row r="712" spans="21:22">
      <c r="U712">
        <v>670</v>
      </c>
      <c r="V712" s="197">
        <v>1246.6480128075659</v>
      </c>
    </row>
    <row r="713" spans="21:22">
      <c r="U713">
        <v>671</v>
      </c>
      <c r="V713" s="197">
        <v>374.52990754768291</v>
      </c>
    </row>
    <row r="714" spans="21:22">
      <c r="U714">
        <v>672</v>
      </c>
      <c r="V714" s="197">
        <v>287.97624656194591</v>
      </c>
    </row>
    <row r="715" spans="21:22">
      <c r="U715">
        <v>673</v>
      </c>
      <c r="V715" s="197">
        <v>1025.8782661851999</v>
      </c>
    </row>
    <row r="716" spans="21:22">
      <c r="U716">
        <v>674</v>
      </c>
      <c r="V716" s="197">
        <v>2290.0146825687825</v>
      </c>
    </row>
    <row r="717" spans="21:22">
      <c r="U717">
        <v>675</v>
      </c>
      <c r="V717" s="197">
        <v>-1132.1194607439761</v>
      </c>
    </row>
    <row r="718" spans="21:22">
      <c r="U718">
        <v>676</v>
      </c>
      <c r="V718" s="197">
        <v>500.19497811540907</v>
      </c>
    </row>
    <row r="719" spans="21:22">
      <c r="U719">
        <v>677</v>
      </c>
      <c r="V719" s="197">
        <v>-261.72665604145351</v>
      </c>
    </row>
    <row r="720" spans="21:22">
      <c r="U720">
        <v>678</v>
      </c>
      <c r="V720" s="197">
        <v>-1279.0914560901242</v>
      </c>
    </row>
    <row r="721" spans="21:22">
      <c r="U721">
        <v>679</v>
      </c>
      <c r="V721" s="197">
        <v>193.72059484193906</v>
      </c>
    </row>
    <row r="722" spans="21:22">
      <c r="U722">
        <v>680</v>
      </c>
      <c r="V722" s="197">
        <v>-855.80322431410559</v>
      </c>
    </row>
    <row r="723" spans="21:22">
      <c r="U723">
        <v>681</v>
      </c>
      <c r="V723" s="197">
        <v>-1085.9446284769151</v>
      </c>
    </row>
    <row r="724" spans="21:22">
      <c r="U724">
        <v>682</v>
      </c>
      <c r="V724" s="197">
        <v>-383.10389992820552</v>
      </c>
    </row>
    <row r="725" spans="21:22">
      <c r="U725">
        <v>683</v>
      </c>
      <c r="V725" s="197">
        <v>-360.83578410559767</v>
      </c>
    </row>
    <row r="726" spans="21:22">
      <c r="U726">
        <v>684</v>
      </c>
      <c r="V726" s="197">
        <v>1096.1047192290823</v>
      </c>
    </row>
    <row r="727" spans="21:22">
      <c r="U727">
        <v>685</v>
      </c>
      <c r="V727" s="197">
        <v>1251.7048992961961</v>
      </c>
    </row>
    <row r="728" spans="21:22">
      <c r="U728">
        <v>686</v>
      </c>
      <c r="V728" s="197">
        <v>-54.969473487154005</v>
      </c>
    </row>
    <row r="729" spans="21:22">
      <c r="U729">
        <v>687</v>
      </c>
      <c r="V729" s="197">
        <v>-251.19680582132736</v>
      </c>
    </row>
    <row r="730" spans="21:22">
      <c r="U730">
        <v>688</v>
      </c>
      <c r="V730" s="197">
        <v>29.151772643776397</v>
      </c>
    </row>
    <row r="731" spans="21:22">
      <c r="U731">
        <v>689</v>
      </c>
      <c r="V731" s="197">
        <v>-921.94938203086235</v>
      </c>
    </row>
    <row r="732" spans="21:22">
      <c r="U732">
        <v>690</v>
      </c>
      <c r="V732" s="197">
        <v>-1515.2459319725381</v>
      </c>
    </row>
    <row r="733" spans="21:22">
      <c r="U733">
        <v>691</v>
      </c>
      <c r="V733" s="197">
        <v>1328.0153307765866</v>
      </c>
    </row>
    <row r="734" spans="21:22">
      <c r="U734">
        <v>692</v>
      </c>
      <c r="V734" s="197">
        <v>1111.1663817582198</v>
      </c>
    </row>
    <row r="735" spans="21:22">
      <c r="U735">
        <v>693</v>
      </c>
      <c r="V735" s="197">
        <v>-990.87194710983499</v>
      </c>
    </row>
    <row r="736" spans="21:22">
      <c r="U736">
        <v>694</v>
      </c>
      <c r="V736" s="197">
        <v>1842.5316598382199</v>
      </c>
    </row>
    <row r="737" spans="21:22">
      <c r="U737">
        <v>695</v>
      </c>
      <c r="V737" s="197">
        <v>182.23003993075656</v>
      </c>
    </row>
    <row r="738" spans="21:22">
      <c r="U738">
        <v>696</v>
      </c>
      <c r="V738" s="197">
        <v>1730.5147262797445</v>
      </c>
    </row>
    <row r="739" spans="21:22">
      <c r="U739">
        <v>697</v>
      </c>
      <c r="V739" s="197">
        <v>95.466816050477576</v>
      </c>
    </row>
    <row r="740" spans="21:22">
      <c r="U740">
        <v>698</v>
      </c>
      <c r="V740" s="197">
        <v>-350.63376765960601</v>
      </c>
    </row>
    <row r="741" spans="21:22">
      <c r="U741">
        <v>699</v>
      </c>
      <c r="V741" s="197">
        <v>38.243262193339007</v>
      </c>
    </row>
    <row r="742" spans="21:22">
      <c r="U742">
        <v>700</v>
      </c>
      <c r="V742" s="197">
        <v>378.9108784440777</v>
      </c>
    </row>
    <row r="743" spans="21:22">
      <c r="U743">
        <v>701</v>
      </c>
      <c r="V743" s="197">
        <v>274.62249233272496</v>
      </c>
    </row>
    <row r="744" spans="21:22">
      <c r="U744">
        <v>702</v>
      </c>
      <c r="V744" s="197">
        <v>1031.9304893684259</v>
      </c>
    </row>
    <row r="745" spans="21:22">
      <c r="U745">
        <v>703</v>
      </c>
      <c r="V745" s="197">
        <v>114.96484181663418</v>
      </c>
    </row>
    <row r="746" spans="21:22">
      <c r="U746">
        <v>704</v>
      </c>
      <c r="V746" s="197">
        <v>-1399.7881539913521</v>
      </c>
    </row>
    <row r="747" spans="21:22">
      <c r="U747">
        <v>705</v>
      </c>
      <c r="V747" s="197">
        <v>457.32343484368357</v>
      </c>
    </row>
    <row r="748" spans="21:22">
      <c r="U748">
        <v>706</v>
      </c>
      <c r="V748" s="197">
        <v>17.649685397629028</v>
      </c>
    </row>
    <row r="749" spans="21:22">
      <c r="U749">
        <v>707</v>
      </c>
      <c r="V749" s="197">
        <v>-17.221978154520713</v>
      </c>
    </row>
    <row r="750" spans="21:22">
      <c r="U750">
        <v>708</v>
      </c>
      <c r="V750" s="197">
        <v>417.08580048850098</v>
      </c>
    </row>
    <row r="751" spans="21:22">
      <c r="U751">
        <v>709</v>
      </c>
      <c r="V751" s="197">
        <v>-1196.8223450581081</v>
      </c>
    </row>
    <row r="752" spans="21:22">
      <c r="U752">
        <v>710</v>
      </c>
      <c r="V752" s="197">
        <v>-1305.3851548453606</v>
      </c>
    </row>
    <row r="753" spans="21:22">
      <c r="U753">
        <v>711</v>
      </c>
      <c r="V753" s="197">
        <v>18.729849983997212</v>
      </c>
    </row>
    <row r="754" spans="21:22">
      <c r="U754">
        <v>712</v>
      </c>
      <c r="V754" s="197">
        <v>-756.94799252635198</v>
      </c>
    </row>
    <row r="755" spans="21:22">
      <c r="U755">
        <v>713</v>
      </c>
      <c r="V755" s="197">
        <v>232.7807748398078</v>
      </c>
    </row>
    <row r="756" spans="21:22">
      <c r="U756">
        <v>714</v>
      </c>
      <c r="V756" s="197">
        <v>202.94469266317373</v>
      </c>
    </row>
    <row r="757" spans="21:22">
      <c r="U757">
        <v>715</v>
      </c>
      <c r="V757" s="197">
        <v>-725.36089607820713</v>
      </c>
    </row>
    <row r="758" spans="21:22">
      <c r="U758">
        <v>716</v>
      </c>
      <c r="V758" s="197">
        <v>-1326.251949916903</v>
      </c>
    </row>
    <row r="759" spans="21:22">
      <c r="U759">
        <v>717</v>
      </c>
      <c r="V759" s="197">
        <v>-934.08839037258213</v>
      </c>
    </row>
    <row r="760" spans="21:22">
      <c r="U760">
        <v>718</v>
      </c>
      <c r="V760" s="197">
        <v>1022.3747137330897</v>
      </c>
    </row>
    <row r="761" spans="21:22">
      <c r="U761">
        <v>719</v>
      </c>
      <c r="V761" s="197">
        <v>-803.13215168767147</v>
      </c>
    </row>
    <row r="762" spans="21:22">
      <c r="U762">
        <v>720</v>
      </c>
      <c r="V762" s="197">
        <v>50.985394343931311</v>
      </c>
    </row>
    <row r="763" spans="21:22">
      <c r="U763">
        <v>721</v>
      </c>
      <c r="V763" s="197">
        <v>1026.9167248771498</v>
      </c>
    </row>
    <row r="764" spans="21:22">
      <c r="U764">
        <v>722</v>
      </c>
      <c r="V764" s="197">
        <v>516.39266116096474</v>
      </c>
    </row>
    <row r="765" spans="21:22">
      <c r="U765">
        <v>723</v>
      </c>
      <c r="V765" s="197">
        <v>196.07169484851084</v>
      </c>
    </row>
    <row r="766" spans="21:22">
      <c r="U766">
        <v>724</v>
      </c>
      <c r="V766" s="197">
        <v>61.992433828900104</v>
      </c>
    </row>
    <row r="767" spans="21:22">
      <c r="U767">
        <v>725</v>
      </c>
      <c r="V767" s="197">
        <v>2456.405519731371</v>
      </c>
    </row>
    <row r="768" spans="21:22">
      <c r="U768">
        <v>726</v>
      </c>
      <c r="V768" s="197">
        <v>439.95092969276163</v>
      </c>
    </row>
    <row r="769" spans="21:22">
      <c r="U769">
        <v>727</v>
      </c>
      <c r="V769" s="197">
        <v>-1081.4543148997795</v>
      </c>
    </row>
    <row r="770" spans="21:22">
      <c r="U770">
        <v>728</v>
      </c>
      <c r="V770" s="197">
        <v>-1648.3137592105838</v>
      </c>
    </row>
    <row r="771" spans="21:22">
      <c r="U771">
        <v>729</v>
      </c>
      <c r="V771" s="197">
        <v>693.42295935621951</v>
      </c>
    </row>
    <row r="772" spans="21:22">
      <c r="U772">
        <v>730</v>
      </c>
      <c r="V772" s="197">
        <v>2902.6098327031823</v>
      </c>
    </row>
    <row r="773" spans="21:22">
      <c r="U773">
        <v>731</v>
      </c>
      <c r="V773" s="197">
        <v>799.51444557814239</v>
      </c>
    </row>
    <row r="774" spans="21:22">
      <c r="U774">
        <v>732</v>
      </c>
      <c r="V774" s="197">
        <v>-434.09345143374622</v>
      </c>
    </row>
    <row r="775" spans="21:22">
      <c r="U775">
        <v>733</v>
      </c>
      <c r="V775" s="197">
        <v>-821.40757473626923</v>
      </c>
    </row>
    <row r="776" spans="21:22">
      <c r="U776">
        <v>734</v>
      </c>
      <c r="V776" s="197">
        <v>754.23500601215324</v>
      </c>
    </row>
    <row r="777" spans="21:22">
      <c r="U777">
        <v>735</v>
      </c>
      <c r="V777" s="197">
        <v>-675.23721156547435</v>
      </c>
    </row>
    <row r="778" spans="21:22">
      <c r="U778">
        <v>736</v>
      </c>
      <c r="V778" s="197">
        <v>-930.13543510844238</v>
      </c>
    </row>
    <row r="779" spans="21:22">
      <c r="U779">
        <v>737</v>
      </c>
      <c r="V779" s="197">
        <v>-341.53589099242379</v>
      </c>
    </row>
    <row r="780" spans="21:22">
      <c r="U780">
        <v>738</v>
      </c>
      <c r="V780" s="197">
        <v>-1484.3170058085482</v>
      </c>
    </row>
    <row r="781" spans="21:22">
      <c r="U781">
        <v>739</v>
      </c>
      <c r="V781" s="197">
        <v>428.66606354275808</v>
      </c>
    </row>
    <row r="782" spans="21:22">
      <c r="U782">
        <v>740</v>
      </c>
      <c r="V782" s="197">
        <v>258.44192581389484</v>
      </c>
    </row>
    <row r="783" spans="21:22">
      <c r="U783">
        <v>741</v>
      </c>
      <c r="V783" s="197">
        <v>270.2389720952483</v>
      </c>
    </row>
    <row r="784" spans="21:22">
      <c r="U784">
        <v>742</v>
      </c>
      <c r="V784" s="197">
        <v>2219.9903171336391</v>
      </c>
    </row>
    <row r="785" spans="21:22">
      <c r="U785">
        <v>743</v>
      </c>
      <c r="V785" s="197">
        <v>-199.41923554801929</v>
      </c>
    </row>
    <row r="786" spans="21:22">
      <c r="U786">
        <v>744</v>
      </c>
      <c r="V786" s="197">
        <v>-285.75114908073448</v>
      </c>
    </row>
    <row r="787" spans="21:22">
      <c r="U787">
        <v>745</v>
      </c>
      <c r="V787" s="197">
        <v>-59.951947188821919</v>
      </c>
    </row>
    <row r="788" spans="21:22">
      <c r="U788">
        <v>746</v>
      </c>
      <c r="V788" s="197">
        <v>-54.284951319926932</v>
      </c>
    </row>
    <row r="789" spans="21:22">
      <c r="U789">
        <v>747</v>
      </c>
      <c r="V789" s="197">
        <v>701.75909725144038</v>
      </c>
    </row>
    <row r="790" spans="21:22">
      <c r="U790">
        <v>748</v>
      </c>
      <c r="V790" s="197">
        <v>-729.88441927041276</v>
      </c>
    </row>
    <row r="791" spans="21:22">
      <c r="U791">
        <v>749</v>
      </c>
      <c r="V791" s="197">
        <v>618.2876229322992</v>
      </c>
    </row>
    <row r="792" spans="21:22">
      <c r="U792">
        <v>750</v>
      </c>
      <c r="V792" s="197">
        <v>-232.98238146658809</v>
      </c>
    </row>
    <row r="793" spans="21:22">
      <c r="U793">
        <v>751</v>
      </c>
      <c r="V793" s="197">
        <v>-519.55441442161509</v>
      </c>
    </row>
    <row r="794" spans="21:22">
      <c r="U794">
        <v>752</v>
      </c>
      <c r="V794" s="197">
        <v>905.11006640787673</v>
      </c>
    </row>
    <row r="795" spans="21:22">
      <c r="U795">
        <v>753</v>
      </c>
      <c r="V795" s="197">
        <v>856.35479321527259</v>
      </c>
    </row>
    <row r="796" spans="21:22">
      <c r="U796">
        <v>754</v>
      </c>
      <c r="V796" s="197">
        <v>316.66132644535878</v>
      </c>
    </row>
    <row r="797" spans="21:22">
      <c r="U797">
        <v>755</v>
      </c>
      <c r="V797" s="197">
        <v>-923.06980801730924</v>
      </c>
    </row>
    <row r="798" spans="21:22">
      <c r="U798">
        <v>756</v>
      </c>
      <c r="V798" s="197">
        <v>-343.66327591628033</v>
      </c>
    </row>
    <row r="799" spans="21:22">
      <c r="U799">
        <v>757</v>
      </c>
      <c r="V799" s="197">
        <v>-15.771416996489194</v>
      </c>
    </row>
    <row r="800" spans="21:22">
      <c r="U800">
        <v>758</v>
      </c>
      <c r="V800" s="197">
        <v>-745.54620870186568</v>
      </c>
    </row>
    <row r="801" spans="21:22">
      <c r="U801">
        <v>759</v>
      </c>
      <c r="V801" s="197">
        <v>389.49822459678427</v>
      </c>
    </row>
    <row r="802" spans="21:22">
      <c r="U802">
        <v>760</v>
      </c>
      <c r="V802" s="197">
        <v>-4.0100347640097596</v>
      </c>
    </row>
    <row r="803" spans="21:22">
      <c r="U803">
        <v>761</v>
      </c>
      <c r="V803" s="197">
        <v>1715.6505960535633</v>
      </c>
    </row>
    <row r="804" spans="21:22">
      <c r="U804">
        <v>762</v>
      </c>
      <c r="V804" s="197">
        <v>841.56134096530923</v>
      </c>
    </row>
    <row r="805" spans="21:22">
      <c r="U805">
        <v>763</v>
      </c>
      <c r="V805" s="197">
        <v>-901.28656355353951</v>
      </c>
    </row>
    <row r="806" spans="21:22">
      <c r="U806">
        <v>764</v>
      </c>
      <c r="V806" s="197">
        <v>1594.5503476381896</v>
      </c>
    </row>
    <row r="807" spans="21:22">
      <c r="U807">
        <v>765</v>
      </c>
      <c r="V807" s="197">
        <v>-1084.121759802729</v>
      </c>
    </row>
    <row r="808" spans="21:22">
      <c r="U808">
        <v>766</v>
      </c>
      <c r="V808" s="197">
        <v>79.192983799270294</v>
      </c>
    </row>
    <row r="809" spans="21:22">
      <c r="U809">
        <v>767</v>
      </c>
      <c r="V809" s="197">
        <v>691.64263445130382</v>
      </c>
    </row>
    <row r="810" spans="21:22">
      <c r="U810">
        <v>768</v>
      </c>
      <c r="V810" s="197">
        <v>296.62168663531912</v>
      </c>
    </row>
    <row r="811" spans="21:22">
      <c r="U811">
        <v>769</v>
      </c>
      <c r="V811" s="197">
        <v>-499.41645434485673</v>
      </c>
    </row>
    <row r="812" spans="21:22">
      <c r="U812">
        <v>770</v>
      </c>
      <c r="V812" s="197">
        <v>-956.70233574518716</v>
      </c>
    </row>
    <row r="813" spans="21:22">
      <c r="U813">
        <v>771</v>
      </c>
      <c r="V813" s="197">
        <v>653.62915298209282</v>
      </c>
    </row>
    <row r="814" spans="21:22">
      <c r="U814">
        <v>772</v>
      </c>
      <c r="V814" s="197">
        <v>-780.73555084512873</v>
      </c>
    </row>
    <row r="815" spans="21:22">
      <c r="U815">
        <v>773</v>
      </c>
      <c r="V815" s="197">
        <v>-421.59857826997103</v>
      </c>
    </row>
    <row r="816" spans="21:22">
      <c r="U816">
        <v>774</v>
      </c>
      <c r="V816" s="197">
        <v>758.64520875981179</v>
      </c>
    </row>
    <row r="817" spans="21:22">
      <c r="U817">
        <v>775</v>
      </c>
      <c r="V817" s="197">
        <v>242.28973644980516</v>
      </c>
    </row>
    <row r="818" spans="21:22">
      <c r="U818">
        <v>776</v>
      </c>
      <c r="V818" s="197">
        <v>1033.6617378335204</v>
      </c>
    </row>
    <row r="819" spans="21:22">
      <c r="U819">
        <v>777</v>
      </c>
      <c r="V819" s="197">
        <v>-1595.0066442308173</v>
      </c>
    </row>
    <row r="820" spans="21:22">
      <c r="U820">
        <v>778</v>
      </c>
      <c r="V820" s="197">
        <v>191.3058905864242</v>
      </c>
    </row>
    <row r="821" spans="21:22">
      <c r="U821">
        <v>779</v>
      </c>
      <c r="V821" s="197">
        <v>373.29708517884825</v>
      </c>
    </row>
    <row r="822" spans="21:22">
      <c r="U822">
        <v>780</v>
      </c>
      <c r="V822" s="197">
        <v>-536.25804613781429</v>
      </c>
    </row>
    <row r="823" spans="21:22">
      <c r="U823">
        <v>781</v>
      </c>
      <c r="V823" s="197">
        <v>1532.9090931403898</v>
      </c>
    </row>
    <row r="824" spans="21:22">
      <c r="U824">
        <v>782</v>
      </c>
      <c r="V824" s="197">
        <v>-496.84525869937323</v>
      </c>
    </row>
    <row r="825" spans="21:22">
      <c r="U825">
        <v>783</v>
      </c>
      <c r="V825" s="197">
        <v>1795.0946207260436</v>
      </c>
    </row>
    <row r="826" spans="21:22">
      <c r="U826">
        <v>784</v>
      </c>
      <c r="V826" s="197">
        <v>-317.78532384198462</v>
      </c>
    </row>
    <row r="827" spans="21:22">
      <c r="U827">
        <v>785</v>
      </c>
      <c r="V827" s="197">
        <v>717.41398389618803</v>
      </c>
    </row>
    <row r="828" spans="21:22">
      <c r="U828">
        <v>786</v>
      </c>
      <c r="V828" s="197">
        <v>-251.04748315163283</v>
      </c>
    </row>
    <row r="829" spans="21:22">
      <c r="U829">
        <v>787</v>
      </c>
      <c r="V829" s="197">
        <v>-210.10760958456876</v>
      </c>
    </row>
    <row r="830" spans="21:22">
      <c r="U830">
        <v>788</v>
      </c>
      <c r="V830" s="197">
        <v>991.08641288190574</v>
      </c>
    </row>
    <row r="831" spans="21:22">
      <c r="U831">
        <v>789</v>
      </c>
      <c r="V831" s="197">
        <v>-742.63013797060307</v>
      </c>
    </row>
    <row r="832" spans="21:22">
      <c r="U832">
        <v>790</v>
      </c>
      <c r="V832" s="197">
        <v>-979.32732083871269</v>
      </c>
    </row>
    <row r="833" spans="21:22">
      <c r="U833">
        <v>791</v>
      </c>
      <c r="V833" s="197">
        <v>-149.69130790619175</v>
      </c>
    </row>
    <row r="834" spans="21:22">
      <c r="U834">
        <v>792</v>
      </c>
      <c r="V834" s="197">
        <v>500.97224633641304</v>
      </c>
    </row>
    <row r="835" spans="21:22">
      <c r="U835">
        <v>793</v>
      </c>
      <c r="V835" s="197">
        <v>752.68846030009013</v>
      </c>
    </row>
    <row r="836" spans="21:22">
      <c r="U836">
        <v>794</v>
      </c>
      <c r="V836" s="197">
        <v>-175.82184639552554</v>
      </c>
    </row>
    <row r="837" spans="21:22">
      <c r="U837">
        <v>795</v>
      </c>
      <c r="V837" s="197">
        <v>325.14659640799704</v>
      </c>
    </row>
    <row r="838" spans="21:22">
      <c r="U838">
        <v>796</v>
      </c>
      <c r="V838" s="197">
        <v>769.29557063188759</v>
      </c>
    </row>
    <row r="839" spans="21:22">
      <c r="U839">
        <v>797</v>
      </c>
      <c r="V839" s="197">
        <v>1570.1605242752109</v>
      </c>
    </row>
    <row r="840" spans="21:22">
      <c r="U840">
        <v>798</v>
      </c>
      <c r="V840" s="197">
        <v>-656.24544303272341</v>
      </c>
    </row>
    <row r="841" spans="21:22">
      <c r="U841">
        <v>799</v>
      </c>
      <c r="V841" s="197">
        <v>-2812.2487392878584</v>
      </c>
    </row>
    <row r="842" spans="21:22">
      <c r="U842">
        <v>800</v>
      </c>
      <c r="V842" s="197">
        <v>261.95514971513239</v>
      </c>
    </row>
    <row r="843" spans="21:22">
      <c r="U843">
        <v>801</v>
      </c>
      <c r="V843" s="197">
        <v>1145.5773794921456</v>
      </c>
    </row>
    <row r="844" spans="21:22">
      <c r="U844">
        <v>802</v>
      </c>
      <c r="V844" s="197">
        <v>-97.78831926205072</v>
      </c>
    </row>
    <row r="845" spans="21:22">
      <c r="U845">
        <v>803</v>
      </c>
      <c r="V845" s="197">
        <v>-316.37216510667878</v>
      </c>
    </row>
    <row r="846" spans="21:22">
      <c r="U846">
        <v>804</v>
      </c>
      <c r="V846" s="197">
        <v>-325.41005961252017</v>
      </c>
    </row>
    <row r="847" spans="21:22">
      <c r="U847">
        <v>805</v>
      </c>
      <c r="V847" s="197">
        <v>964.69770387046356</v>
      </c>
    </row>
    <row r="848" spans="21:22">
      <c r="U848">
        <v>806</v>
      </c>
      <c r="V848" s="197">
        <v>-851.71715130051757</v>
      </c>
    </row>
    <row r="849" spans="21:22">
      <c r="U849">
        <v>807</v>
      </c>
      <c r="V849" s="197">
        <v>324.68339244314842</v>
      </c>
    </row>
    <row r="850" spans="21:22">
      <c r="U850">
        <v>808</v>
      </c>
      <c r="V850" s="197">
        <v>879.38283413694694</v>
      </c>
    </row>
    <row r="851" spans="21:22">
      <c r="U851">
        <v>809</v>
      </c>
      <c r="V851" s="197">
        <v>2704.8169827641423</v>
      </c>
    </row>
    <row r="852" spans="21:22">
      <c r="U852">
        <v>810</v>
      </c>
      <c r="V852" s="197">
        <v>-294.50733480813716</v>
      </c>
    </row>
    <row r="853" spans="21:22">
      <c r="U853">
        <v>811</v>
      </c>
      <c r="V853" s="197">
        <v>-70.783361641994219</v>
      </c>
    </row>
    <row r="854" spans="21:22">
      <c r="U854">
        <v>812</v>
      </c>
      <c r="V854" s="197">
        <v>-212.11703402623499</v>
      </c>
    </row>
    <row r="855" spans="21:22">
      <c r="U855">
        <v>813</v>
      </c>
      <c r="V855" s="197">
        <v>684.10952774917268</v>
      </c>
    </row>
    <row r="856" spans="21:22">
      <c r="U856">
        <v>814</v>
      </c>
      <c r="V856" s="197">
        <v>153.39864535032581</v>
      </c>
    </row>
    <row r="857" spans="21:22">
      <c r="U857">
        <v>815</v>
      </c>
      <c r="V857" s="197">
        <v>1510.932198087354</v>
      </c>
    </row>
    <row r="858" spans="21:22">
      <c r="U858">
        <v>816</v>
      </c>
      <c r="V858" s="197">
        <v>1145.1158092155376</v>
      </c>
    </row>
    <row r="859" spans="21:22">
      <c r="U859">
        <v>817</v>
      </c>
      <c r="V859" s="197">
        <v>1229.4075585473067</v>
      </c>
    </row>
    <row r="860" spans="21:22">
      <c r="U860">
        <v>818</v>
      </c>
      <c r="V860" s="197">
        <v>232.88947081706189</v>
      </c>
    </row>
    <row r="861" spans="21:22">
      <c r="U861">
        <v>819</v>
      </c>
      <c r="V861" s="197">
        <v>1831.3350653313883</v>
      </c>
    </row>
    <row r="862" spans="21:22">
      <c r="U862">
        <v>820</v>
      </c>
      <c r="V862" s="197">
        <v>-210.87561125851983</v>
      </c>
    </row>
    <row r="863" spans="21:22">
      <c r="U863">
        <v>821</v>
      </c>
      <c r="V863" s="197">
        <v>-377.57812783866575</v>
      </c>
    </row>
    <row r="864" spans="21:22">
      <c r="U864">
        <v>822</v>
      </c>
      <c r="V864" s="197">
        <v>1559.7904879164012</v>
      </c>
    </row>
    <row r="865" spans="21:22">
      <c r="U865">
        <v>823</v>
      </c>
      <c r="V865" s="197">
        <v>1472.626702412701</v>
      </c>
    </row>
    <row r="866" spans="21:22">
      <c r="U866">
        <v>824</v>
      </c>
      <c r="V866" s="197">
        <v>1176.1408290170275</v>
      </c>
    </row>
    <row r="867" spans="21:22">
      <c r="U867">
        <v>825</v>
      </c>
      <c r="V867" s="197">
        <v>-1626.2014843361378</v>
      </c>
    </row>
    <row r="868" spans="21:22">
      <c r="U868">
        <v>826</v>
      </c>
      <c r="V868" s="197">
        <v>-287.66663779030961</v>
      </c>
    </row>
    <row r="869" spans="21:22">
      <c r="U869">
        <v>827</v>
      </c>
      <c r="V869" s="197">
        <v>761.72619070732662</v>
      </c>
    </row>
    <row r="870" spans="21:22">
      <c r="U870">
        <v>828</v>
      </c>
      <c r="V870" s="197">
        <v>723.29027555773791</v>
      </c>
    </row>
    <row r="871" spans="21:22">
      <c r="U871">
        <v>829</v>
      </c>
      <c r="V871" s="197">
        <v>-530.14905382637698</v>
      </c>
    </row>
    <row r="872" spans="21:22">
      <c r="U872">
        <v>830</v>
      </c>
      <c r="V872" s="197">
        <v>405.76384022664445</v>
      </c>
    </row>
    <row r="873" spans="21:22">
      <c r="U873">
        <v>831</v>
      </c>
      <c r="V873" s="197">
        <v>1386.7008626122629</v>
      </c>
    </row>
    <row r="874" spans="21:22">
      <c r="U874">
        <v>832</v>
      </c>
      <c r="V874" s="197">
        <v>-700.73584226107937</v>
      </c>
    </row>
    <row r="875" spans="21:22">
      <c r="U875">
        <v>833</v>
      </c>
      <c r="V875" s="197">
        <v>18.481641538501307</v>
      </c>
    </row>
    <row r="876" spans="21:22">
      <c r="U876">
        <v>834</v>
      </c>
      <c r="V876" s="197">
        <v>-235.325404672643</v>
      </c>
    </row>
    <row r="877" spans="21:22">
      <c r="U877">
        <v>835</v>
      </c>
      <c r="V877" s="197">
        <v>242.12506294945391</v>
      </c>
    </row>
    <row r="878" spans="21:22">
      <c r="U878">
        <v>836</v>
      </c>
      <c r="V878" s="197">
        <v>454.85998155919651</v>
      </c>
    </row>
    <row r="879" spans="21:22">
      <c r="U879">
        <v>837</v>
      </c>
      <c r="V879" s="197">
        <v>-1176.1150964263627</v>
      </c>
    </row>
    <row r="880" spans="21:22">
      <c r="U880">
        <v>838</v>
      </c>
      <c r="V880" s="197">
        <v>-221.28187363521027</v>
      </c>
    </row>
    <row r="881" spans="21:22">
      <c r="U881">
        <v>839</v>
      </c>
      <c r="V881" s="197">
        <v>531.6461615137739</v>
      </c>
    </row>
    <row r="882" spans="21:22">
      <c r="U882">
        <v>840</v>
      </c>
      <c r="V882" s="197">
        <v>728.01096229584732</v>
      </c>
    </row>
    <row r="883" spans="21:22">
      <c r="U883">
        <v>841</v>
      </c>
      <c r="V883" s="197">
        <v>-708.40931636367623</v>
      </c>
    </row>
    <row r="884" spans="21:22">
      <c r="U884">
        <v>842</v>
      </c>
      <c r="V884" s="197">
        <v>-1049.3384359257086</v>
      </c>
    </row>
    <row r="885" spans="21:22">
      <c r="U885">
        <v>843</v>
      </c>
      <c r="V885" s="197">
        <v>-466.76943833639353</v>
      </c>
    </row>
    <row r="886" spans="21:22">
      <c r="U886">
        <v>844</v>
      </c>
      <c r="V886" s="197">
        <v>-140.12265731426294</v>
      </c>
    </row>
    <row r="887" spans="21:22">
      <c r="U887">
        <v>845</v>
      </c>
      <c r="V887" s="197">
        <v>-159.01329948628171</v>
      </c>
    </row>
    <row r="888" spans="21:22">
      <c r="U888">
        <v>846</v>
      </c>
      <c r="V888" s="197">
        <v>2129.2681396599364</v>
      </c>
    </row>
    <row r="889" spans="21:22">
      <c r="U889">
        <v>847</v>
      </c>
      <c r="V889" s="197">
        <v>1179.2007822891551</v>
      </c>
    </row>
    <row r="890" spans="21:22">
      <c r="U890">
        <v>848</v>
      </c>
      <c r="V890" s="197">
        <v>-232.99899841294007</v>
      </c>
    </row>
    <row r="891" spans="21:22">
      <c r="U891">
        <v>849</v>
      </c>
      <c r="V891" s="197">
        <v>-231.05291711264471</v>
      </c>
    </row>
    <row r="892" spans="21:22">
      <c r="U892">
        <v>850</v>
      </c>
      <c r="V892" s="197">
        <v>-1167.2696189117919</v>
      </c>
    </row>
    <row r="893" spans="21:22">
      <c r="U893">
        <v>851</v>
      </c>
      <c r="V893" s="197">
        <v>-888.26090653416941</v>
      </c>
    </row>
    <row r="894" spans="21:22">
      <c r="U894">
        <v>852</v>
      </c>
      <c r="V894" s="197">
        <v>578.20772481231757</v>
      </c>
    </row>
    <row r="895" spans="21:22">
      <c r="U895">
        <v>853</v>
      </c>
      <c r="V895" s="197">
        <v>-551.8718751224601</v>
      </c>
    </row>
    <row r="896" spans="21:22">
      <c r="U896">
        <v>854</v>
      </c>
      <c r="V896" s="197">
        <v>76.988131793899171</v>
      </c>
    </row>
    <row r="897" spans="21:22">
      <c r="U897">
        <v>855</v>
      </c>
      <c r="V897" s="197">
        <v>1032.9240187101602</v>
      </c>
    </row>
    <row r="898" spans="21:22">
      <c r="U898">
        <v>856</v>
      </c>
      <c r="V898" s="197">
        <v>172.78502052807599</v>
      </c>
    </row>
    <row r="899" spans="21:22">
      <c r="U899">
        <v>857</v>
      </c>
      <c r="V899" s="197">
        <v>-1257.745703861546</v>
      </c>
    </row>
    <row r="900" spans="21:22">
      <c r="U900">
        <v>858</v>
      </c>
      <c r="V900" s="197">
        <v>593.74091286382293</v>
      </c>
    </row>
    <row r="901" spans="21:22">
      <c r="U901">
        <v>859</v>
      </c>
      <c r="V901" s="197">
        <v>978.27373555627787</v>
      </c>
    </row>
    <row r="902" spans="21:22">
      <c r="U902">
        <v>860</v>
      </c>
      <c r="V902" s="197">
        <v>1103.7055554267647</v>
      </c>
    </row>
    <row r="903" spans="21:22">
      <c r="U903">
        <v>861</v>
      </c>
      <c r="V903" s="197">
        <v>44.925056830430606</v>
      </c>
    </row>
    <row r="904" spans="21:22">
      <c r="U904">
        <v>862</v>
      </c>
      <c r="V904" s="197">
        <v>1147.8467307998724</v>
      </c>
    </row>
    <row r="905" spans="21:22">
      <c r="U905">
        <v>863</v>
      </c>
      <c r="V905" s="197">
        <v>996.56539455143684</v>
      </c>
    </row>
    <row r="906" spans="21:22">
      <c r="U906">
        <v>864</v>
      </c>
      <c r="V906" s="197">
        <v>1404.5469339967444</v>
      </c>
    </row>
    <row r="907" spans="21:22">
      <c r="U907">
        <v>865</v>
      </c>
      <c r="V907" s="197">
        <v>350.97091456424437</v>
      </c>
    </row>
    <row r="908" spans="21:22">
      <c r="U908">
        <v>866</v>
      </c>
      <c r="V908" s="197">
        <v>117.33138142142357</v>
      </c>
    </row>
    <row r="909" spans="21:22">
      <c r="U909">
        <v>867</v>
      </c>
      <c r="V909" s="197">
        <v>-63.39910895278129</v>
      </c>
    </row>
    <row r="910" spans="21:22">
      <c r="U910">
        <v>868</v>
      </c>
      <c r="V910" s="197">
        <v>-1374.7281039943991</v>
      </c>
    </row>
    <row r="911" spans="21:22">
      <c r="U911">
        <v>869</v>
      </c>
      <c r="V911" s="197">
        <v>28.225067918136972</v>
      </c>
    </row>
    <row r="912" spans="21:22">
      <c r="U912">
        <v>870</v>
      </c>
      <c r="V912" s="197">
        <v>685.19650479313123</v>
      </c>
    </row>
    <row r="913" spans="21:22">
      <c r="U913">
        <v>871</v>
      </c>
      <c r="V913" s="197">
        <v>-862.70577735314737</v>
      </c>
    </row>
    <row r="914" spans="21:22">
      <c r="U914">
        <v>872</v>
      </c>
      <c r="V914" s="197">
        <v>-484.23095257744859</v>
      </c>
    </row>
    <row r="915" spans="21:22">
      <c r="U915">
        <v>873</v>
      </c>
      <c r="V915" s="197">
        <v>-8.5973434848037584</v>
      </c>
    </row>
    <row r="916" spans="21:22">
      <c r="U916">
        <v>874</v>
      </c>
      <c r="V916" s="197">
        <v>-418.46174752337373</v>
      </c>
    </row>
    <row r="917" spans="21:22">
      <c r="U917">
        <v>875</v>
      </c>
      <c r="V917" s="197">
        <v>1268.9790519867092</v>
      </c>
    </row>
    <row r="918" spans="21:22">
      <c r="U918">
        <v>876</v>
      </c>
      <c r="V918" s="197">
        <v>2833.4710993439894</v>
      </c>
    </row>
    <row r="919" spans="21:22">
      <c r="U919">
        <v>877</v>
      </c>
      <c r="V919" s="197">
        <v>1139.3237405543794</v>
      </c>
    </row>
    <row r="920" spans="21:22">
      <c r="U920">
        <v>878</v>
      </c>
      <c r="V920" s="197">
        <v>-260.52327902049637</v>
      </c>
    </row>
    <row r="921" spans="21:22">
      <c r="U921">
        <v>879</v>
      </c>
      <c r="V921" s="197">
        <v>541.25746911751662</v>
      </c>
    </row>
    <row r="922" spans="21:22">
      <c r="U922">
        <v>880</v>
      </c>
      <c r="V922" s="197">
        <v>648.82743982916099</v>
      </c>
    </row>
    <row r="923" spans="21:22">
      <c r="U923">
        <v>881</v>
      </c>
      <c r="V923" s="197">
        <v>111.49617471911814</v>
      </c>
    </row>
    <row r="924" spans="21:22">
      <c r="U924">
        <v>882</v>
      </c>
      <c r="V924" s="197">
        <v>925.42534822132575</v>
      </c>
    </row>
    <row r="925" spans="21:22">
      <c r="U925">
        <v>883</v>
      </c>
      <c r="V925" s="197">
        <v>988.13214695435045</v>
      </c>
    </row>
    <row r="926" spans="21:22">
      <c r="U926">
        <v>884</v>
      </c>
      <c r="V926" s="197">
        <v>-1322.8575463770999</v>
      </c>
    </row>
    <row r="927" spans="21:22">
      <c r="U927">
        <v>885</v>
      </c>
      <c r="V927" s="197">
        <v>343.69421957075627</v>
      </c>
    </row>
    <row r="928" spans="21:22">
      <c r="U928">
        <v>886</v>
      </c>
      <c r="V928" s="197">
        <v>-278.13971518346756</v>
      </c>
    </row>
    <row r="929" spans="21:22">
      <c r="U929">
        <v>887</v>
      </c>
      <c r="V929" s="197">
        <v>-914.17640662611416</v>
      </c>
    </row>
    <row r="930" spans="21:22">
      <c r="U930">
        <v>888</v>
      </c>
      <c r="V930" s="197">
        <v>-509.00259875821217</v>
      </c>
    </row>
    <row r="931" spans="21:22">
      <c r="U931">
        <v>889</v>
      </c>
      <c r="V931" s="197">
        <v>1255.1250030230262</v>
      </c>
    </row>
    <row r="932" spans="21:22">
      <c r="U932">
        <v>890</v>
      </c>
      <c r="V932" s="197">
        <v>308.12787256505658</v>
      </c>
    </row>
    <row r="933" spans="21:22">
      <c r="U933">
        <v>891</v>
      </c>
      <c r="V933" s="197">
        <v>-734.95455075137761</v>
      </c>
    </row>
    <row r="934" spans="21:22">
      <c r="U934">
        <v>892</v>
      </c>
      <c r="V934" s="197">
        <v>1827.4871430733019</v>
      </c>
    </row>
    <row r="935" spans="21:22">
      <c r="U935">
        <v>893</v>
      </c>
      <c r="V935" s="197">
        <v>-1454.5943368785429</v>
      </c>
    </row>
    <row r="936" spans="21:22">
      <c r="U936">
        <v>894</v>
      </c>
      <c r="V936" s="197">
        <v>868.01574698507716</v>
      </c>
    </row>
    <row r="937" spans="21:22">
      <c r="U937">
        <v>895</v>
      </c>
      <c r="V937" s="197">
        <v>-1421.9274426648872</v>
      </c>
    </row>
    <row r="938" spans="21:22">
      <c r="U938">
        <v>896</v>
      </c>
      <c r="V938" s="197">
        <v>323.89354580004687</v>
      </c>
    </row>
    <row r="939" spans="21:22">
      <c r="U939">
        <v>897</v>
      </c>
      <c r="V939" s="197">
        <v>-717.02279039998461</v>
      </c>
    </row>
    <row r="940" spans="21:22">
      <c r="U940">
        <v>898</v>
      </c>
      <c r="V940" s="197">
        <v>-81.757116664655712</v>
      </c>
    </row>
    <row r="941" spans="21:22">
      <c r="U941">
        <v>899</v>
      </c>
      <c r="V941" s="197">
        <v>-35.243018707101101</v>
      </c>
    </row>
    <row r="942" spans="21:22">
      <c r="U942">
        <v>900</v>
      </c>
      <c r="V942" s="197">
        <v>234.99394076710931</v>
      </c>
    </row>
    <row r="943" spans="21:22">
      <c r="U943">
        <v>901</v>
      </c>
      <c r="V943" s="197">
        <v>522.74272118494753</v>
      </c>
    </row>
    <row r="944" spans="21:22">
      <c r="U944">
        <v>902</v>
      </c>
      <c r="V944" s="197">
        <v>142.84630720015699</v>
      </c>
    </row>
    <row r="945" spans="21:22">
      <c r="U945">
        <v>903</v>
      </c>
      <c r="V945" s="197">
        <v>760.56997224598899</v>
      </c>
    </row>
    <row r="946" spans="21:22">
      <c r="U946">
        <v>904</v>
      </c>
      <c r="V946" s="197">
        <v>498.76633530329252</v>
      </c>
    </row>
    <row r="947" spans="21:22">
      <c r="U947">
        <v>905</v>
      </c>
      <c r="V947" s="197">
        <v>-768.69596621708274</v>
      </c>
    </row>
    <row r="948" spans="21:22">
      <c r="U948">
        <v>906</v>
      </c>
      <c r="V948" s="197">
        <v>741.36206430261132</v>
      </c>
    </row>
    <row r="949" spans="21:22">
      <c r="U949">
        <v>907</v>
      </c>
      <c r="V949" s="197">
        <v>519.49641232742715</v>
      </c>
    </row>
    <row r="950" spans="21:22">
      <c r="U950">
        <v>908</v>
      </c>
      <c r="V950" s="197">
        <v>751.29171779834451</v>
      </c>
    </row>
    <row r="951" spans="21:22">
      <c r="U951">
        <v>909</v>
      </c>
      <c r="V951" s="197">
        <v>2401.8803596817365</v>
      </c>
    </row>
    <row r="952" spans="21:22">
      <c r="U952">
        <v>910</v>
      </c>
      <c r="V952" s="197">
        <v>-733.55769205209117</v>
      </c>
    </row>
    <row r="953" spans="21:22">
      <c r="U953">
        <v>911</v>
      </c>
      <c r="V953" s="197">
        <v>-787.27264083988962</v>
      </c>
    </row>
    <row r="954" spans="21:22">
      <c r="U954">
        <v>912</v>
      </c>
      <c r="V954" s="197">
        <v>-694.4706706329066</v>
      </c>
    </row>
    <row r="955" spans="21:22">
      <c r="U955">
        <v>913</v>
      </c>
      <c r="V955" s="197">
        <v>1647.7550521442938</v>
      </c>
    </row>
    <row r="956" spans="21:22">
      <c r="U956">
        <v>914</v>
      </c>
      <c r="V956" s="197">
        <v>-162.15689840551943</v>
      </c>
    </row>
    <row r="957" spans="21:22">
      <c r="U957">
        <v>915</v>
      </c>
      <c r="V957" s="197">
        <v>-376.01815605374861</v>
      </c>
    </row>
    <row r="958" spans="21:22">
      <c r="U958">
        <v>916</v>
      </c>
      <c r="V958" s="197">
        <v>218.37748436822312</v>
      </c>
    </row>
    <row r="959" spans="21:22">
      <c r="U959">
        <v>917</v>
      </c>
      <c r="V959" s="197">
        <v>-465.69957445014614</v>
      </c>
    </row>
    <row r="960" spans="21:22">
      <c r="U960">
        <v>918</v>
      </c>
      <c r="V960" s="197">
        <v>1208.4358406726542</v>
      </c>
    </row>
    <row r="961" spans="21:22">
      <c r="U961">
        <v>919</v>
      </c>
      <c r="V961" s="197">
        <v>-400.48324598868442</v>
      </c>
    </row>
    <row r="962" spans="21:22">
      <c r="U962">
        <v>920</v>
      </c>
      <c r="V962" s="197">
        <v>1623.5052453375379</v>
      </c>
    </row>
    <row r="963" spans="21:22">
      <c r="U963">
        <v>921</v>
      </c>
      <c r="V963" s="197">
        <v>1375.0122610346077</v>
      </c>
    </row>
    <row r="964" spans="21:22">
      <c r="U964">
        <v>922</v>
      </c>
      <c r="V964" s="197">
        <v>984.19262907952043</v>
      </c>
    </row>
    <row r="965" spans="21:22">
      <c r="U965">
        <v>923</v>
      </c>
      <c r="V965" s="197">
        <v>482.76706984415893</v>
      </c>
    </row>
    <row r="966" spans="21:22">
      <c r="U966">
        <v>924</v>
      </c>
      <c r="V966" s="197">
        <v>1243.9158143579555</v>
      </c>
    </row>
    <row r="967" spans="21:22">
      <c r="U967">
        <v>925</v>
      </c>
      <c r="V967" s="197">
        <v>188.98835324748904</v>
      </c>
    </row>
    <row r="968" spans="21:22">
      <c r="U968">
        <v>926</v>
      </c>
      <c r="V968" s="197">
        <v>1416.3383037123872</v>
      </c>
    </row>
    <row r="969" spans="21:22">
      <c r="U969">
        <v>927</v>
      </c>
      <c r="V969" s="197">
        <v>-295.03233495699641</v>
      </c>
    </row>
    <row r="970" spans="21:22">
      <c r="U970">
        <v>928</v>
      </c>
      <c r="V970" s="197">
        <v>683.49421804358417</v>
      </c>
    </row>
    <row r="971" spans="21:22">
      <c r="U971">
        <v>929</v>
      </c>
      <c r="V971" s="197">
        <v>-953.02839928264166</v>
      </c>
    </row>
    <row r="972" spans="21:22">
      <c r="U972">
        <v>930</v>
      </c>
      <c r="V972" s="197">
        <v>-1424.1086177550869</v>
      </c>
    </row>
    <row r="973" spans="21:22">
      <c r="U973">
        <v>931</v>
      </c>
      <c r="V973" s="197">
        <v>-1184.9174094480791</v>
      </c>
    </row>
    <row r="974" spans="21:22">
      <c r="U974">
        <v>932</v>
      </c>
      <c r="V974" s="197">
        <v>1805.5770918679709</v>
      </c>
    </row>
    <row r="975" spans="21:22">
      <c r="U975">
        <v>933</v>
      </c>
      <c r="V975" s="197">
        <v>-646.25667679471258</v>
      </c>
    </row>
    <row r="976" spans="21:22">
      <c r="U976">
        <v>934</v>
      </c>
      <c r="V976" s="197">
        <v>800.14558560276782</v>
      </c>
    </row>
    <row r="977" spans="21:22">
      <c r="U977">
        <v>935</v>
      </c>
      <c r="V977" s="197">
        <v>519.44756569617607</v>
      </c>
    </row>
    <row r="978" spans="21:22">
      <c r="U978">
        <v>936</v>
      </c>
      <c r="V978" s="197">
        <v>-514.15237616414333</v>
      </c>
    </row>
    <row r="979" spans="21:22">
      <c r="U979">
        <v>937</v>
      </c>
      <c r="V979" s="197">
        <v>918.90427156649753</v>
      </c>
    </row>
    <row r="980" spans="21:22">
      <c r="U980">
        <v>938</v>
      </c>
      <c r="V980" s="197">
        <v>-33.533066946462952</v>
      </c>
    </row>
    <row r="981" spans="21:22">
      <c r="U981">
        <v>939</v>
      </c>
      <c r="V981" s="197">
        <v>1551.4286390941875</v>
      </c>
    </row>
    <row r="982" spans="21:22">
      <c r="U982">
        <v>940</v>
      </c>
      <c r="V982" s="197">
        <v>1856.2697971324908</v>
      </c>
    </row>
    <row r="983" spans="21:22">
      <c r="U983">
        <v>941</v>
      </c>
      <c r="V983" s="197">
        <v>17.697910061098611</v>
      </c>
    </row>
    <row r="984" spans="21:22">
      <c r="U984">
        <v>942</v>
      </c>
      <c r="V984" s="197">
        <v>272.5413941621332</v>
      </c>
    </row>
    <row r="985" spans="21:22">
      <c r="U985">
        <v>943</v>
      </c>
      <c r="V985" s="197">
        <v>1200.7262046525727</v>
      </c>
    </row>
    <row r="986" spans="21:22">
      <c r="U986">
        <v>944</v>
      </c>
      <c r="V986" s="197">
        <v>57.0766625501306</v>
      </c>
    </row>
    <row r="987" spans="21:22">
      <c r="U987">
        <v>945</v>
      </c>
      <c r="V987" s="197">
        <v>1515.2733705481287</v>
      </c>
    </row>
    <row r="988" spans="21:22">
      <c r="U988">
        <v>946</v>
      </c>
      <c r="V988" s="197">
        <v>-620.90560998756132</v>
      </c>
    </row>
    <row r="989" spans="21:22">
      <c r="U989">
        <v>947</v>
      </c>
      <c r="V989" s="197">
        <v>757.45550495189377</v>
      </c>
    </row>
    <row r="990" spans="21:22">
      <c r="U990">
        <v>948</v>
      </c>
      <c r="V990" s="197">
        <v>2374.9439396136945</v>
      </c>
    </row>
    <row r="991" spans="21:22">
      <c r="U991">
        <v>949</v>
      </c>
      <c r="V991" s="197">
        <v>864.78458905187131</v>
      </c>
    </row>
    <row r="992" spans="21:22">
      <c r="U992">
        <v>950</v>
      </c>
      <c r="V992" s="197">
        <v>86.447811143739429</v>
      </c>
    </row>
    <row r="993" spans="21:22">
      <c r="U993">
        <v>951</v>
      </c>
      <c r="V993" s="197">
        <v>585.7546081745943</v>
      </c>
    </row>
    <row r="994" spans="21:22">
      <c r="U994">
        <v>952</v>
      </c>
      <c r="V994" s="197">
        <v>-12.981947102168334</v>
      </c>
    </row>
    <row r="995" spans="21:22">
      <c r="U995">
        <v>953</v>
      </c>
      <c r="V995" s="197">
        <v>559.17676541854905</v>
      </c>
    </row>
    <row r="996" spans="21:22">
      <c r="U996">
        <v>954</v>
      </c>
      <c r="V996" s="197">
        <v>391.01684386882209</v>
      </c>
    </row>
    <row r="997" spans="21:22">
      <c r="U997">
        <v>955</v>
      </c>
      <c r="V997" s="197">
        <v>-1059.1700785547205</v>
      </c>
    </row>
    <row r="998" spans="21:22">
      <c r="U998">
        <v>956</v>
      </c>
      <c r="V998" s="197">
        <v>1800.3894202463928</v>
      </c>
    </row>
    <row r="999" spans="21:22">
      <c r="U999">
        <v>957</v>
      </c>
      <c r="V999" s="197">
        <v>1141.9007719265419</v>
      </c>
    </row>
    <row r="1000" spans="21:22">
      <c r="U1000">
        <v>958</v>
      </c>
      <c r="V1000" s="197">
        <v>-17.114744021034625</v>
      </c>
    </row>
    <row r="1001" spans="21:22">
      <c r="U1001">
        <v>959</v>
      </c>
      <c r="V1001" s="197">
        <v>2844.2439198231341</v>
      </c>
    </row>
    <row r="1002" spans="21:22">
      <c r="U1002">
        <v>960</v>
      </c>
      <c r="V1002" s="197">
        <v>-78.741650710050124</v>
      </c>
    </row>
    <row r="1003" spans="21:22">
      <c r="U1003">
        <v>961</v>
      </c>
      <c r="V1003" s="197">
        <v>383.61400640258199</v>
      </c>
    </row>
    <row r="1004" spans="21:22">
      <c r="U1004">
        <v>962</v>
      </c>
      <c r="V1004" s="197">
        <v>-1011.8852308143596</v>
      </c>
    </row>
    <row r="1005" spans="21:22">
      <c r="U1005">
        <v>963</v>
      </c>
      <c r="V1005" s="197">
        <v>351.38219986310258</v>
      </c>
    </row>
    <row r="1006" spans="21:22">
      <c r="U1006">
        <v>964</v>
      </c>
      <c r="V1006" s="197">
        <v>-764.66816779052738</v>
      </c>
    </row>
    <row r="1007" spans="21:22">
      <c r="U1007">
        <v>965</v>
      </c>
      <c r="V1007" s="197">
        <v>12.404160060978199</v>
      </c>
    </row>
    <row r="1008" spans="21:22">
      <c r="U1008">
        <v>966</v>
      </c>
      <c r="V1008" s="197">
        <v>-1141.60871637896</v>
      </c>
    </row>
    <row r="1009" spans="21:22">
      <c r="U1009">
        <v>967</v>
      </c>
      <c r="V1009" s="197">
        <v>831.88153475233889</v>
      </c>
    </row>
    <row r="1010" spans="21:22">
      <c r="U1010">
        <v>968</v>
      </c>
      <c r="V1010" s="197">
        <v>1311.529853082355</v>
      </c>
    </row>
    <row r="1011" spans="21:22">
      <c r="U1011">
        <v>969</v>
      </c>
      <c r="V1011" s="197">
        <v>880.09109264033759</v>
      </c>
    </row>
    <row r="1012" spans="21:22">
      <c r="U1012">
        <v>970</v>
      </c>
      <c r="V1012" s="197">
        <v>-18.295888323372168</v>
      </c>
    </row>
    <row r="1013" spans="21:22">
      <c r="U1013">
        <v>971</v>
      </c>
      <c r="V1013" s="197">
        <v>297.21874723483876</v>
      </c>
    </row>
    <row r="1014" spans="21:22">
      <c r="U1014">
        <v>972</v>
      </c>
      <c r="V1014" s="197">
        <v>1604.250865515085</v>
      </c>
    </row>
    <row r="1015" spans="21:22">
      <c r="U1015">
        <v>973</v>
      </c>
      <c r="V1015" s="197">
        <v>1716.4183057155356</v>
      </c>
    </row>
    <row r="1016" spans="21:22">
      <c r="U1016">
        <v>974</v>
      </c>
      <c r="V1016" s="197">
        <v>-488.74638021572952</v>
      </c>
    </row>
    <row r="1017" spans="21:22">
      <c r="U1017">
        <v>975</v>
      </c>
      <c r="V1017" s="197">
        <v>-1447.7058627902011</v>
      </c>
    </row>
    <row r="1018" spans="21:22">
      <c r="U1018">
        <v>976</v>
      </c>
      <c r="V1018" s="197">
        <v>676.25524913330992</v>
      </c>
    </row>
    <row r="1019" spans="21:22">
      <c r="U1019">
        <v>977</v>
      </c>
      <c r="V1019" s="197">
        <v>-254.6093017145339</v>
      </c>
    </row>
    <row r="1020" spans="21:22">
      <c r="U1020">
        <v>978</v>
      </c>
      <c r="V1020" s="197">
        <v>-187.63497919462839</v>
      </c>
    </row>
    <row r="1021" spans="21:22">
      <c r="U1021">
        <v>979</v>
      </c>
      <c r="V1021" s="197">
        <v>1111.3793847479806</v>
      </c>
    </row>
    <row r="1022" spans="21:22">
      <c r="U1022">
        <v>980</v>
      </c>
      <c r="V1022" s="197">
        <v>-382.64157249603051</v>
      </c>
    </row>
    <row r="1023" spans="21:22">
      <c r="U1023">
        <v>981</v>
      </c>
      <c r="V1023" s="197">
        <v>-1585.2023710538817</v>
      </c>
    </row>
    <row r="1024" spans="21:22">
      <c r="U1024">
        <v>982</v>
      </c>
      <c r="V1024" s="197">
        <v>214.00941163195918</v>
      </c>
    </row>
    <row r="1025" spans="21:22">
      <c r="U1025">
        <v>983</v>
      </c>
      <c r="V1025" s="197">
        <v>151.5160178162167</v>
      </c>
    </row>
    <row r="1026" spans="21:22">
      <c r="U1026">
        <v>984</v>
      </c>
      <c r="V1026" s="197">
        <v>-1988.391049060325</v>
      </c>
    </row>
    <row r="1027" spans="21:22">
      <c r="U1027">
        <v>985</v>
      </c>
      <c r="V1027" s="197">
        <v>487.60977599578814</v>
      </c>
    </row>
    <row r="1028" spans="21:22">
      <c r="U1028">
        <v>986</v>
      </c>
      <c r="V1028" s="197">
        <v>430.74985399796344</v>
      </c>
    </row>
    <row r="1029" spans="21:22">
      <c r="U1029">
        <v>987</v>
      </c>
      <c r="V1029" s="197">
        <v>-530.43206029698354</v>
      </c>
    </row>
    <row r="1030" spans="21:22">
      <c r="U1030">
        <v>988</v>
      </c>
      <c r="V1030" s="197">
        <v>-241.9958906317093</v>
      </c>
    </row>
    <row r="1031" spans="21:22">
      <c r="U1031">
        <v>989</v>
      </c>
      <c r="V1031" s="197">
        <v>1295.5846499430452</v>
      </c>
    </row>
    <row r="1032" spans="21:22">
      <c r="U1032">
        <v>990</v>
      </c>
      <c r="V1032" s="197">
        <v>1140.6636997809085</v>
      </c>
    </row>
    <row r="1033" spans="21:22">
      <c r="U1033">
        <v>991</v>
      </c>
      <c r="V1033" s="197">
        <v>-168.73782127814752</v>
      </c>
    </row>
    <row r="1034" spans="21:22">
      <c r="U1034">
        <v>992</v>
      </c>
      <c r="V1034" s="197">
        <v>1056.3176211409962</v>
      </c>
    </row>
    <row r="1035" spans="21:22">
      <c r="U1035">
        <v>993</v>
      </c>
      <c r="V1035" s="197">
        <v>130.529473878228</v>
      </c>
    </row>
    <row r="1036" spans="21:22">
      <c r="U1036">
        <v>994</v>
      </c>
      <c r="V1036" s="197">
        <v>-1532.3199133259639</v>
      </c>
    </row>
    <row r="1037" spans="21:22">
      <c r="U1037">
        <v>995</v>
      </c>
      <c r="V1037" s="197">
        <v>762.49279550849815</v>
      </c>
    </row>
    <row r="1038" spans="21:22">
      <c r="U1038">
        <v>996</v>
      </c>
      <c r="V1038" s="197">
        <v>-1623.4305508356406</v>
      </c>
    </row>
    <row r="1039" spans="21:22">
      <c r="U1039">
        <v>997</v>
      </c>
      <c r="V1039" s="197">
        <v>-668.4683180462639</v>
      </c>
    </row>
    <row r="1040" spans="21:22">
      <c r="U1040">
        <v>998</v>
      </c>
      <c r="V1040" s="197">
        <v>243.97201152276389</v>
      </c>
    </row>
    <row r="1041" spans="21:22">
      <c r="U1041">
        <v>999</v>
      </c>
      <c r="V1041" s="197">
        <v>-1029.83915911792</v>
      </c>
    </row>
    <row r="1042" spans="21:22">
      <c r="U1042">
        <v>1000</v>
      </c>
      <c r="V1042" s="197">
        <v>885.40408049439429</v>
      </c>
    </row>
    <row r="1043" spans="21:22">
      <c r="U1043">
        <v>1001</v>
      </c>
      <c r="V1043" s="197">
        <v>-1463.3561174336151</v>
      </c>
    </row>
    <row r="1044" spans="21:22">
      <c r="U1044">
        <v>1002</v>
      </c>
      <c r="V1044" s="197">
        <v>-95.296500363526775</v>
      </c>
    </row>
    <row r="1045" spans="21:22">
      <c r="U1045">
        <v>1003</v>
      </c>
      <c r="V1045" s="197">
        <v>-350.52519670698524</v>
      </c>
    </row>
    <row r="1046" spans="21:22">
      <c r="U1046">
        <v>1004</v>
      </c>
      <c r="V1046" s="197">
        <v>365.52171903184649</v>
      </c>
    </row>
    <row r="1047" spans="21:22">
      <c r="U1047">
        <v>1005</v>
      </c>
      <c r="V1047" s="197">
        <v>-1122.873982822194</v>
      </c>
    </row>
    <row r="1048" spans="21:22">
      <c r="U1048">
        <v>1006</v>
      </c>
      <c r="V1048" s="197">
        <v>179.57796883404268</v>
      </c>
    </row>
    <row r="1049" spans="21:22">
      <c r="U1049">
        <v>1007</v>
      </c>
      <c r="V1049" s="197">
        <v>-1606.9496391320831</v>
      </c>
    </row>
    <row r="1050" spans="21:22">
      <c r="U1050">
        <v>1008</v>
      </c>
      <c r="V1050" s="197">
        <v>965.50327135336374</v>
      </c>
    </row>
    <row r="1051" spans="21:22">
      <c r="U1051">
        <v>1009</v>
      </c>
      <c r="V1051" s="197">
        <v>-676.5089094560899</v>
      </c>
    </row>
    <row r="1052" spans="21:22">
      <c r="U1052">
        <v>1010</v>
      </c>
      <c r="V1052" s="197">
        <v>1933.3253406100973</v>
      </c>
    </row>
    <row r="1053" spans="21:22">
      <c r="U1053">
        <v>1011</v>
      </c>
      <c r="V1053" s="197">
        <v>1660.3430498452742</v>
      </c>
    </row>
    <row r="1054" spans="21:22">
      <c r="U1054">
        <v>1012</v>
      </c>
      <c r="V1054" s="197">
        <v>1223.4829250354303</v>
      </c>
    </row>
    <row r="1055" spans="21:22">
      <c r="U1055">
        <v>1013</v>
      </c>
      <c r="V1055" s="197">
        <v>259.63047006769978</v>
      </c>
    </row>
    <row r="1056" spans="21:22">
      <c r="U1056">
        <v>1014</v>
      </c>
      <c r="V1056" s="197">
        <v>348.68863068333326</v>
      </c>
    </row>
    <row r="1057" spans="21:22">
      <c r="U1057">
        <v>1015</v>
      </c>
      <c r="V1057" s="197">
        <v>-422.7749753367861</v>
      </c>
    </row>
    <row r="1058" spans="21:22">
      <c r="U1058">
        <v>1016</v>
      </c>
      <c r="V1058" s="197">
        <v>273.57751726519245</v>
      </c>
    </row>
    <row r="1059" spans="21:22">
      <c r="U1059">
        <v>1017</v>
      </c>
      <c r="V1059" s="197">
        <v>-250.16173877166528</v>
      </c>
    </row>
    <row r="1060" spans="21:22">
      <c r="U1060">
        <v>1018</v>
      </c>
      <c r="V1060" s="197">
        <v>-787.58107364966486</v>
      </c>
    </row>
    <row r="1061" spans="21:22">
      <c r="U1061">
        <v>1019</v>
      </c>
      <c r="V1061" s="197">
        <v>796.01463707056314</v>
      </c>
    </row>
    <row r="1062" spans="21:22">
      <c r="U1062">
        <v>1020</v>
      </c>
      <c r="V1062" s="197">
        <v>-302.28916424432475</v>
      </c>
    </row>
    <row r="1063" spans="21:22">
      <c r="U1063">
        <v>1021</v>
      </c>
      <c r="V1063" s="197">
        <v>-1016.0089285380036</v>
      </c>
    </row>
    <row r="1064" spans="21:22">
      <c r="U1064">
        <v>1022</v>
      </c>
      <c r="V1064" s="197">
        <v>129.4797843811773</v>
      </c>
    </row>
    <row r="1065" spans="21:22">
      <c r="U1065">
        <v>1023</v>
      </c>
      <c r="V1065" s="197">
        <v>255.55408665431457</v>
      </c>
    </row>
    <row r="1066" spans="21:22">
      <c r="U1066">
        <v>1024</v>
      </c>
      <c r="V1066" s="197">
        <v>1537.5121639839433</v>
      </c>
    </row>
    <row r="1067" spans="21:22">
      <c r="U1067">
        <v>1025</v>
      </c>
      <c r="V1067" s="197">
        <v>-231.40730045772796</v>
      </c>
    </row>
    <row r="1068" spans="21:22">
      <c r="U1068">
        <v>1026</v>
      </c>
      <c r="V1068" s="197">
        <v>-2095.7694140665085</v>
      </c>
    </row>
    <row r="1069" spans="21:22">
      <c r="U1069">
        <v>1027</v>
      </c>
      <c r="V1069" s="197">
        <v>561.97447248805258</v>
      </c>
    </row>
    <row r="1070" spans="21:22">
      <c r="U1070">
        <v>1028</v>
      </c>
      <c r="V1070" s="197">
        <v>2021.0922345099452</v>
      </c>
    </row>
    <row r="1071" spans="21:22">
      <c r="U1071">
        <v>1029</v>
      </c>
      <c r="V1071" s="197">
        <v>24.054695835434373</v>
      </c>
    </row>
    <row r="1072" spans="21:22">
      <c r="U1072">
        <v>1030</v>
      </c>
      <c r="V1072" s="197">
        <v>-407.18728495143978</v>
      </c>
    </row>
    <row r="1073" spans="21:22">
      <c r="U1073">
        <v>1031</v>
      </c>
      <c r="V1073" s="197">
        <v>78.934338859481528</v>
      </c>
    </row>
    <row r="1074" spans="21:22">
      <c r="U1074">
        <v>1032</v>
      </c>
      <c r="V1074" s="197">
        <v>-334.11961979002081</v>
      </c>
    </row>
    <row r="1075" spans="21:22">
      <c r="U1075">
        <v>1033</v>
      </c>
      <c r="V1075" s="197">
        <v>-863.54924019214218</v>
      </c>
    </row>
    <row r="1076" spans="21:22">
      <c r="U1076">
        <v>1034</v>
      </c>
      <c r="V1076" s="197">
        <v>-2011.8967678035908</v>
      </c>
    </row>
    <row r="1077" spans="21:22">
      <c r="U1077">
        <v>1035</v>
      </c>
      <c r="V1077" s="197">
        <v>1282.0913294856643</v>
      </c>
    </row>
    <row r="1078" spans="21:22">
      <c r="U1078">
        <v>1036</v>
      </c>
      <c r="V1078" s="197">
        <v>-508.06715116751644</v>
      </c>
    </row>
    <row r="1079" spans="21:22">
      <c r="U1079">
        <v>1037</v>
      </c>
      <c r="V1079" s="197">
        <v>-1035.7393180365827</v>
      </c>
    </row>
    <row r="1080" spans="21:22">
      <c r="U1080">
        <v>1038</v>
      </c>
      <c r="V1080" s="197">
        <v>1530.3224953133933</v>
      </c>
    </row>
    <row r="1081" spans="21:22">
      <c r="U1081">
        <v>1039</v>
      </c>
      <c r="V1081" s="197">
        <v>-122.22488844810667</v>
      </c>
    </row>
    <row r="1082" spans="21:22">
      <c r="U1082">
        <v>1040</v>
      </c>
      <c r="V1082" s="197">
        <v>1271.0000737581483</v>
      </c>
    </row>
    <row r="1083" spans="21:22">
      <c r="U1083">
        <v>1041</v>
      </c>
      <c r="V1083" s="197">
        <v>349.81501841006036</v>
      </c>
    </row>
    <row r="1084" spans="21:22">
      <c r="U1084">
        <v>1042</v>
      </c>
      <c r="V1084" s="197">
        <v>122.3455513923233</v>
      </c>
    </row>
    <row r="1085" spans="21:22">
      <c r="U1085">
        <v>1043</v>
      </c>
      <c r="V1085" s="197">
        <v>-41.283184248676207</v>
      </c>
    </row>
    <row r="1086" spans="21:22">
      <c r="U1086">
        <v>1044</v>
      </c>
      <c r="V1086" s="197">
        <v>2451.1574680950625</v>
      </c>
    </row>
    <row r="1087" spans="21:22">
      <c r="U1087">
        <v>1045</v>
      </c>
      <c r="V1087" s="197">
        <v>-2054.735373291724</v>
      </c>
    </row>
    <row r="1088" spans="21:22">
      <c r="U1088">
        <v>1046</v>
      </c>
      <c r="V1088" s="197">
        <v>214.00817108359178</v>
      </c>
    </row>
    <row r="1089" spans="21:22">
      <c r="U1089">
        <v>1047</v>
      </c>
      <c r="V1089" s="197">
        <v>-138.95337047296766</v>
      </c>
    </row>
    <row r="1090" spans="21:22">
      <c r="U1090">
        <v>1048</v>
      </c>
      <c r="V1090" s="197">
        <v>-1301.6014593690404</v>
      </c>
    </row>
    <row r="1091" spans="21:22">
      <c r="U1091">
        <v>1049</v>
      </c>
      <c r="V1091" s="197">
        <v>2183.7316244543113</v>
      </c>
    </row>
    <row r="1092" spans="21:22">
      <c r="U1092">
        <v>1050</v>
      </c>
      <c r="V1092" s="197">
        <v>-909.37034619724136</v>
      </c>
    </row>
    <row r="1093" spans="21:22">
      <c r="U1093">
        <v>1051</v>
      </c>
      <c r="V1093" s="197">
        <v>793.93640751552971</v>
      </c>
    </row>
    <row r="1094" spans="21:22">
      <c r="U1094">
        <v>1052</v>
      </c>
      <c r="V1094" s="197">
        <v>-532.27348490549934</v>
      </c>
    </row>
    <row r="1095" spans="21:22">
      <c r="U1095">
        <v>1053</v>
      </c>
      <c r="V1095" s="197">
        <v>10.583707533889111</v>
      </c>
    </row>
    <row r="1096" spans="21:22">
      <c r="U1096">
        <v>1054</v>
      </c>
      <c r="V1096" s="197">
        <v>-128.32169441034773</v>
      </c>
    </row>
    <row r="1097" spans="21:22">
      <c r="U1097">
        <v>1055</v>
      </c>
      <c r="V1097" s="197">
        <v>-51.961342508932319</v>
      </c>
    </row>
    <row r="1098" spans="21:22">
      <c r="U1098">
        <v>1056</v>
      </c>
      <c r="V1098" s="197">
        <v>-1364.2944676164589</v>
      </c>
    </row>
    <row r="1099" spans="21:22">
      <c r="U1099">
        <v>1057</v>
      </c>
      <c r="V1099" s="197">
        <v>1001.1484747319198</v>
      </c>
    </row>
    <row r="1100" spans="21:22">
      <c r="U1100">
        <v>1058</v>
      </c>
      <c r="V1100" s="197">
        <v>18.389376162279689</v>
      </c>
    </row>
    <row r="1101" spans="21:22">
      <c r="U1101">
        <v>1059</v>
      </c>
      <c r="V1101" s="197">
        <v>22.850701903686897</v>
      </c>
    </row>
    <row r="1102" spans="21:22">
      <c r="U1102">
        <v>1060</v>
      </c>
      <c r="V1102" s="197">
        <v>-2500.6669544229139</v>
      </c>
    </row>
    <row r="1103" spans="21:22">
      <c r="U1103">
        <v>1061</v>
      </c>
      <c r="V1103" s="197">
        <v>270.72026750204031</v>
      </c>
    </row>
    <row r="1104" spans="21:22">
      <c r="U1104">
        <v>1062</v>
      </c>
      <c r="V1104" s="197">
        <v>177.6892554583188</v>
      </c>
    </row>
    <row r="1105" spans="21:22">
      <c r="U1105">
        <v>1063</v>
      </c>
      <c r="V1105" s="197">
        <v>-818.16996922859903</v>
      </c>
    </row>
    <row r="1106" spans="21:22">
      <c r="U1106">
        <v>1064</v>
      </c>
      <c r="V1106" s="197">
        <v>998.92504785564097</v>
      </c>
    </row>
    <row r="1107" spans="21:22">
      <c r="U1107">
        <v>1065</v>
      </c>
      <c r="V1107" s="197">
        <v>-405.04118128626448</v>
      </c>
    </row>
    <row r="1108" spans="21:22">
      <c r="U1108">
        <v>1066</v>
      </c>
      <c r="V1108" s="197">
        <v>223.90978923140653</v>
      </c>
    </row>
    <row r="1109" spans="21:22">
      <c r="U1109">
        <v>1067</v>
      </c>
      <c r="V1109" s="197">
        <v>-401.96698659635064</v>
      </c>
    </row>
    <row r="1110" spans="21:22">
      <c r="U1110">
        <v>1068</v>
      </c>
      <c r="V1110" s="197">
        <v>424.00502870237989</v>
      </c>
    </row>
    <row r="1111" spans="21:22">
      <c r="U1111">
        <v>1069</v>
      </c>
      <c r="V1111" s="197">
        <v>737.46697097171455</v>
      </c>
    </row>
    <row r="1112" spans="21:22">
      <c r="U1112">
        <v>1070</v>
      </c>
      <c r="V1112" s="197">
        <v>1334.966327308593</v>
      </c>
    </row>
    <row r="1113" spans="21:22">
      <c r="U1113">
        <v>1071</v>
      </c>
      <c r="V1113" s="197">
        <v>2443.5015675452405</v>
      </c>
    </row>
    <row r="1114" spans="21:22">
      <c r="U1114">
        <v>1072</v>
      </c>
      <c r="V1114" s="197">
        <v>239.59719148503154</v>
      </c>
    </row>
    <row r="1115" spans="21:22">
      <c r="U1115">
        <v>1073</v>
      </c>
      <c r="V1115" s="197">
        <v>-403.74165794889655</v>
      </c>
    </row>
    <row r="1116" spans="21:22">
      <c r="U1116">
        <v>1074</v>
      </c>
      <c r="V1116" s="197">
        <v>605.74256737502401</v>
      </c>
    </row>
    <row r="1117" spans="21:22">
      <c r="U1117">
        <v>1075</v>
      </c>
      <c r="V1117" s="197">
        <v>1309.6133176486387</v>
      </c>
    </row>
    <row r="1118" spans="21:22">
      <c r="U1118">
        <v>1076</v>
      </c>
      <c r="V1118" s="197">
        <v>787.11708338468611</v>
      </c>
    </row>
    <row r="1119" spans="21:22">
      <c r="U1119">
        <v>1077</v>
      </c>
      <c r="V1119" s="197">
        <v>-319.81972881506402</v>
      </c>
    </row>
    <row r="1120" spans="21:22">
      <c r="U1120">
        <v>1078</v>
      </c>
      <c r="V1120" s="197">
        <v>1388.5051040918127</v>
      </c>
    </row>
    <row r="1121" spans="21:22">
      <c r="U1121">
        <v>1079</v>
      </c>
      <c r="V1121" s="197">
        <v>-929.60369211111856</v>
      </c>
    </row>
    <row r="1122" spans="21:22">
      <c r="U1122">
        <v>1080</v>
      </c>
      <c r="V1122" s="197">
        <v>-1207.3546814652752</v>
      </c>
    </row>
    <row r="1123" spans="21:22">
      <c r="U1123">
        <v>1081</v>
      </c>
      <c r="V1123" s="197">
        <v>-499.51748250100985</v>
      </c>
    </row>
    <row r="1124" spans="21:22">
      <c r="U1124">
        <v>1082</v>
      </c>
      <c r="V1124" s="197">
        <v>-508.35652985805774</v>
      </c>
    </row>
    <row r="1125" spans="21:22">
      <c r="U1125">
        <v>1083</v>
      </c>
      <c r="V1125" s="197">
        <v>173.70257577107998</v>
      </c>
    </row>
    <row r="1126" spans="21:22">
      <c r="U1126">
        <v>1084</v>
      </c>
      <c r="V1126" s="197">
        <v>-1427.4311106939756</v>
      </c>
    </row>
    <row r="1127" spans="21:22">
      <c r="U1127">
        <v>1085</v>
      </c>
      <c r="V1127" s="197">
        <v>1408.459060689818</v>
      </c>
    </row>
    <row r="1128" spans="21:22">
      <c r="U1128">
        <v>1086</v>
      </c>
      <c r="V1128" s="197">
        <v>-408.25374370881093</v>
      </c>
    </row>
    <row r="1129" spans="21:22">
      <c r="U1129">
        <v>1087</v>
      </c>
      <c r="V1129" s="197">
        <v>-22.161147739865427</v>
      </c>
    </row>
    <row r="1130" spans="21:22">
      <c r="U1130">
        <v>1088</v>
      </c>
      <c r="V1130" s="197">
        <v>-715.06342537349019</v>
      </c>
    </row>
    <row r="1131" spans="21:22">
      <c r="U1131">
        <v>1089</v>
      </c>
      <c r="V1131" s="197">
        <v>-2117.0102873678406</v>
      </c>
    </row>
    <row r="1132" spans="21:22">
      <c r="U1132">
        <v>1090</v>
      </c>
      <c r="V1132" s="197">
        <v>1669.1897589453495</v>
      </c>
    </row>
    <row r="1133" spans="21:22">
      <c r="U1133">
        <v>1091</v>
      </c>
      <c r="V1133" s="197">
        <v>-603.75157549972982</v>
      </c>
    </row>
    <row r="1134" spans="21:22">
      <c r="U1134">
        <v>1092</v>
      </c>
      <c r="V1134" s="197">
        <v>-538.02363895439157</v>
      </c>
    </row>
    <row r="1135" spans="21:22">
      <c r="U1135">
        <v>1093</v>
      </c>
      <c r="V1135" s="197">
        <v>371.16179938540319</v>
      </c>
    </row>
    <row r="1136" spans="21:22">
      <c r="U1136">
        <v>1094</v>
      </c>
      <c r="V1136" s="197">
        <v>1969.6641560083253</v>
      </c>
    </row>
    <row r="1137" spans="21:22">
      <c r="U1137">
        <v>1095</v>
      </c>
      <c r="V1137" s="197">
        <v>64.120942916260717</v>
      </c>
    </row>
    <row r="1138" spans="21:22">
      <c r="U1138">
        <v>1096</v>
      </c>
      <c r="V1138" s="197">
        <v>286.03242064324814</v>
      </c>
    </row>
    <row r="1139" spans="21:22">
      <c r="U1139">
        <v>1097</v>
      </c>
      <c r="V1139" s="197">
        <v>1133.5750038637073</v>
      </c>
    </row>
    <row r="1140" spans="21:22">
      <c r="U1140">
        <v>1098</v>
      </c>
      <c r="V1140" s="197">
        <v>146.07954436457047</v>
      </c>
    </row>
    <row r="1141" spans="21:22">
      <c r="U1141">
        <v>1099</v>
      </c>
      <c r="V1141" s="197">
        <v>-1328.8137004261387</v>
      </c>
    </row>
    <row r="1142" spans="21:22">
      <c r="U1142">
        <v>1100</v>
      </c>
      <c r="V1142" s="197">
        <v>402.91155891426871</v>
      </c>
    </row>
    <row r="1143" spans="21:22">
      <c r="U1143">
        <v>1101</v>
      </c>
      <c r="V1143" s="197">
        <v>421.26092824798627</v>
      </c>
    </row>
    <row r="1144" spans="21:22">
      <c r="U1144">
        <v>1102</v>
      </c>
      <c r="V1144" s="197">
        <v>373.06493826885753</v>
      </c>
    </row>
    <row r="1145" spans="21:22">
      <c r="U1145">
        <v>1103</v>
      </c>
      <c r="V1145" s="197">
        <v>-230.60262588021266</v>
      </c>
    </row>
    <row r="1146" spans="21:22">
      <c r="U1146">
        <v>1104</v>
      </c>
      <c r="V1146" s="197">
        <v>-777.84137321369099</v>
      </c>
    </row>
    <row r="1147" spans="21:22">
      <c r="U1147">
        <v>1105</v>
      </c>
      <c r="V1147" s="197">
        <v>1509.4993004728958</v>
      </c>
    </row>
    <row r="1148" spans="21:22">
      <c r="U1148">
        <v>1106</v>
      </c>
      <c r="V1148" s="197">
        <v>344.46452609482463</v>
      </c>
    </row>
    <row r="1149" spans="21:22">
      <c r="U1149">
        <v>1107</v>
      </c>
      <c r="V1149" s="197">
        <v>1169.6238272678452</v>
      </c>
    </row>
    <row r="1150" spans="21:22">
      <c r="U1150">
        <v>1108</v>
      </c>
      <c r="V1150" s="197">
        <v>-1733.9584482797543</v>
      </c>
    </row>
    <row r="1151" spans="21:22">
      <c r="U1151">
        <v>1109</v>
      </c>
      <c r="V1151" s="197">
        <v>1836.4080669527218</v>
      </c>
    </row>
    <row r="1152" spans="21:22">
      <c r="U1152">
        <v>1110</v>
      </c>
      <c r="V1152" s="197">
        <v>-2128.2122889904649</v>
      </c>
    </row>
    <row r="1153" spans="21:22">
      <c r="U1153">
        <v>1111</v>
      </c>
      <c r="V1153" s="197">
        <v>662.18344036649364</v>
      </c>
    </row>
    <row r="1154" spans="21:22">
      <c r="U1154">
        <v>1112</v>
      </c>
      <c r="V1154" s="197">
        <v>-2765.4498853296955</v>
      </c>
    </row>
    <row r="1155" spans="21:22">
      <c r="U1155">
        <v>1113</v>
      </c>
      <c r="V1155" s="197">
        <v>-766.82262411894339</v>
      </c>
    </row>
    <row r="1156" spans="21:22">
      <c r="U1156">
        <v>1114</v>
      </c>
      <c r="V1156" s="197">
        <v>-1348.9647590212651</v>
      </c>
    </row>
    <row r="1157" spans="21:22">
      <c r="U1157">
        <v>1115</v>
      </c>
      <c r="V1157" s="197">
        <v>-417.11227406552763</v>
      </c>
    </row>
    <row r="1158" spans="21:22">
      <c r="U1158">
        <v>1116</v>
      </c>
      <c r="V1158" s="197">
        <v>408.52673507546604</v>
      </c>
    </row>
    <row r="1159" spans="21:22">
      <c r="U1159">
        <v>1117</v>
      </c>
      <c r="V1159" s="197">
        <v>-301.5442407164017</v>
      </c>
    </row>
    <row r="1160" spans="21:22">
      <c r="U1160">
        <v>1118</v>
      </c>
      <c r="V1160" s="197">
        <v>1013.7150895154009</v>
      </c>
    </row>
    <row r="1161" spans="21:22">
      <c r="U1161">
        <v>1119</v>
      </c>
      <c r="V1161" s="197">
        <v>771.12412204318844</v>
      </c>
    </row>
    <row r="1162" spans="21:22">
      <c r="U1162">
        <v>1120</v>
      </c>
      <c r="V1162" s="197">
        <v>1089.6732910045539</v>
      </c>
    </row>
    <row r="1163" spans="21:22">
      <c r="U1163">
        <v>1121</v>
      </c>
      <c r="V1163" s="197">
        <v>1051.421320661022</v>
      </c>
    </row>
    <row r="1164" spans="21:22">
      <c r="U1164">
        <v>1122</v>
      </c>
      <c r="V1164" s="197">
        <v>271.44903235358993</v>
      </c>
    </row>
    <row r="1165" spans="21:22">
      <c r="U1165">
        <v>1123</v>
      </c>
      <c r="V1165" s="197">
        <v>-406.63263367027679</v>
      </c>
    </row>
    <row r="1166" spans="21:22">
      <c r="U1166">
        <v>1124</v>
      </c>
      <c r="V1166" s="197">
        <v>2641.1744920232381</v>
      </c>
    </row>
    <row r="1167" spans="21:22">
      <c r="U1167">
        <v>1125</v>
      </c>
      <c r="V1167" s="197">
        <v>1338.1361215890022</v>
      </c>
    </row>
    <row r="1168" spans="21:22">
      <c r="U1168">
        <v>1126</v>
      </c>
      <c r="V1168" s="197">
        <v>-262.1899762371545</v>
      </c>
    </row>
    <row r="1169" spans="21:22">
      <c r="U1169">
        <v>1127</v>
      </c>
      <c r="V1169" s="197">
        <v>2133.0649118679694</v>
      </c>
    </row>
    <row r="1170" spans="21:22">
      <c r="U1170">
        <v>1128</v>
      </c>
      <c r="V1170" s="197">
        <v>608.89360540528332</v>
      </c>
    </row>
    <row r="1171" spans="21:22">
      <c r="U1171">
        <v>1129</v>
      </c>
      <c r="V1171" s="197">
        <v>-1150.7739150168161</v>
      </c>
    </row>
    <row r="1172" spans="21:22">
      <c r="U1172">
        <v>1130</v>
      </c>
      <c r="V1172" s="197">
        <v>-1282.5564866008517</v>
      </c>
    </row>
    <row r="1173" spans="21:22">
      <c r="U1173">
        <v>1131</v>
      </c>
      <c r="V1173" s="197">
        <v>-1847.8458059932693</v>
      </c>
    </row>
    <row r="1174" spans="21:22">
      <c r="U1174">
        <v>1132</v>
      </c>
      <c r="V1174" s="197">
        <v>991.74884887678536</v>
      </c>
    </row>
    <row r="1175" spans="21:22">
      <c r="U1175">
        <v>1133</v>
      </c>
      <c r="V1175" s="197">
        <v>-1351.5987759696204</v>
      </c>
    </row>
    <row r="1176" spans="21:22">
      <c r="U1176">
        <v>1134</v>
      </c>
      <c r="V1176" s="197">
        <v>2481.5091599112311</v>
      </c>
    </row>
    <row r="1177" spans="21:22">
      <c r="U1177">
        <v>1135</v>
      </c>
      <c r="V1177" s="197">
        <v>1473.750557802515</v>
      </c>
    </row>
    <row r="1178" spans="21:22">
      <c r="U1178">
        <v>1136</v>
      </c>
      <c r="V1178" s="197">
        <v>708.88722841210506</v>
      </c>
    </row>
    <row r="1179" spans="21:22">
      <c r="U1179">
        <v>1137</v>
      </c>
      <c r="V1179" s="197">
        <v>-340.20587137017918</v>
      </c>
    </row>
    <row r="1180" spans="21:22">
      <c r="U1180">
        <v>1138</v>
      </c>
      <c r="V1180" s="197">
        <v>474.82342835427482</v>
      </c>
    </row>
    <row r="1181" spans="21:22">
      <c r="U1181">
        <v>1139</v>
      </c>
      <c r="V1181" s="197">
        <v>-297.56139317684881</v>
      </c>
    </row>
    <row r="1182" spans="21:22">
      <c r="U1182">
        <v>1140</v>
      </c>
      <c r="V1182" s="197">
        <v>868.39667165593164</v>
      </c>
    </row>
    <row r="1183" spans="21:22">
      <c r="U1183">
        <v>1141</v>
      </c>
      <c r="V1183" s="197">
        <v>-111.36549271147825</v>
      </c>
    </row>
    <row r="1184" spans="21:22">
      <c r="U1184">
        <v>1142</v>
      </c>
      <c r="V1184" s="197">
        <v>-707.72984092071715</v>
      </c>
    </row>
    <row r="1185" spans="21:22">
      <c r="U1185">
        <v>1143</v>
      </c>
      <c r="V1185" s="197">
        <v>445.97378068341493</v>
      </c>
    </row>
    <row r="1186" spans="21:22">
      <c r="U1186">
        <v>1144</v>
      </c>
      <c r="V1186" s="197">
        <v>-817.60582549028777</v>
      </c>
    </row>
    <row r="1187" spans="21:22">
      <c r="U1187">
        <v>1145</v>
      </c>
      <c r="V1187" s="197">
        <v>-856.7672672011895</v>
      </c>
    </row>
    <row r="1188" spans="21:22">
      <c r="U1188">
        <v>1146</v>
      </c>
      <c r="V1188" s="197">
        <v>-1857.5204756070266</v>
      </c>
    </row>
    <row r="1189" spans="21:22">
      <c r="U1189">
        <v>1147</v>
      </c>
      <c r="V1189" s="197">
        <v>-1488.9276378360644</v>
      </c>
    </row>
    <row r="1190" spans="21:22">
      <c r="U1190">
        <v>1148</v>
      </c>
      <c r="V1190" s="197">
        <v>543.96495081277487</v>
      </c>
    </row>
    <row r="1191" spans="21:22">
      <c r="U1191">
        <v>1149</v>
      </c>
      <c r="V1191" s="197">
        <v>1925.0432036005654</v>
      </c>
    </row>
    <row r="1192" spans="21:22">
      <c r="U1192">
        <v>1150</v>
      </c>
      <c r="V1192" s="197">
        <v>-1349.7318158649093</v>
      </c>
    </row>
    <row r="1193" spans="21:22">
      <c r="U1193">
        <v>1151</v>
      </c>
      <c r="V1193" s="197">
        <v>-1288.4303967338446</v>
      </c>
    </row>
    <row r="1194" spans="21:22">
      <c r="U1194">
        <v>1152</v>
      </c>
      <c r="V1194" s="197">
        <v>138.61713179701161</v>
      </c>
    </row>
    <row r="1195" spans="21:22">
      <c r="U1195">
        <v>1153</v>
      </c>
      <c r="V1195" s="197">
        <v>69.932305556755153</v>
      </c>
    </row>
    <row r="1196" spans="21:22">
      <c r="U1196">
        <v>1154</v>
      </c>
      <c r="V1196" s="197">
        <v>173.90431667128922</v>
      </c>
    </row>
    <row r="1197" spans="21:22">
      <c r="U1197">
        <v>1155</v>
      </c>
      <c r="V1197" s="197">
        <v>1430.9365957028324</v>
      </c>
    </row>
    <row r="1198" spans="21:22">
      <c r="U1198">
        <v>1156</v>
      </c>
      <c r="V1198" s="197">
        <v>-247.69242134678188</v>
      </c>
    </row>
    <row r="1199" spans="21:22">
      <c r="U1199">
        <v>1157</v>
      </c>
      <c r="V1199" s="197">
        <v>834.32970103319553</v>
      </c>
    </row>
    <row r="1200" spans="21:22">
      <c r="U1200">
        <v>1158</v>
      </c>
      <c r="V1200" s="197">
        <v>586.80317484045281</v>
      </c>
    </row>
    <row r="1201" spans="21:22">
      <c r="U1201">
        <v>1159</v>
      </c>
      <c r="V1201" s="197">
        <v>-1725.1718294173161</v>
      </c>
    </row>
    <row r="1202" spans="21:22">
      <c r="U1202">
        <v>1160</v>
      </c>
      <c r="V1202" s="197">
        <v>-254.60799681240917</v>
      </c>
    </row>
    <row r="1203" spans="21:22">
      <c r="U1203">
        <v>1161</v>
      </c>
      <c r="V1203" s="197">
        <v>369.47146478034136</v>
      </c>
    </row>
    <row r="1204" spans="21:22">
      <c r="U1204">
        <v>1162</v>
      </c>
      <c r="V1204" s="197">
        <v>898.66884326847571</v>
      </c>
    </row>
    <row r="1205" spans="21:22">
      <c r="U1205">
        <v>1163</v>
      </c>
      <c r="V1205" s="197">
        <v>-1035.4297766989184</v>
      </c>
    </row>
    <row r="1206" spans="21:22">
      <c r="U1206">
        <v>1164</v>
      </c>
      <c r="V1206" s="197">
        <v>-523.05709572653154</v>
      </c>
    </row>
    <row r="1207" spans="21:22">
      <c r="U1207">
        <v>1165</v>
      </c>
      <c r="V1207" s="197">
        <v>-1069.105140467246</v>
      </c>
    </row>
    <row r="1208" spans="21:22">
      <c r="U1208">
        <v>1166</v>
      </c>
      <c r="V1208" s="197">
        <v>-670.27953181807834</v>
      </c>
    </row>
    <row r="1209" spans="21:22">
      <c r="U1209">
        <v>1167</v>
      </c>
      <c r="V1209" s="197">
        <v>256.87706737657379</v>
      </c>
    </row>
    <row r="1210" spans="21:22">
      <c r="U1210">
        <v>1168</v>
      </c>
      <c r="V1210" s="197">
        <v>-561.48583448748809</v>
      </c>
    </row>
    <row r="1211" spans="21:22">
      <c r="U1211">
        <v>1169</v>
      </c>
      <c r="V1211" s="197">
        <v>-280.15281690137323</v>
      </c>
    </row>
    <row r="1212" spans="21:22">
      <c r="U1212">
        <v>1170</v>
      </c>
      <c r="V1212" s="197">
        <v>664.91124620374057</v>
      </c>
    </row>
    <row r="1213" spans="21:22">
      <c r="U1213">
        <v>1171</v>
      </c>
      <c r="V1213" s="197">
        <v>-349.01638154380402</v>
      </c>
    </row>
    <row r="1214" spans="21:22">
      <c r="U1214">
        <v>1172</v>
      </c>
      <c r="V1214" s="197">
        <v>-1708.2780422006128</v>
      </c>
    </row>
    <row r="1215" spans="21:22">
      <c r="U1215">
        <v>1173</v>
      </c>
      <c r="V1215" s="197">
        <v>-200.8044979794941</v>
      </c>
    </row>
    <row r="1216" spans="21:22">
      <c r="U1216">
        <v>1174</v>
      </c>
      <c r="V1216" s="197">
        <v>55.298029178640576</v>
      </c>
    </row>
    <row r="1217" spans="21:22">
      <c r="U1217">
        <v>1175</v>
      </c>
      <c r="V1217" s="197">
        <v>-812.69818293982348</v>
      </c>
    </row>
    <row r="1218" spans="21:22">
      <c r="U1218">
        <v>1176</v>
      </c>
      <c r="V1218" s="197">
        <v>636.66118730147991</v>
      </c>
    </row>
    <row r="1219" spans="21:22">
      <c r="U1219">
        <v>1177</v>
      </c>
      <c r="V1219" s="197">
        <v>-1068.2500729150267</v>
      </c>
    </row>
    <row r="1220" spans="21:22">
      <c r="U1220">
        <v>1178</v>
      </c>
      <c r="V1220" s="197">
        <v>884.93638546849502</v>
      </c>
    </row>
    <row r="1221" spans="21:22">
      <c r="U1221">
        <v>1179</v>
      </c>
      <c r="V1221" s="197">
        <v>1515.2995544189475</v>
      </c>
    </row>
    <row r="1222" spans="21:22">
      <c r="U1222">
        <v>1180</v>
      </c>
      <c r="V1222" s="197">
        <v>648.9687446315836</v>
      </c>
    </row>
    <row r="1223" spans="21:22">
      <c r="U1223">
        <v>1181</v>
      </c>
      <c r="V1223" s="197">
        <v>471.13220816580542</v>
      </c>
    </row>
    <row r="1224" spans="21:22">
      <c r="U1224">
        <v>1182</v>
      </c>
      <c r="V1224" s="197">
        <v>769.19900306247837</v>
      </c>
    </row>
    <row r="1225" spans="21:22">
      <c r="U1225">
        <v>1183</v>
      </c>
      <c r="V1225" s="197">
        <v>-171.77890485863259</v>
      </c>
    </row>
    <row r="1226" spans="21:22">
      <c r="U1226">
        <v>1184</v>
      </c>
      <c r="V1226" s="197">
        <v>197.71037095774744</v>
      </c>
    </row>
    <row r="1227" spans="21:22">
      <c r="U1227">
        <v>1185</v>
      </c>
      <c r="V1227" s="197">
        <v>291.24907712636087</v>
      </c>
    </row>
    <row r="1228" spans="21:22">
      <c r="U1228">
        <v>1186</v>
      </c>
      <c r="V1228" s="197">
        <v>1511.1646210251981</v>
      </c>
    </row>
    <row r="1229" spans="21:22">
      <c r="U1229">
        <v>1187</v>
      </c>
      <c r="V1229" s="197">
        <v>-1395.529229390308</v>
      </c>
    </row>
    <row r="1230" spans="21:22">
      <c r="U1230">
        <v>1188</v>
      </c>
      <c r="V1230" s="197">
        <v>-114.3700774062267</v>
      </c>
    </row>
    <row r="1231" spans="21:22">
      <c r="U1231">
        <v>1189</v>
      </c>
      <c r="V1231" s="197">
        <v>-9.9269518234012537</v>
      </c>
    </row>
    <row r="1232" spans="21:22">
      <c r="U1232">
        <v>1190</v>
      </c>
      <c r="V1232" s="197">
        <v>1233.3859143927086</v>
      </c>
    </row>
    <row r="1233" spans="21:22">
      <c r="U1233">
        <v>1191</v>
      </c>
      <c r="V1233" s="197">
        <v>634.23220731382366</v>
      </c>
    </row>
    <row r="1234" spans="21:22">
      <c r="U1234">
        <v>1192</v>
      </c>
      <c r="V1234" s="197">
        <v>8.6132580549456463</v>
      </c>
    </row>
    <row r="1235" spans="21:22">
      <c r="U1235">
        <v>1193</v>
      </c>
      <c r="V1235" s="197">
        <v>405.39204066168503</v>
      </c>
    </row>
    <row r="1236" spans="21:22">
      <c r="U1236">
        <v>1194</v>
      </c>
      <c r="V1236" s="197">
        <v>-270.39008817209589</v>
      </c>
    </row>
    <row r="1237" spans="21:22">
      <c r="U1237">
        <v>1195</v>
      </c>
      <c r="V1237" s="197">
        <v>-1023.4881086182063</v>
      </c>
    </row>
    <row r="1238" spans="21:22">
      <c r="U1238">
        <v>1196</v>
      </c>
      <c r="V1238" s="197">
        <v>-333.0222882381106</v>
      </c>
    </row>
    <row r="1239" spans="21:22">
      <c r="U1239">
        <v>1197</v>
      </c>
      <c r="V1239" s="197">
        <v>620.64538959911874</v>
      </c>
    </row>
    <row r="1240" spans="21:22">
      <c r="U1240">
        <v>1198</v>
      </c>
      <c r="V1240" s="197">
        <v>820.15063458085456</v>
      </c>
    </row>
    <row r="1241" spans="21:22">
      <c r="U1241">
        <v>1199</v>
      </c>
      <c r="V1241" s="197">
        <v>-1091.2082772065489</v>
      </c>
    </row>
    <row r="1242" spans="21:22">
      <c r="U1242">
        <v>1200</v>
      </c>
      <c r="V1242" s="197">
        <v>-14.40797353730197</v>
      </c>
    </row>
    <row r="1243" spans="21:22">
      <c r="U1243">
        <v>1201</v>
      </c>
      <c r="V1243" s="197">
        <v>1089.0328949078892</v>
      </c>
    </row>
    <row r="1244" spans="21:22">
      <c r="U1244">
        <v>1202</v>
      </c>
      <c r="V1244" s="197">
        <v>-472.58109959766733</v>
      </c>
    </row>
    <row r="1245" spans="21:22">
      <c r="U1245">
        <v>1203</v>
      </c>
      <c r="V1245" s="197">
        <v>119.76693866673207</v>
      </c>
    </row>
    <row r="1246" spans="21:22">
      <c r="U1246">
        <v>1204</v>
      </c>
      <c r="V1246" s="197">
        <v>-458.13907815928002</v>
      </c>
    </row>
    <row r="1247" spans="21:22">
      <c r="U1247">
        <v>1205</v>
      </c>
      <c r="V1247" s="197">
        <v>-202.05078666547274</v>
      </c>
    </row>
    <row r="1248" spans="21:22">
      <c r="U1248">
        <v>1206</v>
      </c>
      <c r="V1248" s="197">
        <v>-153.44726100002438</v>
      </c>
    </row>
    <row r="1249" spans="21:22">
      <c r="U1249">
        <v>1207</v>
      </c>
      <c r="V1249" s="197">
        <v>-325.44257753471595</v>
      </c>
    </row>
    <row r="1250" spans="21:22">
      <c r="U1250">
        <v>1208</v>
      </c>
      <c r="V1250" s="197">
        <v>2745.2003645002451</v>
      </c>
    </row>
    <row r="1251" spans="21:22">
      <c r="U1251">
        <v>1209</v>
      </c>
      <c r="V1251" s="197">
        <v>-1225.8538624575581</v>
      </c>
    </row>
    <row r="1252" spans="21:22">
      <c r="U1252">
        <v>1210</v>
      </c>
      <c r="V1252" s="197">
        <v>814.13100049026934</v>
      </c>
    </row>
    <row r="1253" spans="21:22">
      <c r="U1253">
        <v>1211</v>
      </c>
      <c r="V1253" s="197">
        <v>-1069.6977800889736</v>
      </c>
    </row>
    <row r="1254" spans="21:22">
      <c r="U1254">
        <v>1212</v>
      </c>
      <c r="V1254" s="197">
        <v>533.64752268307507</v>
      </c>
    </row>
    <row r="1255" spans="21:22">
      <c r="U1255">
        <v>1213</v>
      </c>
      <c r="V1255" s="197">
        <v>789.44261699740423</v>
      </c>
    </row>
    <row r="1256" spans="21:22">
      <c r="U1256">
        <v>1214</v>
      </c>
      <c r="V1256" s="197">
        <v>-9.1906880781885434</v>
      </c>
    </row>
    <row r="1257" spans="21:22">
      <c r="U1257">
        <v>1215</v>
      </c>
      <c r="V1257" s="197">
        <v>-1447.1822797354312</v>
      </c>
    </row>
    <row r="1258" spans="21:22">
      <c r="U1258">
        <v>1216</v>
      </c>
      <c r="V1258" s="197">
        <v>105.78013281161378</v>
      </c>
    </row>
    <row r="1259" spans="21:22">
      <c r="U1259">
        <v>1217</v>
      </c>
      <c r="V1259" s="197">
        <v>649.55728838536129</v>
      </c>
    </row>
    <row r="1260" spans="21:22">
      <c r="U1260">
        <v>1218</v>
      </c>
      <c r="V1260" s="197">
        <v>1440.1566118163601</v>
      </c>
    </row>
    <row r="1261" spans="21:22">
      <c r="U1261">
        <v>1219</v>
      </c>
      <c r="V1261" s="197">
        <v>2315.0058387334179</v>
      </c>
    </row>
    <row r="1262" spans="21:22">
      <c r="U1262">
        <v>1220</v>
      </c>
      <c r="V1262" s="197">
        <v>-340.01382130029134</v>
      </c>
    </row>
    <row r="1263" spans="21:22">
      <c r="U1263">
        <v>1221</v>
      </c>
      <c r="V1263" s="197">
        <v>-825.61517572725097</v>
      </c>
    </row>
    <row r="1264" spans="21:22">
      <c r="U1264">
        <v>1222</v>
      </c>
      <c r="V1264" s="197">
        <v>291.082335932646</v>
      </c>
    </row>
    <row r="1265" spans="21:22">
      <c r="U1265">
        <v>1223</v>
      </c>
      <c r="V1265" s="197">
        <v>-645.19116687351629</v>
      </c>
    </row>
    <row r="1266" spans="21:22">
      <c r="U1266">
        <v>1224</v>
      </c>
      <c r="V1266" s="197">
        <v>439.78416722731185</v>
      </c>
    </row>
    <row r="1267" spans="21:22">
      <c r="U1267">
        <v>1225</v>
      </c>
      <c r="V1267" s="197">
        <v>-675.75658014388955</v>
      </c>
    </row>
    <row r="1268" spans="21:22">
      <c r="U1268">
        <v>1226</v>
      </c>
      <c r="V1268" s="197">
        <v>-884.16574871695229</v>
      </c>
    </row>
    <row r="1269" spans="21:22">
      <c r="U1269">
        <v>1227</v>
      </c>
      <c r="V1269" s="197">
        <v>-104.15357895881729</v>
      </c>
    </row>
    <row r="1270" spans="21:22">
      <c r="U1270">
        <v>1228</v>
      </c>
      <c r="V1270" s="197">
        <v>929.04552664092557</v>
      </c>
    </row>
    <row r="1271" spans="21:22">
      <c r="U1271">
        <v>1229</v>
      </c>
      <c r="V1271" s="197">
        <v>-1315.9797187647728</v>
      </c>
    </row>
    <row r="1272" spans="21:22">
      <c r="U1272">
        <v>1230</v>
      </c>
      <c r="V1272" s="197">
        <v>-974.47816745933574</v>
      </c>
    </row>
    <row r="1273" spans="21:22">
      <c r="U1273">
        <v>1231</v>
      </c>
      <c r="V1273" s="197">
        <v>1418.5060518587213</v>
      </c>
    </row>
    <row r="1274" spans="21:22">
      <c r="U1274">
        <v>1232</v>
      </c>
      <c r="V1274" s="197">
        <v>267.22944179822639</v>
      </c>
    </row>
    <row r="1275" spans="21:22">
      <c r="U1275">
        <v>1233</v>
      </c>
      <c r="V1275" s="197">
        <v>406.99129916396646</v>
      </c>
    </row>
    <row r="1276" spans="21:22">
      <c r="U1276">
        <v>1234</v>
      </c>
      <c r="V1276" s="197">
        <v>519.44841311094194</v>
      </c>
    </row>
    <row r="1277" spans="21:22">
      <c r="U1277">
        <v>1235</v>
      </c>
      <c r="V1277" s="197">
        <v>1383.2565039818603</v>
      </c>
    </row>
    <row r="1278" spans="21:22">
      <c r="U1278">
        <v>1236</v>
      </c>
      <c r="V1278" s="197">
        <v>-502.29043510195044</v>
      </c>
    </row>
    <row r="1279" spans="21:22">
      <c r="U1279">
        <v>1237</v>
      </c>
      <c r="V1279" s="197">
        <v>40.923104309220776</v>
      </c>
    </row>
    <row r="1280" spans="21:22">
      <c r="U1280">
        <v>1238</v>
      </c>
      <c r="V1280" s="197">
        <v>786.15013427054964</v>
      </c>
    </row>
    <row r="1281" spans="21:22">
      <c r="U1281">
        <v>1239</v>
      </c>
      <c r="V1281" s="197">
        <v>-1074.7073537936724</v>
      </c>
    </row>
    <row r="1282" spans="21:22">
      <c r="U1282">
        <v>1240</v>
      </c>
      <c r="V1282" s="197">
        <v>200.84226832702058</v>
      </c>
    </row>
    <row r="1283" spans="21:22">
      <c r="U1283">
        <v>1241</v>
      </c>
      <c r="V1283" s="197">
        <v>-158.64145890063122</v>
      </c>
    </row>
    <row r="1284" spans="21:22">
      <c r="U1284">
        <v>1242</v>
      </c>
      <c r="V1284" s="197">
        <v>879.56196295698942</v>
      </c>
    </row>
    <row r="1285" spans="21:22">
      <c r="U1285">
        <v>1243</v>
      </c>
      <c r="V1285" s="197">
        <v>835.84978986601163</v>
      </c>
    </row>
    <row r="1286" spans="21:22">
      <c r="U1286">
        <v>1244</v>
      </c>
      <c r="V1286" s="197">
        <v>619.38846027615682</v>
      </c>
    </row>
    <row r="1287" spans="21:22">
      <c r="U1287">
        <v>1245</v>
      </c>
      <c r="V1287" s="197">
        <v>864.55071119462946</v>
      </c>
    </row>
    <row r="1288" spans="21:22">
      <c r="U1288">
        <v>1246</v>
      </c>
      <c r="V1288" s="197">
        <v>-270.24642258593622</v>
      </c>
    </row>
    <row r="1289" spans="21:22">
      <c r="U1289">
        <v>1247</v>
      </c>
      <c r="V1289" s="197">
        <v>-273.90584456808659</v>
      </c>
    </row>
    <row r="1290" spans="21:22">
      <c r="U1290">
        <v>1248</v>
      </c>
      <c r="V1290" s="197">
        <v>-745.90810767985863</v>
      </c>
    </row>
    <row r="1291" spans="21:22">
      <c r="U1291">
        <v>1249</v>
      </c>
      <c r="V1291" s="197">
        <v>314.99899759182495</v>
      </c>
    </row>
    <row r="1292" spans="21:22">
      <c r="U1292">
        <v>1250</v>
      </c>
      <c r="V1292" s="197">
        <v>597.8297788658781</v>
      </c>
    </row>
    <row r="1293" spans="21:22">
      <c r="U1293">
        <v>1251</v>
      </c>
      <c r="V1293" s="197">
        <v>337.23088090738486</v>
      </c>
    </row>
    <row r="1294" spans="21:22">
      <c r="U1294">
        <v>1252</v>
      </c>
      <c r="V1294" s="197">
        <v>-1174.9549119669209</v>
      </c>
    </row>
    <row r="1295" spans="21:22">
      <c r="U1295">
        <v>1253</v>
      </c>
      <c r="V1295" s="197">
        <v>-833.89347187681392</v>
      </c>
    </row>
    <row r="1296" spans="21:22">
      <c r="U1296">
        <v>1254</v>
      </c>
      <c r="V1296" s="197">
        <v>130.56674383288373</v>
      </c>
    </row>
    <row r="1297" spans="21:22">
      <c r="U1297">
        <v>1255</v>
      </c>
      <c r="V1297" s="197">
        <v>-1661.1461188862547</v>
      </c>
    </row>
    <row r="1298" spans="21:22">
      <c r="U1298">
        <v>1256</v>
      </c>
      <c r="V1298" s="197">
        <v>595.21828628700314</v>
      </c>
    </row>
    <row r="1299" spans="21:22">
      <c r="U1299">
        <v>1257</v>
      </c>
      <c r="V1299" s="197">
        <v>379.23002596784374</v>
      </c>
    </row>
    <row r="1300" spans="21:22">
      <c r="U1300">
        <v>1258</v>
      </c>
      <c r="V1300" s="197">
        <v>1338.0238018008438</v>
      </c>
    </row>
    <row r="1301" spans="21:22">
      <c r="U1301">
        <v>1259</v>
      </c>
      <c r="V1301" s="197">
        <v>1273.5406020239127</v>
      </c>
    </row>
    <row r="1302" spans="21:22">
      <c r="U1302">
        <v>1260</v>
      </c>
      <c r="V1302" s="197">
        <v>-185.18410783191098</v>
      </c>
    </row>
    <row r="1303" spans="21:22">
      <c r="U1303">
        <v>1261</v>
      </c>
      <c r="V1303" s="197">
        <v>-117.59678423609296</v>
      </c>
    </row>
    <row r="1304" spans="21:22">
      <c r="U1304">
        <v>1262</v>
      </c>
      <c r="V1304" s="197">
        <v>694.03590339469611</v>
      </c>
    </row>
    <row r="1305" spans="21:22">
      <c r="U1305">
        <v>1263</v>
      </c>
      <c r="V1305" s="197">
        <v>653.39394559113043</v>
      </c>
    </row>
    <row r="1306" spans="21:22">
      <c r="U1306">
        <v>1264</v>
      </c>
      <c r="V1306" s="197">
        <v>-495.14873874242807</v>
      </c>
    </row>
    <row r="1307" spans="21:22">
      <c r="U1307">
        <v>1265</v>
      </c>
      <c r="V1307" s="197">
        <v>-1072.307315228144</v>
      </c>
    </row>
    <row r="1308" spans="21:22">
      <c r="U1308">
        <v>1266</v>
      </c>
      <c r="V1308" s="197">
        <v>346.96071441948686</v>
      </c>
    </row>
    <row r="1309" spans="21:22">
      <c r="U1309">
        <v>1267</v>
      </c>
      <c r="V1309" s="197">
        <v>-429.68030749750397</v>
      </c>
    </row>
    <row r="1310" spans="21:22">
      <c r="U1310">
        <v>1268</v>
      </c>
      <c r="V1310" s="197">
        <v>22.853682097912213</v>
      </c>
    </row>
    <row r="1311" spans="21:22">
      <c r="U1311">
        <v>1269</v>
      </c>
      <c r="V1311" s="197">
        <v>-149.23853036761597</v>
      </c>
    </row>
    <row r="1312" spans="21:22">
      <c r="U1312">
        <v>1270</v>
      </c>
      <c r="V1312" s="197">
        <v>480.11042470850145</v>
      </c>
    </row>
    <row r="1313" spans="21:22">
      <c r="U1313">
        <v>1271</v>
      </c>
      <c r="V1313" s="197">
        <v>-872.50142037705132</v>
      </c>
    </row>
    <row r="1314" spans="21:22">
      <c r="U1314">
        <v>1272</v>
      </c>
      <c r="V1314" s="197">
        <v>238.61700100928709</v>
      </c>
    </row>
    <row r="1315" spans="21:22">
      <c r="U1315">
        <v>1273</v>
      </c>
      <c r="V1315" s="197">
        <v>767.41763748935273</v>
      </c>
    </row>
    <row r="1316" spans="21:22">
      <c r="U1316">
        <v>1274</v>
      </c>
      <c r="V1316" s="197">
        <v>-2795.1895258812096</v>
      </c>
    </row>
    <row r="1317" spans="21:22">
      <c r="U1317">
        <v>1275</v>
      </c>
      <c r="V1317" s="197">
        <v>-1128.9663591448073</v>
      </c>
    </row>
    <row r="1318" spans="21:22">
      <c r="U1318">
        <v>1276</v>
      </c>
      <c r="V1318" s="197">
        <v>-431.49965344330013</v>
      </c>
    </row>
    <row r="1319" spans="21:22">
      <c r="U1319">
        <v>1277</v>
      </c>
      <c r="V1319" s="197">
        <v>1862.5755867903088</v>
      </c>
    </row>
    <row r="1320" spans="21:22">
      <c r="U1320">
        <v>1278</v>
      </c>
      <c r="V1320" s="197">
        <v>-53.511234863116329</v>
      </c>
    </row>
    <row r="1321" spans="21:22">
      <c r="U1321">
        <v>1279</v>
      </c>
      <c r="V1321" s="197">
        <v>-1534.9579780877418</v>
      </c>
    </row>
    <row r="1322" spans="21:22">
      <c r="U1322">
        <v>1280</v>
      </c>
      <c r="V1322" s="197">
        <v>406.07447857549704</v>
      </c>
    </row>
    <row r="1323" spans="21:22">
      <c r="U1323">
        <v>1281</v>
      </c>
      <c r="V1323" s="197">
        <v>-1150.9297523956639</v>
      </c>
    </row>
    <row r="1324" spans="21:22">
      <c r="U1324">
        <v>1282</v>
      </c>
      <c r="V1324" s="197">
        <v>-79.119692673149672</v>
      </c>
    </row>
    <row r="1325" spans="21:22">
      <c r="U1325">
        <v>1283</v>
      </c>
      <c r="V1325" s="197">
        <v>-601.09488578293758</v>
      </c>
    </row>
    <row r="1326" spans="21:22">
      <c r="U1326">
        <v>1284</v>
      </c>
      <c r="V1326" s="197">
        <v>-972.17028715252059</v>
      </c>
    </row>
    <row r="1327" spans="21:22">
      <c r="U1327">
        <v>1285</v>
      </c>
      <c r="V1327" s="197">
        <v>-989.25262976143881</v>
      </c>
    </row>
    <row r="1328" spans="21:22">
      <c r="U1328">
        <v>1286</v>
      </c>
      <c r="V1328" s="197">
        <v>478.17733257661718</v>
      </c>
    </row>
    <row r="1329" spans="21:22">
      <c r="U1329">
        <v>1287</v>
      </c>
      <c r="V1329" s="197">
        <v>2095.5588159392241</v>
      </c>
    </row>
    <row r="1330" spans="21:22">
      <c r="U1330">
        <v>1288</v>
      </c>
      <c r="V1330" s="197">
        <v>-988.89321936361307</v>
      </c>
    </row>
    <row r="1331" spans="21:22">
      <c r="U1331">
        <v>1289</v>
      </c>
      <c r="V1331" s="197">
        <v>-449.6738809029934</v>
      </c>
    </row>
    <row r="1332" spans="21:22">
      <c r="U1332">
        <v>1290</v>
      </c>
      <c r="V1332" s="197">
        <v>1596.5690726107434</v>
      </c>
    </row>
    <row r="1333" spans="21:22">
      <c r="U1333">
        <v>1291</v>
      </c>
      <c r="V1333" s="197">
        <v>749.84353826539132</v>
      </c>
    </row>
    <row r="1334" spans="21:22">
      <c r="U1334">
        <v>1292</v>
      </c>
      <c r="V1334" s="197">
        <v>1637.5693880917427</v>
      </c>
    </row>
    <row r="1335" spans="21:22">
      <c r="U1335">
        <v>1293</v>
      </c>
      <c r="V1335" s="197">
        <v>1216.9373342668198</v>
      </c>
    </row>
    <row r="1336" spans="21:22">
      <c r="U1336">
        <v>1294</v>
      </c>
      <c r="V1336" s="197">
        <v>1570.8027719147035</v>
      </c>
    </row>
    <row r="1337" spans="21:22">
      <c r="U1337">
        <v>1295</v>
      </c>
      <c r="V1337" s="197">
        <v>-605.28636091547855</v>
      </c>
    </row>
    <row r="1338" spans="21:22">
      <c r="U1338">
        <v>1296</v>
      </c>
      <c r="V1338" s="197">
        <v>742.64977882201606</v>
      </c>
    </row>
    <row r="1339" spans="21:22">
      <c r="U1339">
        <v>1297</v>
      </c>
      <c r="V1339" s="197">
        <v>1040.1248711507071</v>
      </c>
    </row>
    <row r="1340" spans="21:22">
      <c r="U1340">
        <v>1298</v>
      </c>
      <c r="V1340" s="197">
        <v>411.77244607386257</v>
      </c>
    </row>
    <row r="1341" spans="21:22">
      <c r="U1341">
        <v>1299</v>
      </c>
      <c r="V1341" s="197">
        <v>-586.56134832024986</v>
      </c>
    </row>
    <row r="1342" spans="21:22">
      <c r="U1342">
        <v>1300</v>
      </c>
      <c r="V1342" s="197">
        <v>371.06264316508214</v>
      </c>
    </row>
    <row r="1343" spans="21:22">
      <c r="U1343">
        <v>1301</v>
      </c>
      <c r="V1343" s="197">
        <v>359.08553879875876</v>
      </c>
    </row>
    <row r="1344" spans="21:22">
      <c r="U1344">
        <v>1302</v>
      </c>
      <c r="V1344" s="197">
        <v>-213.58455170122124</v>
      </c>
    </row>
    <row r="1345" spans="21:22">
      <c r="U1345">
        <v>1303</v>
      </c>
      <c r="V1345" s="197">
        <v>228.62676274211503</v>
      </c>
    </row>
    <row r="1346" spans="21:22">
      <c r="U1346">
        <v>1304</v>
      </c>
      <c r="V1346" s="197">
        <v>1722.4905536509864</v>
      </c>
    </row>
    <row r="1347" spans="21:22">
      <c r="U1347">
        <v>1305</v>
      </c>
      <c r="V1347" s="197">
        <v>-792.88695555290906</v>
      </c>
    </row>
    <row r="1348" spans="21:22">
      <c r="U1348">
        <v>1306</v>
      </c>
      <c r="V1348" s="197">
        <v>17.972960223606066</v>
      </c>
    </row>
    <row r="1349" spans="21:22">
      <c r="U1349">
        <v>1307</v>
      </c>
      <c r="V1349" s="197">
        <v>-26.591430176141714</v>
      </c>
    </row>
    <row r="1350" spans="21:22">
      <c r="U1350">
        <v>1308</v>
      </c>
      <c r="V1350" s="197">
        <v>-1560.799928812442</v>
      </c>
    </row>
    <row r="1351" spans="21:22">
      <c r="U1351">
        <v>1309</v>
      </c>
      <c r="V1351" s="197">
        <v>-723.63590375865783</v>
      </c>
    </row>
    <row r="1352" spans="21:22">
      <c r="U1352">
        <v>1310</v>
      </c>
      <c r="V1352" s="197">
        <v>1852.9416377865191</v>
      </c>
    </row>
    <row r="1353" spans="21:22">
      <c r="U1353">
        <v>1311</v>
      </c>
      <c r="V1353" s="197">
        <v>1948.076714346935</v>
      </c>
    </row>
    <row r="1354" spans="21:22">
      <c r="U1354">
        <v>1312</v>
      </c>
      <c r="V1354" s="197">
        <v>827.1270378278366</v>
      </c>
    </row>
    <row r="1355" spans="21:22">
      <c r="U1355">
        <v>1313</v>
      </c>
      <c r="V1355" s="197">
        <v>-775.50446568193706</v>
      </c>
    </row>
    <row r="1356" spans="21:22">
      <c r="U1356">
        <v>1314</v>
      </c>
      <c r="V1356" s="197">
        <v>419.078424494405</v>
      </c>
    </row>
    <row r="1357" spans="21:22">
      <c r="U1357">
        <v>1315</v>
      </c>
      <c r="V1357" s="197">
        <v>-1579.7419245715014</v>
      </c>
    </row>
    <row r="1358" spans="21:22">
      <c r="U1358">
        <v>1316</v>
      </c>
      <c r="V1358" s="197">
        <v>-2007.0368047870058</v>
      </c>
    </row>
    <row r="1359" spans="21:22">
      <c r="U1359">
        <v>1317</v>
      </c>
      <c r="V1359" s="197">
        <v>581.94079212444512</v>
      </c>
    </row>
    <row r="1360" spans="21:22">
      <c r="U1360">
        <v>1318</v>
      </c>
      <c r="V1360" s="197">
        <v>-731.53030883962901</v>
      </c>
    </row>
    <row r="1361" spans="21:22">
      <c r="U1361">
        <v>1319</v>
      </c>
      <c r="V1361" s="197">
        <v>3283.4506921540533</v>
      </c>
    </row>
    <row r="1362" spans="21:22">
      <c r="U1362">
        <v>1320</v>
      </c>
      <c r="V1362" s="197">
        <v>-766.98313276660497</v>
      </c>
    </row>
    <row r="1363" spans="21:22">
      <c r="U1363">
        <v>1321</v>
      </c>
      <c r="V1363" s="197">
        <v>-439.31643401255207</v>
      </c>
    </row>
    <row r="1364" spans="21:22">
      <c r="U1364">
        <v>1322</v>
      </c>
      <c r="V1364" s="197">
        <v>803.7150903666377</v>
      </c>
    </row>
    <row r="1365" spans="21:22">
      <c r="U1365">
        <v>1323</v>
      </c>
      <c r="V1365" s="197">
        <v>1626.8846682427784</v>
      </c>
    </row>
    <row r="1366" spans="21:22">
      <c r="U1366">
        <v>1324</v>
      </c>
      <c r="V1366" s="197">
        <v>1326.3141616789528</v>
      </c>
    </row>
    <row r="1367" spans="21:22">
      <c r="U1367">
        <v>1325</v>
      </c>
      <c r="V1367" s="197">
        <v>-718.67710840601899</v>
      </c>
    </row>
    <row r="1368" spans="21:22">
      <c r="U1368">
        <v>1326</v>
      </c>
      <c r="V1368" s="197">
        <v>466.00162610417993</v>
      </c>
    </row>
    <row r="1369" spans="21:22">
      <c r="U1369">
        <v>1327</v>
      </c>
      <c r="V1369" s="197">
        <v>-387.22702376934757</v>
      </c>
    </row>
    <row r="1370" spans="21:22">
      <c r="U1370">
        <v>1328</v>
      </c>
      <c r="V1370" s="197">
        <v>1183.3942854133479</v>
      </c>
    </row>
    <row r="1371" spans="21:22">
      <c r="U1371">
        <v>1329</v>
      </c>
      <c r="V1371" s="197">
        <v>-563.07719179000878</v>
      </c>
    </row>
    <row r="1372" spans="21:22">
      <c r="U1372">
        <v>1330</v>
      </c>
      <c r="V1372" s="197">
        <v>739.67434619162009</v>
      </c>
    </row>
    <row r="1373" spans="21:22">
      <c r="U1373">
        <v>1331</v>
      </c>
      <c r="V1373" s="197">
        <v>-2641.7066245128549</v>
      </c>
    </row>
    <row r="1374" spans="21:22">
      <c r="U1374">
        <v>1332</v>
      </c>
      <c r="V1374" s="197">
        <v>-172.40112292571808</v>
      </c>
    </row>
    <row r="1375" spans="21:22">
      <c r="U1375">
        <v>1333</v>
      </c>
      <c r="V1375" s="197">
        <v>574.13754444870676</v>
      </c>
    </row>
    <row r="1376" spans="21:22">
      <c r="U1376">
        <v>1334</v>
      </c>
      <c r="V1376" s="197">
        <v>-385.66367110591085</v>
      </c>
    </row>
    <row r="1377" spans="21:22">
      <c r="U1377">
        <v>1335</v>
      </c>
      <c r="V1377" s="197">
        <v>-31.681791028930064</v>
      </c>
    </row>
    <row r="1378" spans="21:22">
      <c r="U1378">
        <v>1336</v>
      </c>
      <c r="V1378" s="197">
        <v>-118.82923726051075</v>
      </c>
    </row>
    <row r="1379" spans="21:22">
      <c r="U1379">
        <v>1337</v>
      </c>
      <c r="V1379" s="197">
        <v>674.54363564701976</v>
      </c>
    </row>
    <row r="1380" spans="21:22">
      <c r="U1380">
        <v>1338</v>
      </c>
      <c r="V1380" s="197">
        <v>-726.10737910716648</v>
      </c>
    </row>
    <row r="1381" spans="21:22">
      <c r="U1381">
        <v>1339</v>
      </c>
      <c r="V1381" s="197">
        <v>-936.97022615125911</v>
      </c>
    </row>
    <row r="1382" spans="21:22">
      <c r="U1382">
        <v>1340</v>
      </c>
      <c r="V1382" s="197">
        <v>618.70620469161349</v>
      </c>
    </row>
    <row r="1383" spans="21:22">
      <c r="U1383">
        <v>1341</v>
      </c>
      <c r="V1383" s="197">
        <v>1269.3528173700647</v>
      </c>
    </row>
    <row r="1384" spans="21:22">
      <c r="U1384">
        <v>1342</v>
      </c>
      <c r="V1384" s="197">
        <v>-1.8599408818867431</v>
      </c>
    </row>
    <row r="1385" spans="21:22">
      <c r="U1385">
        <v>1343</v>
      </c>
      <c r="V1385" s="197">
        <v>-2659.9571311793134</v>
      </c>
    </row>
    <row r="1386" spans="21:22">
      <c r="U1386">
        <v>1344</v>
      </c>
      <c r="V1386" s="197">
        <v>-468.68080426137152</v>
      </c>
    </row>
    <row r="1387" spans="21:22">
      <c r="U1387">
        <v>1345</v>
      </c>
      <c r="V1387" s="197">
        <v>-951.84283445050119</v>
      </c>
    </row>
    <row r="1388" spans="21:22">
      <c r="U1388">
        <v>1346</v>
      </c>
      <c r="V1388" s="197">
        <v>749.33228583893242</v>
      </c>
    </row>
    <row r="1389" spans="21:22">
      <c r="U1389">
        <v>1347</v>
      </c>
      <c r="V1389" s="197">
        <v>2075.0957097745445</v>
      </c>
    </row>
    <row r="1390" spans="21:22">
      <c r="U1390">
        <v>1348</v>
      </c>
      <c r="V1390" s="197">
        <v>679.59962059788404</v>
      </c>
    </row>
    <row r="1391" spans="21:22">
      <c r="U1391">
        <v>1349</v>
      </c>
      <c r="V1391" s="197">
        <v>30.337993846957986</v>
      </c>
    </row>
    <row r="1392" spans="21:22">
      <c r="U1392">
        <v>1350</v>
      </c>
      <c r="V1392" s="197">
        <v>584.81983017933976</v>
      </c>
    </row>
    <row r="1393" spans="21:22">
      <c r="U1393">
        <v>1351</v>
      </c>
      <c r="V1393" s="197">
        <v>-131.07641244047923</v>
      </c>
    </row>
    <row r="1394" spans="21:22">
      <c r="U1394">
        <v>1352</v>
      </c>
      <c r="V1394" s="197">
        <v>-646.88006393982823</v>
      </c>
    </row>
    <row r="1395" spans="21:22">
      <c r="U1395">
        <v>1353</v>
      </c>
      <c r="V1395" s="197">
        <v>1113.4679540675518</v>
      </c>
    </row>
    <row r="1396" spans="21:22">
      <c r="U1396">
        <v>1354</v>
      </c>
      <c r="V1396" s="197">
        <v>137.94265430599555</v>
      </c>
    </row>
    <row r="1397" spans="21:22">
      <c r="U1397">
        <v>1355</v>
      </c>
      <c r="V1397" s="197">
        <v>1299.8056986814565</v>
      </c>
    </row>
    <row r="1398" spans="21:22">
      <c r="U1398">
        <v>1356</v>
      </c>
      <c r="V1398" s="197">
        <v>-280.16245380189804</v>
      </c>
    </row>
    <row r="1399" spans="21:22">
      <c r="U1399">
        <v>1357</v>
      </c>
      <c r="V1399" s="197">
        <v>-1636.97391175908</v>
      </c>
    </row>
    <row r="1400" spans="21:22">
      <c r="U1400">
        <v>1358</v>
      </c>
      <c r="V1400" s="197">
        <v>934.06891512092989</v>
      </c>
    </row>
    <row r="1401" spans="21:22">
      <c r="U1401">
        <v>1359</v>
      </c>
      <c r="V1401" s="197">
        <v>1063.6279237401493</v>
      </c>
    </row>
    <row r="1402" spans="21:22">
      <c r="U1402">
        <v>1360</v>
      </c>
      <c r="V1402" s="197">
        <v>-493.06383141396333</v>
      </c>
    </row>
    <row r="1403" spans="21:22">
      <c r="U1403">
        <v>1361</v>
      </c>
      <c r="V1403" s="197">
        <v>357.07263476122239</v>
      </c>
    </row>
    <row r="1404" spans="21:22">
      <c r="U1404">
        <v>1362</v>
      </c>
      <c r="V1404" s="197">
        <v>-371.7436130773811</v>
      </c>
    </row>
    <row r="1405" spans="21:22">
      <c r="U1405">
        <v>1363</v>
      </c>
      <c r="V1405" s="197">
        <v>458.73251126728178</v>
      </c>
    </row>
    <row r="1406" spans="21:22">
      <c r="U1406">
        <v>1364</v>
      </c>
      <c r="V1406" s="197">
        <v>231.79966837296178</v>
      </c>
    </row>
    <row r="1407" spans="21:22">
      <c r="U1407">
        <v>1365</v>
      </c>
      <c r="V1407" s="197">
        <v>103.63211107775939</v>
      </c>
    </row>
    <row r="1408" spans="21:22">
      <c r="U1408">
        <v>1366</v>
      </c>
      <c r="V1408" s="197">
        <v>18.055858450832702</v>
      </c>
    </row>
    <row r="1409" spans="21:22">
      <c r="U1409">
        <v>1367</v>
      </c>
      <c r="V1409" s="197">
        <v>2606.3463480878968</v>
      </c>
    </row>
    <row r="1410" spans="21:22">
      <c r="U1410">
        <v>1368</v>
      </c>
      <c r="V1410" s="197">
        <v>863.0053602563712</v>
      </c>
    </row>
    <row r="1411" spans="21:22">
      <c r="U1411">
        <v>1369</v>
      </c>
      <c r="V1411" s="197">
        <v>645.00451869311019</v>
      </c>
    </row>
    <row r="1412" spans="21:22">
      <c r="U1412">
        <v>1370</v>
      </c>
      <c r="V1412" s="197">
        <v>-254.85045731645596</v>
      </c>
    </row>
    <row r="1413" spans="21:22">
      <c r="U1413">
        <v>1371</v>
      </c>
      <c r="V1413" s="197">
        <v>-2482.1941222852911</v>
      </c>
    </row>
    <row r="1414" spans="21:22">
      <c r="U1414">
        <v>1372</v>
      </c>
      <c r="V1414" s="197">
        <v>63.765509105985132</v>
      </c>
    </row>
    <row r="1415" spans="21:22">
      <c r="U1415">
        <v>1373</v>
      </c>
      <c r="V1415" s="197">
        <v>-622.0361168021127</v>
      </c>
    </row>
    <row r="1416" spans="21:22">
      <c r="U1416">
        <v>1374</v>
      </c>
      <c r="V1416" s="197">
        <v>482.14061192884753</v>
      </c>
    </row>
    <row r="1417" spans="21:22">
      <c r="U1417">
        <v>1375</v>
      </c>
      <c r="V1417" s="197">
        <v>665.45898844850217</v>
      </c>
    </row>
    <row r="1418" spans="21:22">
      <c r="U1418">
        <v>1376</v>
      </c>
      <c r="V1418" s="197">
        <v>554.14370561840724</v>
      </c>
    </row>
    <row r="1419" spans="21:22">
      <c r="U1419">
        <v>1377</v>
      </c>
      <c r="V1419" s="197">
        <v>824.39250880901682</v>
      </c>
    </row>
    <row r="1420" spans="21:22">
      <c r="U1420">
        <v>1378</v>
      </c>
      <c r="V1420" s="197">
        <v>-1020.2406169573098</v>
      </c>
    </row>
    <row r="1421" spans="21:22">
      <c r="U1421">
        <v>1379</v>
      </c>
      <c r="V1421" s="197">
        <v>190.75380616989099</v>
      </c>
    </row>
    <row r="1422" spans="21:22">
      <c r="U1422">
        <v>1380</v>
      </c>
      <c r="V1422" s="197">
        <v>1750.3082278683953</v>
      </c>
    </row>
    <row r="1423" spans="21:22">
      <c r="U1423">
        <v>1381</v>
      </c>
      <c r="V1423" s="197">
        <v>1575.5963511898256</v>
      </c>
    </row>
    <row r="1424" spans="21:22">
      <c r="U1424">
        <v>1382</v>
      </c>
      <c r="V1424" s="197">
        <v>-564.95698716243282</v>
      </c>
    </row>
    <row r="1425" spans="21:22">
      <c r="U1425">
        <v>1383</v>
      </c>
      <c r="V1425" s="197">
        <v>-12.78800301958681</v>
      </c>
    </row>
    <row r="1426" spans="21:22">
      <c r="U1426">
        <v>1384</v>
      </c>
      <c r="V1426" s="197">
        <v>163.23073715556529</v>
      </c>
    </row>
    <row r="1427" spans="21:22">
      <c r="U1427">
        <v>1385</v>
      </c>
      <c r="V1427" s="197">
        <v>779.17812861293896</v>
      </c>
    </row>
    <row r="1428" spans="21:22">
      <c r="U1428">
        <v>1386</v>
      </c>
      <c r="V1428" s="197">
        <v>-991.85371208026618</v>
      </c>
    </row>
    <row r="1429" spans="21:22">
      <c r="U1429">
        <v>1387</v>
      </c>
      <c r="V1429" s="197">
        <v>131.72305705675683</v>
      </c>
    </row>
    <row r="1430" spans="21:22">
      <c r="U1430">
        <v>1388</v>
      </c>
      <c r="V1430" s="197">
        <v>499.90390564661959</v>
      </c>
    </row>
    <row r="1431" spans="21:22">
      <c r="U1431">
        <v>1389</v>
      </c>
      <c r="V1431" s="197">
        <v>513.09657922660654</v>
      </c>
    </row>
    <row r="1432" spans="21:22">
      <c r="U1432">
        <v>1390</v>
      </c>
      <c r="V1432" s="197">
        <v>-497.79079208021807</v>
      </c>
    </row>
    <row r="1433" spans="21:22">
      <c r="U1433">
        <v>1391</v>
      </c>
      <c r="V1433" s="197">
        <v>134.71880854509533</v>
      </c>
    </row>
    <row r="1434" spans="21:22">
      <c r="U1434">
        <v>1392</v>
      </c>
      <c r="V1434" s="197">
        <v>1743.9530729826374</v>
      </c>
    </row>
    <row r="1435" spans="21:22">
      <c r="U1435">
        <v>1393</v>
      </c>
      <c r="V1435" s="197">
        <v>-286.94726157055862</v>
      </c>
    </row>
    <row r="1436" spans="21:22">
      <c r="U1436">
        <v>1394</v>
      </c>
      <c r="V1436" s="197">
        <v>605.89318849040217</v>
      </c>
    </row>
    <row r="1437" spans="21:22">
      <c r="U1437">
        <v>1395</v>
      </c>
      <c r="V1437" s="197">
        <v>-2019.6079118161549</v>
      </c>
    </row>
    <row r="1438" spans="21:22">
      <c r="U1438">
        <v>1396</v>
      </c>
      <c r="V1438" s="197">
        <v>193.68537879308272</v>
      </c>
    </row>
    <row r="1439" spans="21:22">
      <c r="U1439">
        <v>1397</v>
      </c>
      <c r="V1439" s="197">
        <v>-693.19839739903546</v>
      </c>
    </row>
    <row r="1440" spans="21:22">
      <c r="U1440">
        <v>1398</v>
      </c>
      <c r="V1440" s="197">
        <v>-155.9205857752701</v>
      </c>
    </row>
    <row r="1441" spans="21:22">
      <c r="U1441">
        <v>1399</v>
      </c>
      <c r="V1441" s="197">
        <v>1841.2199101728024</v>
      </c>
    </row>
    <row r="1442" spans="21:22">
      <c r="U1442">
        <v>1400</v>
      </c>
      <c r="V1442" s="197">
        <v>644.08573806655363</v>
      </c>
    </row>
    <row r="1443" spans="21:22">
      <c r="U1443">
        <v>1401</v>
      </c>
      <c r="V1443" s="197">
        <v>-1464.9355232143701</v>
      </c>
    </row>
    <row r="1444" spans="21:22">
      <c r="U1444">
        <v>1402</v>
      </c>
      <c r="V1444" s="197">
        <v>414.14151188311831</v>
      </c>
    </row>
    <row r="1445" spans="21:22">
      <c r="U1445">
        <v>1403</v>
      </c>
      <c r="V1445" s="197">
        <v>-1719.2120156224235</v>
      </c>
    </row>
    <row r="1446" spans="21:22">
      <c r="U1446">
        <v>1404</v>
      </c>
      <c r="V1446" s="197">
        <v>594.76111121030817</v>
      </c>
    </row>
    <row r="1447" spans="21:22">
      <c r="U1447">
        <v>1405</v>
      </c>
      <c r="V1447" s="197">
        <v>-671.97017529793857</v>
      </c>
    </row>
    <row r="1448" spans="21:22">
      <c r="U1448">
        <v>1406</v>
      </c>
      <c r="V1448" s="197">
        <v>-551.52296658300111</v>
      </c>
    </row>
    <row r="1449" spans="21:22">
      <c r="U1449">
        <v>1407</v>
      </c>
      <c r="V1449" s="197">
        <v>856.26373149951314</v>
      </c>
    </row>
    <row r="1450" spans="21:22">
      <c r="U1450">
        <v>1408</v>
      </c>
      <c r="V1450" s="197">
        <v>-1468.606752182176</v>
      </c>
    </row>
    <row r="1451" spans="21:22">
      <c r="U1451">
        <v>1409</v>
      </c>
      <c r="V1451" s="197">
        <v>262.18917742099796</v>
      </c>
    </row>
    <row r="1452" spans="21:22">
      <c r="U1452">
        <v>1410</v>
      </c>
      <c r="V1452" s="197">
        <v>1149.6273520081529</v>
      </c>
    </row>
    <row r="1453" spans="21:22">
      <c r="U1453">
        <v>1411</v>
      </c>
      <c r="V1453" s="197">
        <v>-1668.6683933091715</v>
      </c>
    </row>
    <row r="1454" spans="21:22">
      <c r="U1454">
        <v>1412</v>
      </c>
      <c r="V1454" s="197">
        <v>960.31229926901619</v>
      </c>
    </row>
    <row r="1455" spans="21:22">
      <c r="U1455">
        <v>1413</v>
      </c>
      <c r="V1455" s="197">
        <v>939.81563242944549</v>
      </c>
    </row>
    <row r="1456" spans="21:22">
      <c r="U1456">
        <v>1414</v>
      </c>
      <c r="V1456" s="197">
        <v>-1001.4965443909425</v>
      </c>
    </row>
    <row r="1457" spans="21:22">
      <c r="U1457">
        <v>1415</v>
      </c>
      <c r="V1457" s="197">
        <v>-299.90571768347513</v>
      </c>
    </row>
    <row r="1458" spans="21:22">
      <c r="U1458">
        <v>1416</v>
      </c>
      <c r="V1458" s="197">
        <v>480.45495552038938</v>
      </c>
    </row>
    <row r="1459" spans="21:22">
      <c r="U1459">
        <v>1417</v>
      </c>
      <c r="V1459" s="197">
        <v>1754.1300367902331</v>
      </c>
    </row>
    <row r="1460" spans="21:22">
      <c r="U1460">
        <v>1418</v>
      </c>
      <c r="V1460" s="197">
        <v>1795.0593171779392</v>
      </c>
    </row>
    <row r="1461" spans="21:22">
      <c r="U1461">
        <v>1419</v>
      </c>
      <c r="V1461" s="197">
        <v>-203.40883438053868</v>
      </c>
    </row>
    <row r="1462" spans="21:22">
      <c r="U1462">
        <v>1420</v>
      </c>
      <c r="V1462" s="197">
        <v>193.72309120215692</v>
      </c>
    </row>
    <row r="1463" spans="21:22">
      <c r="U1463">
        <v>1421</v>
      </c>
      <c r="V1463" s="197">
        <v>-450.96196904547168</v>
      </c>
    </row>
    <row r="1464" spans="21:22">
      <c r="U1464">
        <v>1422</v>
      </c>
      <c r="V1464" s="197">
        <v>1096.1073641343719</v>
      </c>
    </row>
    <row r="1465" spans="21:22">
      <c r="U1465">
        <v>1423</v>
      </c>
      <c r="V1465" s="197">
        <v>-168.59454592425061</v>
      </c>
    </row>
    <row r="1466" spans="21:22">
      <c r="U1466">
        <v>1424</v>
      </c>
      <c r="V1466" s="197">
        <v>-7.5935408040163566</v>
      </c>
    </row>
    <row r="1467" spans="21:22">
      <c r="U1467">
        <v>1425</v>
      </c>
      <c r="V1467" s="197">
        <v>338.71036623045222</v>
      </c>
    </row>
    <row r="1468" spans="21:22">
      <c r="U1468">
        <v>1426</v>
      </c>
      <c r="V1468" s="197">
        <v>-571.86419707225014</v>
      </c>
    </row>
    <row r="1469" spans="21:22">
      <c r="U1469">
        <v>1427</v>
      </c>
      <c r="V1469" s="197">
        <v>911.87726735613796</v>
      </c>
    </row>
    <row r="1470" spans="21:22">
      <c r="U1470">
        <v>1428</v>
      </c>
      <c r="V1470" s="197">
        <v>-702.63285788374696</v>
      </c>
    </row>
    <row r="1471" spans="21:22">
      <c r="U1471">
        <v>1429</v>
      </c>
      <c r="V1471" s="197">
        <v>-71.088045904901946</v>
      </c>
    </row>
    <row r="1472" spans="21:22">
      <c r="U1472">
        <v>1430</v>
      </c>
      <c r="V1472" s="197">
        <v>-886.01682285848301</v>
      </c>
    </row>
    <row r="1473" spans="21:22">
      <c r="U1473">
        <v>1431</v>
      </c>
      <c r="V1473" s="197">
        <v>48.391776482163301</v>
      </c>
    </row>
    <row r="1474" spans="21:22">
      <c r="U1474">
        <v>1432</v>
      </c>
      <c r="V1474" s="197">
        <v>-126.2416636158984</v>
      </c>
    </row>
    <row r="1475" spans="21:22">
      <c r="U1475">
        <v>1433</v>
      </c>
      <c r="V1475" s="197">
        <v>857.57423018957638</v>
      </c>
    </row>
    <row r="1476" spans="21:22">
      <c r="U1476">
        <v>1434</v>
      </c>
      <c r="V1476" s="197">
        <v>-1155.7685541962653</v>
      </c>
    </row>
    <row r="1477" spans="21:22">
      <c r="U1477">
        <v>1435</v>
      </c>
      <c r="V1477" s="197">
        <v>441.24024744392818</v>
      </c>
    </row>
    <row r="1478" spans="21:22">
      <c r="U1478">
        <v>1436</v>
      </c>
      <c r="V1478" s="197">
        <v>-1142.2408876746226</v>
      </c>
    </row>
    <row r="1479" spans="21:22">
      <c r="U1479">
        <v>1437</v>
      </c>
      <c r="V1479" s="197">
        <v>-95.480650066015045</v>
      </c>
    </row>
    <row r="1480" spans="21:22">
      <c r="U1480">
        <v>1438</v>
      </c>
      <c r="V1480" s="197">
        <v>-1938.1408189927658</v>
      </c>
    </row>
    <row r="1481" spans="21:22">
      <c r="U1481">
        <v>1439</v>
      </c>
      <c r="V1481" s="197">
        <v>-470.6539630960645</v>
      </c>
    </row>
    <row r="1482" spans="21:22">
      <c r="U1482">
        <v>1440</v>
      </c>
      <c r="V1482" s="197">
        <v>-240.69730306331212</v>
      </c>
    </row>
    <row r="1483" spans="21:22">
      <c r="U1483">
        <v>1441</v>
      </c>
      <c r="V1483" s="197">
        <v>779.44173398130692</v>
      </c>
    </row>
    <row r="1484" spans="21:22">
      <c r="U1484">
        <v>1442</v>
      </c>
      <c r="V1484" s="197">
        <v>1494.1281134713477</v>
      </c>
    </row>
    <row r="1485" spans="21:22">
      <c r="U1485">
        <v>1443</v>
      </c>
      <c r="V1485" s="197">
        <v>186.28618567392311</v>
      </c>
    </row>
    <row r="1486" spans="21:22">
      <c r="U1486">
        <v>1444</v>
      </c>
      <c r="V1486" s="197">
        <v>218.11399289412572</v>
      </c>
    </row>
    <row r="1487" spans="21:22">
      <c r="U1487">
        <v>1445</v>
      </c>
      <c r="V1487" s="197">
        <v>174.79763923320309</v>
      </c>
    </row>
    <row r="1488" spans="21:22">
      <c r="U1488">
        <v>1446</v>
      </c>
      <c r="V1488" s="197">
        <v>-822.0782668044817</v>
      </c>
    </row>
    <row r="1489" spans="21:22">
      <c r="U1489">
        <v>1447</v>
      </c>
      <c r="V1489" s="197">
        <v>419.86422776897916</v>
      </c>
    </row>
    <row r="1490" spans="21:22">
      <c r="U1490">
        <v>1448</v>
      </c>
      <c r="V1490" s="197">
        <v>-746.40868206825166</v>
      </c>
    </row>
    <row r="1491" spans="21:22">
      <c r="U1491">
        <v>1449</v>
      </c>
      <c r="V1491" s="197">
        <v>966.24095345019327</v>
      </c>
    </row>
    <row r="1492" spans="21:22">
      <c r="U1492">
        <v>1450</v>
      </c>
      <c r="V1492" s="197">
        <v>973.70567743966262</v>
      </c>
    </row>
    <row r="1493" spans="21:22">
      <c r="U1493">
        <v>1451</v>
      </c>
      <c r="V1493" s="197">
        <v>682.05550073337167</v>
      </c>
    </row>
    <row r="1494" spans="21:22">
      <c r="U1494">
        <v>1452</v>
      </c>
      <c r="V1494" s="197">
        <v>150.59350135263969</v>
      </c>
    </row>
    <row r="1495" spans="21:22">
      <c r="U1495">
        <v>1453</v>
      </c>
      <c r="V1495" s="197">
        <v>-967.25193145362186</v>
      </c>
    </row>
    <row r="1496" spans="21:22">
      <c r="U1496">
        <v>1454</v>
      </c>
      <c r="V1496" s="197">
        <v>-855.8915615776466</v>
      </c>
    </row>
    <row r="1497" spans="21:22">
      <c r="U1497">
        <v>1455</v>
      </c>
      <c r="V1497" s="197">
        <v>171.08263927563547</v>
      </c>
    </row>
    <row r="1498" spans="21:22">
      <c r="U1498">
        <v>1456</v>
      </c>
      <c r="V1498" s="197">
        <v>-549.09185621256097</v>
      </c>
    </row>
    <row r="1499" spans="21:22">
      <c r="U1499">
        <v>1457</v>
      </c>
      <c r="V1499" s="197">
        <v>-930.84096085310239</v>
      </c>
    </row>
    <row r="1500" spans="21:22">
      <c r="U1500">
        <v>1458</v>
      </c>
      <c r="V1500" s="197">
        <v>-868.38826713846106</v>
      </c>
    </row>
    <row r="1501" spans="21:22">
      <c r="U1501">
        <v>1459</v>
      </c>
      <c r="V1501" s="197">
        <v>-1370.2238096051055</v>
      </c>
    </row>
    <row r="1502" spans="21:22">
      <c r="U1502">
        <v>1460</v>
      </c>
      <c r="V1502" s="197">
        <v>-1260.4896212093724</v>
      </c>
    </row>
    <row r="1503" spans="21:22">
      <c r="U1503">
        <v>1461</v>
      </c>
      <c r="V1503" s="197">
        <v>-1612.6727367978208</v>
      </c>
    </row>
    <row r="1504" spans="21:22">
      <c r="U1504">
        <v>1462</v>
      </c>
      <c r="V1504" s="197">
        <v>783.82316088683024</v>
      </c>
    </row>
    <row r="1505" spans="21:22">
      <c r="U1505">
        <v>1463</v>
      </c>
      <c r="V1505" s="197">
        <v>18.91243264235122</v>
      </c>
    </row>
    <row r="1506" spans="21:22">
      <c r="U1506">
        <v>1464</v>
      </c>
      <c r="V1506" s="197">
        <v>-1958.378850555913</v>
      </c>
    </row>
    <row r="1507" spans="21:22">
      <c r="U1507">
        <v>1465</v>
      </c>
      <c r="V1507" s="197">
        <v>-554.67495850877003</v>
      </c>
    </row>
    <row r="1508" spans="21:22">
      <c r="U1508">
        <v>1466</v>
      </c>
      <c r="V1508" s="197">
        <v>-348.03390200150398</v>
      </c>
    </row>
    <row r="1509" spans="21:22">
      <c r="U1509">
        <v>1467</v>
      </c>
      <c r="V1509" s="197">
        <v>-984.88360953516872</v>
      </c>
    </row>
    <row r="1510" spans="21:22">
      <c r="U1510">
        <v>1468</v>
      </c>
      <c r="V1510" s="197">
        <v>-334.53968394231993</v>
      </c>
    </row>
    <row r="1511" spans="21:22">
      <c r="U1511">
        <v>1469</v>
      </c>
      <c r="V1511" s="197">
        <v>-939.21068473262972</v>
      </c>
    </row>
    <row r="1512" spans="21:22">
      <c r="U1512">
        <v>1470</v>
      </c>
      <c r="V1512" s="197">
        <v>1608.9156184103092</v>
      </c>
    </row>
    <row r="1513" spans="21:22">
      <c r="U1513">
        <v>1471</v>
      </c>
      <c r="V1513" s="197">
        <v>810.49023622313052</v>
      </c>
    </row>
    <row r="1514" spans="21:22">
      <c r="U1514">
        <v>1472</v>
      </c>
      <c r="V1514" s="197">
        <v>1792.611960720885</v>
      </c>
    </row>
    <row r="1515" spans="21:22">
      <c r="U1515">
        <v>1473</v>
      </c>
      <c r="V1515" s="197">
        <v>1245.0810418365622</v>
      </c>
    </row>
    <row r="1516" spans="21:22">
      <c r="U1516">
        <v>1474</v>
      </c>
      <c r="V1516" s="197">
        <v>-1938.0863765063646</v>
      </c>
    </row>
    <row r="1517" spans="21:22">
      <c r="U1517">
        <v>1475</v>
      </c>
      <c r="V1517" s="197">
        <v>-1596.735199268518</v>
      </c>
    </row>
    <row r="1518" spans="21:22">
      <c r="U1518">
        <v>1476</v>
      </c>
      <c r="V1518" s="197">
        <v>314.39220040798295</v>
      </c>
    </row>
    <row r="1519" spans="21:22">
      <c r="U1519">
        <v>1477</v>
      </c>
      <c r="V1519" s="197">
        <v>-1208.1115723665407</v>
      </c>
    </row>
    <row r="1520" spans="21:22">
      <c r="U1520">
        <v>1478</v>
      </c>
      <c r="V1520" s="197">
        <v>1699.9119784471497</v>
      </c>
    </row>
    <row r="1521" spans="21:22">
      <c r="U1521">
        <v>1479</v>
      </c>
      <c r="V1521" s="197">
        <v>1637.6321850494214</v>
      </c>
    </row>
    <row r="1522" spans="21:22">
      <c r="U1522">
        <v>1480</v>
      </c>
      <c r="V1522" s="197">
        <v>1295.6159276008582</v>
      </c>
    </row>
    <row r="1523" spans="21:22">
      <c r="U1523">
        <v>1481</v>
      </c>
      <c r="V1523" s="197">
        <v>-307.82173714582717</v>
      </c>
    </row>
    <row r="1524" spans="21:22">
      <c r="U1524">
        <v>1482</v>
      </c>
      <c r="V1524" s="197">
        <v>-196.8822707414169</v>
      </c>
    </row>
    <row r="1525" spans="21:22">
      <c r="U1525">
        <v>1483</v>
      </c>
      <c r="V1525" s="197">
        <v>-98.670645185237532</v>
      </c>
    </row>
    <row r="1526" spans="21:22">
      <c r="U1526">
        <v>1484</v>
      </c>
      <c r="V1526" s="197">
        <v>862.45662469111699</v>
      </c>
    </row>
    <row r="1527" spans="21:22">
      <c r="U1527">
        <v>1485</v>
      </c>
      <c r="V1527" s="197">
        <v>874.64160657760294</v>
      </c>
    </row>
    <row r="1528" spans="21:22">
      <c r="U1528">
        <v>1486</v>
      </c>
      <c r="V1528" s="197">
        <v>1049.4895690236679</v>
      </c>
    </row>
    <row r="1529" spans="21:22">
      <c r="U1529">
        <v>1487</v>
      </c>
      <c r="V1529" s="197">
        <v>2036.7574569624492</v>
      </c>
    </row>
    <row r="1530" spans="21:22">
      <c r="U1530">
        <v>1488</v>
      </c>
      <c r="V1530" s="197">
        <v>-182.37296114981643</v>
      </c>
    </row>
    <row r="1531" spans="21:22">
      <c r="U1531">
        <v>1489</v>
      </c>
      <c r="V1531" s="197">
        <v>679.70541964446215</v>
      </c>
    </row>
    <row r="1532" spans="21:22">
      <c r="U1532">
        <v>1490</v>
      </c>
      <c r="V1532" s="197">
        <v>651.02221481227025</v>
      </c>
    </row>
    <row r="1533" spans="21:22">
      <c r="U1533">
        <v>1491</v>
      </c>
      <c r="V1533" s="197">
        <v>-2454.5874667516941</v>
      </c>
    </row>
    <row r="1534" spans="21:22">
      <c r="U1534">
        <v>1492</v>
      </c>
      <c r="V1534" s="197">
        <v>-462.818192260015</v>
      </c>
    </row>
    <row r="1535" spans="21:22">
      <c r="U1535">
        <v>1493</v>
      </c>
      <c r="V1535" s="197">
        <v>-480.95197088563776</v>
      </c>
    </row>
    <row r="1536" spans="21:22">
      <c r="U1536">
        <v>1494</v>
      </c>
      <c r="V1536" s="197">
        <v>-2243.4790555114014</v>
      </c>
    </row>
    <row r="1537" spans="21:22">
      <c r="U1537">
        <v>1495</v>
      </c>
      <c r="V1537" s="197">
        <v>-118.13235815113666</v>
      </c>
    </row>
    <row r="1538" spans="21:22">
      <c r="U1538">
        <v>1496</v>
      </c>
      <c r="V1538" s="197">
        <v>-482.03424916703233</v>
      </c>
    </row>
    <row r="1539" spans="21:22">
      <c r="U1539">
        <v>1497</v>
      </c>
      <c r="V1539" s="197">
        <v>694.89966135788086</v>
      </c>
    </row>
    <row r="1540" spans="21:22">
      <c r="U1540">
        <v>1498</v>
      </c>
      <c r="V1540" s="197">
        <v>1754.0783793054613</v>
      </c>
    </row>
    <row r="1541" spans="21:22">
      <c r="U1541">
        <v>1499</v>
      </c>
      <c r="V1541" s="197">
        <v>-855.89993788012976</v>
      </c>
    </row>
    <row r="1542" spans="21:22">
      <c r="U1542">
        <v>1500</v>
      </c>
      <c r="V1542" s="197">
        <v>577.33700395545225</v>
      </c>
    </row>
    <row r="1543" spans="21:22">
      <c r="U1543">
        <v>1501</v>
      </c>
      <c r="V1543" s="197">
        <v>490.90238524503849</v>
      </c>
    </row>
    <row r="1544" spans="21:22">
      <c r="U1544">
        <v>1502</v>
      </c>
      <c r="V1544" s="197">
        <v>-412.00514540216892</v>
      </c>
    </row>
    <row r="1545" spans="21:22">
      <c r="U1545">
        <v>1503</v>
      </c>
      <c r="V1545" s="197">
        <v>1047.4802408491907</v>
      </c>
    </row>
    <row r="1546" spans="21:22">
      <c r="U1546">
        <v>1504</v>
      </c>
      <c r="V1546" s="197">
        <v>1039.3098362980143</v>
      </c>
    </row>
    <row r="1547" spans="21:22">
      <c r="U1547">
        <v>1505</v>
      </c>
      <c r="V1547" s="197">
        <v>-123.44574347743983</v>
      </c>
    </row>
    <row r="1548" spans="21:22">
      <c r="U1548">
        <v>1506</v>
      </c>
      <c r="V1548" s="197">
        <v>62.744150041719621</v>
      </c>
    </row>
    <row r="1549" spans="21:22">
      <c r="U1549">
        <v>1507</v>
      </c>
      <c r="V1549" s="197">
        <v>-592.8145670655972</v>
      </c>
    </row>
    <row r="1550" spans="21:22">
      <c r="U1550">
        <v>1508</v>
      </c>
      <c r="V1550" s="197">
        <v>-705.47641359293198</v>
      </c>
    </row>
    <row r="1551" spans="21:22">
      <c r="U1551">
        <v>1509</v>
      </c>
      <c r="V1551" s="197">
        <v>2218.7693396520876</v>
      </c>
    </row>
    <row r="1552" spans="21:22">
      <c r="U1552">
        <v>1510</v>
      </c>
      <c r="V1552" s="197">
        <v>-174.84654040846829</v>
      </c>
    </row>
    <row r="1553" spans="21:22">
      <c r="U1553">
        <v>1511</v>
      </c>
      <c r="V1553" s="197">
        <v>-1526.8862018102018</v>
      </c>
    </row>
    <row r="1554" spans="21:22">
      <c r="U1554">
        <v>1512</v>
      </c>
      <c r="V1554" s="197">
        <v>1819.791185995995</v>
      </c>
    </row>
    <row r="1555" spans="21:22">
      <c r="U1555">
        <v>1513</v>
      </c>
      <c r="V1555" s="197">
        <v>-19.422070449877481</v>
      </c>
    </row>
    <row r="1556" spans="21:22">
      <c r="U1556">
        <v>1514</v>
      </c>
      <c r="V1556" s="197">
        <v>-839.45957725396465</v>
      </c>
    </row>
    <row r="1557" spans="21:22">
      <c r="U1557">
        <v>1515</v>
      </c>
      <c r="V1557" s="197">
        <v>-659.39690070483425</v>
      </c>
    </row>
    <row r="1558" spans="21:22">
      <c r="U1558">
        <v>1516</v>
      </c>
      <c r="V1558" s="197">
        <v>-787.40464849162618</v>
      </c>
    </row>
    <row r="1559" spans="21:22">
      <c r="U1559">
        <v>1517</v>
      </c>
      <c r="V1559" s="197">
        <v>1034.1750712233852</v>
      </c>
    </row>
    <row r="1560" spans="21:22">
      <c r="U1560">
        <v>1518</v>
      </c>
      <c r="V1560" s="197">
        <v>224.57296015898572</v>
      </c>
    </row>
    <row r="1561" spans="21:22">
      <c r="U1561">
        <v>1519</v>
      </c>
      <c r="V1561" s="197">
        <v>-1770.0686329758212</v>
      </c>
    </row>
    <row r="1562" spans="21:22">
      <c r="U1562">
        <v>1520</v>
      </c>
      <c r="V1562" s="197">
        <v>971.37893773472183</v>
      </c>
    </row>
    <row r="1563" spans="21:22">
      <c r="U1563">
        <v>1521</v>
      </c>
      <c r="V1563" s="197">
        <v>1167.2432847221348</v>
      </c>
    </row>
    <row r="1564" spans="21:22">
      <c r="U1564">
        <v>1522</v>
      </c>
      <c r="V1564" s="197">
        <v>-647.31103879508305</v>
      </c>
    </row>
    <row r="1565" spans="21:22">
      <c r="U1565">
        <v>1523</v>
      </c>
      <c r="V1565" s="197">
        <v>1430.5216897978048</v>
      </c>
    </row>
    <row r="1566" spans="21:22">
      <c r="U1566">
        <v>1524</v>
      </c>
      <c r="V1566" s="197">
        <v>722.75311583752227</v>
      </c>
    </row>
    <row r="1567" spans="21:22">
      <c r="U1567">
        <v>1525</v>
      </c>
      <c r="V1567" s="197">
        <v>364.33760071931192</v>
      </c>
    </row>
    <row r="1568" spans="21:22">
      <c r="U1568">
        <v>1526</v>
      </c>
      <c r="V1568" s="197">
        <v>-312.64768767256015</v>
      </c>
    </row>
    <row r="1569" spans="21:22">
      <c r="U1569">
        <v>1527</v>
      </c>
      <c r="V1569" s="197">
        <v>-793.66358442561227</v>
      </c>
    </row>
    <row r="1570" spans="21:22">
      <c r="U1570">
        <v>1528</v>
      </c>
      <c r="V1570" s="197">
        <v>1988.7944774090563</v>
      </c>
    </row>
    <row r="1571" spans="21:22">
      <c r="U1571">
        <v>1529</v>
      </c>
      <c r="V1571" s="197">
        <v>1069.1748207712724</v>
      </c>
    </row>
    <row r="1572" spans="21:22">
      <c r="U1572">
        <v>1530</v>
      </c>
      <c r="V1572" s="197">
        <v>436.47350613423913</v>
      </c>
    </row>
    <row r="1573" spans="21:22">
      <c r="U1573">
        <v>1531</v>
      </c>
      <c r="V1573" s="197">
        <v>-990.1684103107907</v>
      </c>
    </row>
    <row r="1574" spans="21:22">
      <c r="U1574">
        <v>1532</v>
      </c>
      <c r="V1574" s="197">
        <v>-585.06097507106756</v>
      </c>
    </row>
    <row r="1575" spans="21:22">
      <c r="U1575">
        <v>1533</v>
      </c>
      <c r="V1575" s="197">
        <v>-446.32026626352382</v>
      </c>
    </row>
    <row r="1576" spans="21:22">
      <c r="U1576">
        <v>1534</v>
      </c>
      <c r="V1576" s="197">
        <v>279.4163044096959</v>
      </c>
    </row>
    <row r="1577" spans="21:22">
      <c r="U1577">
        <v>1535</v>
      </c>
      <c r="V1577" s="197">
        <v>-508.51279426756383</v>
      </c>
    </row>
    <row r="1578" spans="21:22">
      <c r="U1578">
        <v>1536</v>
      </c>
      <c r="V1578" s="197">
        <v>-184.7996110569166</v>
      </c>
    </row>
    <row r="1579" spans="21:22">
      <c r="U1579">
        <v>1537</v>
      </c>
      <c r="V1579" s="197">
        <v>653.22558741902503</v>
      </c>
    </row>
    <row r="1580" spans="21:22">
      <c r="U1580">
        <v>1538</v>
      </c>
      <c r="V1580" s="197">
        <v>1172.0263304033078</v>
      </c>
    </row>
    <row r="1581" spans="21:22">
      <c r="U1581">
        <v>1539</v>
      </c>
      <c r="V1581" s="197">
        <v>928.21220227038953</v>
      </c>
    </row>
    <row r="1582" spans="21:22">
      <c r="U1582">
        <v>1540</v>
      </c>
      <c r="V1582" s="197">
        <v>1347.617376574939</v>
      </c>
    </row>
    <row r="1583" spans="21:22">
      <c r="U1583">
        <v>1541</v>
      </c>
      <c r="V1583" s="197">
        <v>225.71605015167239</v>
      </c>
    </row>
    <row r="1584" spans="21:22">
      <c r="U1584">
        <v>1542</v>
      </c>
      <c r="V1584" s="197">
        <v>-706.45408723241508</v>
      </c>
    </row>
    <row r="1585" spans="21:22">
      <c r="U1585">
        <v>1543</v>
      </c>
      <c r="V1585" s="197">
        <v>1323.908784842502</v>
      </c>
    </row>
    <row r="1586" spans="21:22">
      <c r="U1586">
        <v>1544</v>
      </c>
      <c r="V1586" s="197">
        <v>153.04915205477022</v>
      </c>
    </row>
    <row r="1587" spans="21:22">
      <c r="U1587">
        <v>1545</v>
      </c>
      <c r="V1587" s="197">
        <v>565.57475662627667</v>
      </c>
    </row>
    <row r="1588" spans="21:22">
      <c r="U1588">
        <v>1546</v>
      </c>
      <c r="V1588" s="197">
        <v>-77.844064846835636</v>
      </c>
    </row>
    <row r="1589" spans="21:22">
      <c r="U1589">
        <v>1547</v>
      </c>
      <c r="V1589" s="197">
        <v>1365.5715926889729</v>
      </c>
    </row>
    <row r="1590" spans="21:22">
      <c r="U1590">
        <v>1548</v>
      </c>
      <c r="V1590" s="197">
        <v>-289.47233134308902</v>
      </c>
    </row>
    <row r="1591" spans="21:22">
      <c r="U1591">
        <v>1549</v>
      </c>
      <c r="V1591" s="197">
        <v>1227.6967662159934</v>
      </c>
    </row>
    <row r="1592" spans="21:22">
      <c r="U1592">
        <v>1550</v>
      </c>
      <c r="V1592" s="197">
        <v>-229.41257718277137</v>
      </c>
    </row>
    <row r="1593" spans="21:22">
      <c r="U1593">
        <v>1551</v>
      </c>
      <c r="V1593" s="197">
        <v>762.78033299026652</v>
      </c>
    </row>
    <row r="1594" spans="21:22">
      <c r="U1594">
        <v>1552</v>
      </c>
      <c r="V1594" s="197">
        <v>1820.8749049436578</v>
      </c>
    </row>
    <row r="1595" spans="21:22">
      <c r="U1595">
        <v>1553</v>
      </c>
      <c r="V1595" s="197">
        <v>1263.9846950736585</v>
      </c>
    </row>
    <row r="1596" spans="21:22">
      <c r="U1596">
        <v>1554</v>
      </c>
      <c r="V1596" s="197">
        <v>-1735.825882788384</v>
      </c>
    </row>
    <row r="1597" spans="21:22">
      <c r="U1597">
        <v>1555</v>
      </c>
      <c r="V1597" s="197">
        <v>1635.7723903318531</v>
      </c>
    </row>
    <row r="1598" spans="21:22">
      <c r="U1598">
        <v>1556</v>
      </c>
      <c r="V1598" s="197">
        <v>-1143.5009281990822</v>
      </c>
    </row>
    <row r="1599" spans="21:22">
      <c r="U1599">
        <v>1557</v>
      </c>
      <c r="V1599" s="197">
        <v>645.27424663242414</v>
      </c>
    </row>
    <row r="1600" spans="21:22">
      <c r="U1600">
        <v>1558</v>
      </c>
      <c r="V1600" s="197">
        <v>1721.726085017244</v>
      </c>
    </row>
    <row r="1601" spans="21:22">
      <c r="U1601">
        <v>1559</v>
      </c>
      <c r="V1601" s="197">
        <v>-233.83386119828077</v>
      </c>
    </row>
    <row r="1602" spans="21:22">
      <c r="U1602">
        <v>1560</v>
      </c>
      <c r="V1602" s="197">
        <v>876.68486907308238</v>
      </c>
    </row>
    <row r="1603" spans="21:22">
      <c r="U1603">
        <v>1561</v>
      </c>
      <c r="V1603" s="197">
        <v>513.11694855771054</v>
      </c>
    </row>
    <row r="1604" spans="21:22">
      <c r="U1604">
        <v>1562</v>
      </c>
      <c r="V1604" s="197">
        <v>-30.856505533068372</v>
      </c>
    </row>
    <row r="1605" spans="21:22">
      <c r="U1605">
        <v>1563</v>
      </c>
      <c r="V1605" s="197">
        <v>-44.967953990741904</v>
      </c>
    </row>
    <row r="1606" spans="21:22">
      <c r="U1606">
        <v>1564</v>
      </c>
      <c r="V1606" s="197">
        <v>-639.96828592862266</v>
      </c>
    </row>
    <row r="1607" spans="21:22">
      <c r="U1607">
        <v>1565</v>
      </c>
      <c r="V1607" s="197">
        <v>-1640.3296961407698</v>
      </c>
    </row>
    <row r="1608" spans="21:22">
      <c r="U1608">
        <v>1566</v>
      </c>
      <c r="V1608" s="197">
        <v>-19.491976941519482</v>
      </c>
    </row>
    <row r="1609" spans="21:22">
      <c r="U1609">
        <v>1567</v>
      </c>
      <c r="V1609" s="197">
        <v>1421.3912663417464</v>
      </c>
    </row>
    <row r="1610" spans="21:22">
      <c r="U1610">
        <v>1568</v>
      </c>
      <c r="V1610" s="197">
        <v>839.51443535291583</v>
      </c>
    </row>
    <row r="1611" spans="21:22">
      <c r="U1611">
        <v>1569</v>
      </c>
      <c r="V1611" s="197">
        <v>2257.1907619426538</v>
      </c>
    </row>
    <row r="1612" spans="21:22">
      <c r="U1612">
        <v>1570</v>
      </c>
      <c r="V1612" s="197">
        <v>-171.45086788638173</v>
      </c>
    </row>
    <row r="1613" spans="21:22">
      <c r="U1613">
        <v>1571</v>
      </c>
      <c r="V1613" s="197">
        <v>754.6439949893047</v>
      </c>
    </row>
    <row r="1614" spans="21:22">
      <c r="U1614">
        <v>1572</v>
      </c>
      <c r="V1614" s="197">
        <v>-1666.0672069166365</v>
      </c>
    </row>
    <row r="1615" spans="21:22">
      <c r="U1615">
        <v>1573</v>
      </c>
      <c r="V1615" s="197">
        <v>-1683.8662495794456</v>
      </c>
    </row>
    <row r="1616" spans="21:22">
      <c r="U1616">
        <v>1574</v>
      </c>
      <c r="V1616" s="197">
        <v>-1150.8846227533984</v>
      </c>
    </row>
    <row r="1617" spans="21:22">
      <c r="U1617">
        <v>1575</v>
      </c>
      <c r="V1617" s="197">
        <v>1200.7288813722494</v>
      </c>
    </row>
    <row r="1618" spans="21:22">
      <c r="U1618">
        <v>1576</v>
      </c>
      <c r="V1618" s="197">
        <v>-1016.3379299555129</v>
      </c>
    </row>
    <row r="1619" spans="21:22">
      <c r="U1619">
        <v>1577</v>
      </c>
      <c r="V1619" s="197">
        <v>156.71034632720017</v>
      </c>
    </row>
    <row r="1620" spans="21:22">
      <c r="U1620">
        <v>1578</v>
      </c>
      <c r="V1620" s="197">
        <v>-1647.2667593999895</v>
      </c>
    </row>
    <row r="1621" spans="21:22">
      <c r="U1621">
        <v>1579</v>
      </c>
      <c r="V1621" s="197">
        <v>-211.99935723289525</v>
      </c>
    </row>
    <row r="1622" spans="21:22">
      <c r="U1622">
        <v>1580</v>
      </c>
      <c r="V1622" s="197">
        <v>287.94159534645451</v>
      </c>
    </row>
    <row r="1623" spans="21:22">
      <c r="U1623">
        <v>1581</v>
      </c>
      <c r="V1623" s="197">
        <v>354.62264357742129</v>
      </c>
    </row>
    <row r="1624" spans="21:22">
      <c r="U1624">
        <v>1582</v>
      </c>
      <c r="V1624" s="197">
        <v>801.57496850604184</v>
      </c>
    </row>
    <row r="1625" spans="21:22">
      <c r="U1625">
        <v>1583</v>
      </c>
      <c r="V1625" s="197">
        <v>728.25673047670625</v>
      </c>
    </row>
    <row r="1626" spans="21:22">
      <c r="U1626">
        <v>1584</v>
      </c>
      <c r="V1626" s="197">
        <v>12.13781485756067</v>
      </c>
    </row>
    <row r="1627" spans="21:22">
      <c r="U1627">
        <v>1585</v>
      </c>
      <c r="V1627" s="197">
        <v>1198.1284465218339</v>
      </c>
    </row>
    <row r="1628" spans="21:22">
      <c r="U1628">
        <v>1586</v>
      </c>
      <c r="V1628" s="197">
        <v>222.74382790887412</v>
      </c>
    </row>
    <row r="1629" spans="21:22">
      <c r="U1629">
        <v>1587</v>
      </c>
      <c r="V1629" s="197">
        <v>231.09051383360813</v>
      </c>
    </row>
    <row r="1630" spans="21:22">
      <c r="U1630">
        <v>1588</v>
      </c>
      <c r="V1630" s="197">
        <v>505.68107171385032</v>
      </c>
    </row>
    <row r="1631" spans="21:22">
      <c r="U1631">
        <v>1589</v>
      </c>
      <c r="V1631" s="197">
        <v>-49.52884852099524</v>
      </c>
    </row>
    <row r="1632" spans="21:22">
      <c r="U1632">
        <v>1590</v>
      </c>
      <c r="V1632" s="197">
        <v>623.42922795308277</v>
      </c>
    </row>
    <row r="1633" spans="21:22">
      <c r="U1633">
        <v>1591</v>
      </c>
      <c r="V1633" s="197">
        <v>-81.275824574669457</v>
      </c>
    </row>
    <row r="1634" spans="21:22">
      <c r="U1634">
        <v>1592</v>
      </c>
      <c r="V1634" s="197">
        <v>138.93872388752084</v>
      </c>
    </row>
    <row r="1635" spans="21:22">
      <c r="U1635">
        <v>1593</v>
      </c>
      <c r="V1635" s="197">
        <v>192.07762041129399</v>
      </c>
    </row>
    <row r="1636" spans="21:22">
      <c r="U1636">
        <v>1594</v>
      </c>
      <c r="V1636" s="197">
        <v>-1547.7046187130898</v>
      </c>
    </row>
    <row r="1637" spans="21:22">
      <c r="U1637">
        <v>1595</v>
      </c>
      <c r="V1637" s="197">
        <v>-1505.6280006554205</v>
      </c>
    </row>
    <row r="1638" spans="21:22">
      <c r="U1638">
        <v>1596</v>
      </c>
      <c r="V1638" s="197">
        <v>-1239.8067802486441</v>
      </c>
    </row>
    <row r="1639" spans="21:22">
      <c r="U1639">
        <v>1597</v>
      </c>
      <c r="V1639" s="197">
        <v>194.22148326954226</v>
      </c>
    </row>
    <row r="1640" spans="21:22">
      <c r="U1640">
        <v>1598</v>
      </c>
      <c r="V1640" s="197">
        <v>-1651.2069780551967</v>
      </c>
    </row>
    <row r="1641" spans="21:22">
      <c r="U1641">
        <v>1599</v>
      </c>
      <c r="V1641" s="197">
        <v>-529.81146874612477</v>
      </c>
    </row>
    <row r="1642" spans="21:22">
      <c r="U1642">
        <v>1600</v>
      </c>
      <c r="V1642" s="197">
        <v>43.970175714459216</v>
      </c>
    </row>
    <row r="1643" spans="21:22">
      <c r="U1643">
        <v>1601</v>
      </c>
      <c r="V1643" s="197">
        <v>-571.84847371023329</v>
      </c>
    </row>
    <row r="1644" spans="21:22">
      <c r="U1644">
        <v>1602</v>
      </c>
      <c r="V1644" s="197">
        <v>-205.81230772730856</v>
      </c>
    </row>
    <row r="1645" spans="21:22">
      <c r="U1645">
        <v>1603</v>
      </c>
      <c r="V1645" s="197">
        <v>-1687.4170097722567</v>
      </c>
    </row>
    <row r="1646" spans="21:22">
      <c r="U1646">
        <v>1604</v>
      </c>
      <c r="V1646" s="197">
        <v>402.11098406452277</v>
      </c>
    </row>
    <row r="1647" spans="21:22">
      <c r="U1647">
        <v>1605</v>
      </c>
      <c r="V1647" s="197">
        <v>-609.98127909995719</v>
      </c>
    </row>
    <row r="1648" spans="21:22">
      <c r="U1648">
        <v>1606</v>
      </c>
      <c r="V1648" s="197">
        <v>1139.8088063659363</v>
      </c>
    </row>
    <row r="1649" spans="21:22">
      <c r="U1649">
        <v>1607</v>
      </c>
      <c r="V1649" s="197">
        <v>701.2156570470006</v>
      </c>
    </row>
    <row r="1650" spans="21:22">
      <c r="U1650">
        <v>1608</v>
      </c>
      <c r="V1650" s="197">
        <v>508.09800066582426</v>
      </c>
    </row>
    <row r="1651" spans="21:22">
      <c r="U1651">
        <v>1609</v>
      </c>
      <c r="V1651" s="197">
        <v>1608.7570734138899</v>
      </c>
    </row>
    <row r="1652" spans="21:22">
      <c r="U1652">
        <v>1610</v>
      </c>
      <c r="V1652" s="197">
        <v>1593.3606907132382</v>
      </c>
    </row>
    <row r="1653" spans="21:22">
      <c r="U1653">
        <v>1611</v>
      </c>
      <c r="V1653" s="197">
        <v>-673.52216735238198</v>
      </c>
    </row>
    <row r="1654" spans="21:22">
      <c r="U1654">
        <v>1612</v>
      </c>
      <c r="V1654" s="197">
        <v>2453.1474945073433</v>
      </c>
    </row>
    <row r="1655" spans="21:22">
      <c r="U1655">
        <v>1613</v>
      </c>
      <c r="V1655" s="197">
        <v>-609.915561205823</v>
      </c>
    </row>
    <row r="1656" spans="21:22">
      <c r="U1656">
        <v>1614</v>
      </c>
      <c r="V1656" s="197">
        <v>-711.94767326530359</v>
      </c>
    </row>
    <row r="1657" spans="21:22">
      <c r="U1657">
        <v>1615</v>
      </c>
      <c r="V1657" s="197">
        <v>-288.86034226538624</v>
      </c>
    </row>
    <row r="1658" spans="21:22">
      <c r="U1658">
        <v>1616</v>
      </c>
      <c r="V1658" s="197">
        <v>194.39677366366845</v>
      </c>
    </row>
    <row r="1659" spans="21:22">
      <c r="U1659">
        <v>1617</v>
      </c>
      <c r="V1659" s="197">
        <v>-706.08280510397731</v>
      </c>
    </row>
    <row r="1660" spans="21:22">
      <c r="U1660">
        <v>1618</v>
      </c>
      <c r="V1660" s="197">
        <v>1345.1195583916017</v>
      </c>
    </row>
    <row r="1661" spans="21:22">
      <c r="U1661">
        <v>1619</v>
      </c>
      <c r="V1661" s="197">
        <v>698.43712292964665</v>
      </c>
    </row>
    <row r="1662" spans="21:22">
      <c r="U1662">
        <v>1620</v>
      </c>
      <c r="V1662" s="197">
        <v>535.61498947154814</v>
      </c>
    </row>
    <row r="1663" spans="21:22">
      <c r="U1663">
        <v>1621</v>
      </c>
      <c r="V1663" s="197">
        <v>1157.9093785026669</v>
      </c>
    </row>
    <row r="1664" spans="21:22">
      <c r="U1664">
        <v>1622</v>
      </c>
      <c r="V1664" s="197">
        <v>1756.8843908604604</v>
      </c>
    </row>
    <row r="1665" spans="21:22">
      <c r="U1665">
        <v>1623</v>
      </c>
      <c r="V1665" s="197">
        <v>-871.66735366296916</v>
      </c>
    </row>
    <row r="1666" spans="21:22">
      <c r="U1666">
        <v>1624</v>
      </c>
      <c r="V1666" s="197">
        <v>-64.811035388170268</v>
      </c>
    </row>
    <row r="1667" spans="21:22">
      <c r="U1667">
        <v>1625</v>
      </c>
      <c r="V1667" s="197">
        <v>2058.2385602529539</v>
      </c>
    </row>
    <row r="1668" spans="21:22">
      <c r="U1668">
        <v>1626</v>
      </c>
      <c r="V1668" s="197">
        <v>-429.16687078443721</v>
      </c>
    </row>
    <row r="1669" spans="21:22">
      <c r="U1669">
        <v>1627</v>
      </c>
      <c r="V1669" s="197">
        <v>968.20399849128489</v>
      </c>
    </row>
    <row r="1670" spans="21:22">
      <c r="U1670">
        <v>1628</v>
      </c>
      <c r="V1670" s="197">
        <v>-1117.3535809763268</v>
      </c>
    </row>
    <row r="1671" spans="21:22">
      <c r="U1671">
        <v>1629</v>
      </c>
      <c r="V1671" s="197">
        <v>-1806.2237149741015</v>
      </c>
    </row>
    <row r="1672" spans="21:22">
      <c r="U1672">
        <v>1630</v>
      </c>
      <c r="V1672" s="197">
        <v>-1166.7311312792963</v>
      </c>
    </row>
    <row r="1673" spans="21:22">
      <c r="U1673">
        <v>1631</v>
      </c>
      <c r="V1673" s="197">
        <v>-393.99675922590768</v>
      </c>
    </row>
    <row r="1674" spans="21:22">
      <c r="U1674">
        <v>1632</v>
      </c>
      <c r="V1674" s="197">
        <v>555.84127384006865</v>
      </c>
    </row>
    <row r="1675" spans="21:22">
      <c r="U1675">
        <v>1633</v>
      </c>
      <c r="V1675" s="197">
        <v>841.41759494932217</v>
      </c>
    </row>
    <row r="1676" spans="21:22">
      <c r="U1676">
        <v>1634</v>
      </c>
      <c r="V1676" s="197">
        <v>238.5657507122358</v>
      </c>
    </row>
    <row r="1677" spans="21:22">
      <c r="U1677">
        <v>1635</v>
      </c>
      <c r="V1677" s="197">
        <v>-738.27996380489435</v>
      </c>
    </row>
    <row r="1678" spans="21:22">
      <c r="U1678">
        <v>1636</v>
      </c>
      <c r="V1678" s="197">
        <v>-1226.5281714036037</v>
      </c>
    </row>
    <row r="1679" spans="21:22">
      <c r="U1679">
        <v>1637</v>
      </c>
      <c r="V1679" s="197">
        <v>-68.947639595161633</v>
      </c>
    </row>
    <row r="1680" spans="21:22">
      <c r="U1680">
        <v>1638</v>
      </c>
      <c r="V1680" s="197">
        <v>-650.43880778230891</v>
      </c>
    </row>
    <row r="1681" spans="21:22">
      <c r="U1681">
        <v>1639</v>
      </c>
      <c r="V1681" s="197">
        <v>-1369.649422666994</v>
      </c>
    </row>
    <row r="1682" spans="21:22">
      <c r="U1682">
        <v>1640</v>
      </c>
      <c r="V1682" s="197">
        <v>-96.970605220177958</v>
      </c>
    </row>
    <row r="1683" spans="21:22">
      <c r="U1683">
        <v>1641</v>
      </c>
      <c r="V1683" s="197">
        <v>-273.43259807956252</v>
      </c>
    </row>
    <row r="1684" spans="21:22">
      <c r="U1684">
        <v>1642</v>
      </c>
      <c r="V1684" s="197">
        <v>1379.6011171263553</v>
      </c>
    </row>
    <row r="1685" spans="21:22">
      <c r="U1685">
        <v>1643</v>
      </c>
      <c r="V1685" s="197">
        <v>137.53396466704515</v>
      </c>
    </row>
    <row r="1686" spans="21:22">
      <c r="U1686">
        <v>1644</v>
      </c>
      <c r="V1686" s="197">
        <v>-1233.0967143812479</v>
      </c>
    </row>
    <row r="1687" spans="21:22">
      <c r="U1687">
        <v>1645</v>
      </c>
      <c r="V1687" s="197">
        <v>1415.5874432668659</v>
      </c>
    </row>
    <row r="1688" spans="21:22">
      <c r="U1688">
        <v>1646</v>
      </c>
      <c r="V1688" s="197">
        <v>-1524.2824070827483</v>
      </c>
    </row>
    <row r="1689" spans="21:22">
      <c r="U1689">
        <v>1647</v>
      </c>
      <c r="V1689" s="197">
        <v>823.24875343719714</v>
      </c>
    </row>
    <row r="1690" spans="21:22">
      <c r="U1690">
        <v>1648</v>
      </c>
      <c r="V1690" s="197">
        <v>-1207.015421816242</v>
      </c>
    </row>
    <row r="1691" spans="21:22">
      <c r="U1691">
        <v>1649</v>
      </c>
      <c r="V1691" s="197">
        <v>-580.95834965029076</v>
      </c>
    </row>
    <row r="1692" spans="21:22">
      <c r="U1692">
        <v>1650</v>
      </c>
      <c r="V1692" s="197">
        <v>-773.00554534813909</v>
      </c>
    </row>
    <row r="1693" spans="21:22">
      <c r="U1693">
        <v>1651</v>
      </c>
      <c r="V1693" s="197">
        <v>-40.391605913196315</v>
      </c>
    </row>
    <row r="1694" spans="21:22">
      <c r="U1694">
        <v>1652</v>
      </c>
      <c r="V1694" s="197">
        <v>-1671.5457771470062</v>
      </c>
    </row>
    <row r="1695" spans="21:22">
      <c r="U1695">
        <v>1653</v>
      </c>
      <c r="V1695" s="197">
        <v>-148.95384725012363</v>
      </c>
    </row>
    <row r="1696" spans="21:22">
      <c r="U1696">
        <v>1654</v>
      </c>
      <c r="V1696" s="197">
        <v>157.65665719616385</v>
      </c>
    </row>
    <row r="1697" spans="21:22">
      <c r="U1697">
        <v>1655</v>
      </c>
      <c r="V1697" s="197">
        <v>1405.7237059909455</v>
      </c>
    </row>
    <row r="1698" spans="21:22">
      <c r="U1698">
        <v>1656</v>
      </c>
      <c r="V1698" s="197">
        <v>-695.98813508116427</v>
      </c>
    </row>
    <row r="1699" spans="21:22">
      <c r="U1699">
        <v>1657</v>
      </c>
      <c r="V1699" s="197">
        <v>-47.581285196076578</v>
      </c>
    </row>
    <row r="1700" spans="21:22">
      <c r="U1700">
        <v>1658</v>
      </c>
      <c r="V1700" s="197">
        <v>769.42375638819203</v>
      </c>
    </row>
    <row r="1701" spans="21:22">
      <c r="U1701">
        <v>1659</v>
      </c>
      <c r="V1701" s="197">
        <v>135.65069056667613</v>
      </c>
    </row>
    <row r="1702" spans="21:22">
      <c r="U1702">
        <v>1660</v>
      </c>
      <c r="V1702" s="197">
        <v>151.52699326666601</v>
      </c>
    </row>
    <row r="1703" spans="21:22">
      <c r="U1703">
        <v>1661</v>
      </c>
      <c r="V1703" s="197">
        <v>-602.84034060570434</v>
      </c>
    </row>
    <row r="1704" spans="21:22">
      <c r="U1704">
        <v>1662</v>
      </c>
      <c r="V1704" s="197">
        <v>1823.8383149565127</v>
      </c>
    </row>
    <row r="1705" spans="21:22">
      <c r="U1705">
        <v>1663</v>
      </c>
      <c r="V1705" s="197">
        <v>1076.0425439519886</v>
      </c>
    </row>
    <row r="1706" spans="21:22">
      <c r="U1706">
        <v>1664</v>
      </c>
      <c r="V1706" s="197">
        <v>2214.4154972134302</v>
      </c>
    </row>
    <row r="1707" spans="21:22">
      <c r="U1707">
        <v>1665</v>
      </c>
      <c r="V1707" s="197">
        <v>328.29910377605017</v>
      </c>
    </row>
    <row r="1708" spans="21:22">
      <c r="U1708">
        <v>1666</v>
      </c>
      <c r="V1708" s="197">
        <v>701.77570314642571</v>
      </c>
    </row>
    <row r="1709" spans="21:22">
      <c r="U1709">
        <v>1667</v>
      </c>
      <c r="V1709" s="197">
        <v>-327.99213110675481</v>
      </c>
    </row>
    <row r="1710" spans="21:22">
      <c r="U1710">
        <v>1668</v>
      </c>
      <c r="V1710" s="197">
        <v>649.43210531438535</v>
      </c>
    </row>
    <row r="1711" spans="21:22">
      <c r="U1711">
        <v>1669</v>
      </c>
      <c r="V1711" s="197">
        <v>268.82007436331264</v>
      </c>
    </row>
    <row r="1712" spans="21:22">
      <c r="U1712">
        <v>1670</v>
      </c>
      <c r="V1712" s="197">
        <v>2063.2654888969187</v>
      </c>
    </row>
    <row r="1713" spans="21:22">
      <c r="U1713">
        <v>1671</v>
      </c>
      <c r="V1713" s="197">
        <v>-251.79925992325599</v>
      </c>
    </row>
    <row r="1714" spans="21:22">
      <c r="U1714">
        <v>1672</v>
      </c>
      <c r="V1714" s="197">
        <v>-63.666955890483138</v>
      </c>
    </row>
    <row r="1715" spans="21:22">
      <c r="U1715">
        <v>1673</v>
      </c>
      <c r="V1715" s="197">
        <v>-301.63802823012492</v>
      </c>
    </row>
    <row r="1716" spans="21:22">
      <c r="U1716">
        <v>1674</v>
      </c>
      <c r="V1716" s="197">
        <v>1236.0639800556114</v>
      </c>
    </row>
    <row r="1717" spans="21:22">
      <c r="U1717">
        <v>1675</v>
      </c>
      <c r="V1717" s="197">
        <v>1417.4323779780771</v>
      </c>
    </row>
    <row r="1718" spans="21:22">
      <c r="U1718">
        <v>1676</v>
      </c>
      <c r="V1718" s="197">
        <v>-299.11477239622701</v>
      </c>
    </row>
    <row r="1719" spans="21:22">
      <c r="U1719">
        <v>1677</v>
      </c>
      <c r="V1719" s="197">
        <v>-1445.2550246120679</v>
      </c>
    </row>
    <row r="1720" spans="21:22">
      <c r="U1720">
        <v>1678</v>
      </c>
      <c r="V1720" s="197">
        <v>-244.0316279768482</v>
      </c>
    </row>
    <row r="1721" spans="21:22">
      <c r="U1721">
        <v>1679</v>
      </c>
      <c r="V1721" s="197">
        <v>-92.974028777359393</v>
      </c>
    </row>
    <row r="1722" spans="21:22">
      <c r="U1722">
        <v>1680</v>
      </c>
      <c r="V1722" s="197">
        <v>560.36933186814917</v>
      </c>
    </row>
    <row r="1723" spans="21:22">
      <c r="U1723">
        <v>1681</v>
      </c>
      <c r="V1723" s="197">
        <v>-626.85029390353975</v>
      </c>
    </row>
    <row r="1724" spans="21:22">
      <c r="U1724">
        <v>1682</v>
      </c>
      <c r="V1724" s="197">
        <v>521.50776466066566</v>
      </c>
    </row>
    <row r="1725" spans="21:22">
      <c r="U1725">
        <v>1683</v>
      </c>
      <c r="V1725" s="197">
        <v>822.70553585106313</v>
      </c>
    </row>
    <row r="1726" spans="21:22">
      <c r="U1726">
        <v>1684</v>
      </c>
      <c r="V1726" s="197">
        <v>-1970.4380859668433</v>
      </c>
    </row>
    <row r="1727" spans="21:22">
      <c r="U1727">
        <v>1685</v>
      </c>
      <c r="V1727" s="197">
        <v>1550.2001915659473</v>
      </c>
    </row>
    <row r="1728" spans="21:22">
      <c r="U1728">
        <v>1686</v>
      </c>
      <c r="V1728" s="197">
        <v>478.16821465942047</v>
      </c>
    </row>
    <row r="1729" spans="21:22">
      <c r="U1729">
        <v>1687</v>
      </c>
      <c r="V1729" s="197">
        <v>-1374.2991717309721</v>
      </c>
    </row>
    <row r="1730" spans="21:22">
      <c r="U1730">
        <v>1688</v>
      </c>
      <c r="V1730" s="197">
        <v>-116.27850197158955</v>
      </c>
    </row>
    <row r="1731" spans="21:22">
      <c r="U1731">
        <v>1689</v>
      </c>
      <c r="V1731" s="197">
        <v>-708.54607898915128</v>
      </c>
    </row>
    <row r="1732" spans="21:22">
      <c r="U1732">
        <v>1690</v>
      </c>
      <c r="V1732" s="197">
        <v>1437.7668251987016</v>
      </c>
    </row>
    <row r="1733" spans="21:22">
      <c r="U1733">
        <v>1691</v>
      </c>
      <c r="V1733" s="197">
        <v>1051.572018543194</v>
      </c>
    </row>
    <row r="1734" spans="21:22">
      <c r="U1734">
        <v>1692</v>
      </c>
      <c r="V1734" s="197">
        <v>-182.14599320780405</v>
      </c>
    </row>
    <row r="1735" spans="21:22">
      <c r="U1735">
        <v>1693</v>
      </c>
      <c r="V1735" s="197">
        <v>1684.3225947314918</v>
      </c>
    </row>
    <row r="1736" spans="21:22">
      <c r="U1736">
        <v>1694</v>
      </c>
      <c r="V1736" s="197">
        <v>-533.6555178347719</v>
      </c>
    </row>
    <row r="1737" spans="21:22">
      <c r="U1737">
        <v>1695</v>
      </c>
      <c r="V1737" s="197">
        <v>1584.7060841670213</v>
      </c>
    </row>
    <row r="1738" spans="21:22">
      <c r="U1738">
        <v>1696</v>
      </c>
      <c r="V1738" s="197">
        <v>638.48817343895689</v>
      </c>
    </row>
    <row r="1739" spans="21:22">
      <c r="U1739">
        <v>1697</v>
      </c>
      <c r="V1739" s="197">
        <v>856.15929735218651</v>
      </c>
    </row>
    <row r="1740" spans="21:22">
      <c r="U1740">
        <v>1698</v>
      </c>
      <c r="V1740" s="197">
        <v>1406.8763086941008</v>
      </c>
    </row>
    <row r="1741" spans="21:22">
      <c r="U1741">
        <v>1699</v>
      </c>
      <c r="V1741" s="197">
        <v>-2227.2067334447274</v>
      </c>
    </row>
    <row r="1742" spans="21:22">
      <c r="U1742">
        <v>1700</v>
      </c>
      <c r="V1742" s="197">
        <v>2606.6903200765732</v>
      </c>
    </row>
    <row r="1743" spans="21:22">
      <c r="U1743">
        <v>1701</v>
      </c>
      <c r="V1743" s="197">
        <v>1316.8704960384007</v>
      </c>
    </row>
    <row r="1744" spans="21:22">
      <c r="U1744">
        <v>1702</v>
      </c>
      <c r="V1744" s="197">
        <v>844.4274627732957</v>
      </c>
    </row>
    <row r="1745" spans="21:22">
      <c r="U1745">
        <v>1703</v>
      </c>
      <c r="V1745" s="197">
        <v>-504.13407032288086</v>
      </c>
    </row>
    <row r="1746" spans="21:22">
      <c r="U1746">
        <v>1704</v>
      </c>
      <c r="V1746" s="197">
        <v>2208.5342383330812</v>
      </c>
    </row>
    <row r="1747" spans="21:22">
      <c r="U1747">
        <v>1705</v>
      </c>
      <c r="V1747" s="197">
        <v>381.58175478615647</v>
      </c>
    </row>
    <row r="1748" spans="21:22">
      <c r="U1748">
        <v>1706</v>
      </c>
      <c r="V1748" s="197">
        <v>2386.924074544379</v>
      </c>
    </row>
    <row r="1749" spans="21:22">
      <c r="U1749">
        <v>1707</v>
      </c>
      <c r="V1749" s="197">
        <v>436.63119475975498</v>
      </c>
    </row>
    <row r="1750" spans="21:22">
      <c r="U1750">
        <v>1708</v>
      </c>
      <c r="V1750" s="197">
        <v>-1067.3393882432481</v>
      </c>
    </row>
    <row r="1751" spans="21:22">
      <c r="U1751">
        <v>1709</v>
      </c>
      <c r="V1751" s="197">
        <v>-1308.5403560754796</v>
      </c>
    </row>
    <row r="1752" spans="21:22">
      <c r="U1752">
        <v>1710</v>
      </c>
      <c r="V1752" s="197">
        <v>-540.78527813460619</v>
      </c>
    </row>
    <row r="1753" spans="21:22">
      <c r="U1753">
        <v>1711</v>
      </c>
      <c r="V1753" s="197">
        <v>1416.4471798482743</v>
      </c>
    </row>
    <row r="1754" spans="21:22">
      <c r="U1754">
        <v>1712</v>
      </c>
      <c r="V1754" s="197">
        <v>348.599108120236</v>
      </c>
    </row>
    <row r="1755" spans="21:22">
      <c r="U1755">
        <v>1713</v>
      </c>
      <c r="V1755" s="197">
        <v>223.74485568783916</v>
      </c>
    </row>
    <row r="1756" spans="21:22">
      <c r="U1756">
        <v>1714</v>
      </c>
      <c r="V1756" s="197">
        <v>211.76705781915703</v>
      </c>
    </row>
    <row r="1757" spans="21:22">
      <c r="U1757">
        <v>1715</v>
      </c>
      <c r="V1757" s="197">
        <v>26.11725387237972</v>
      </c>
    </row>
    <row r="1758" spans="21:22">
      <c r="U1758">
        <v>1716</v>
      </c>
      <c r="V1758" s="197">
        <v>1547.6639993751269</v>
      </c>
    </row>
    <row r="1759" spans="21:22">
      <c r="U1759">
        <v>1717</v>
      </c>
      <c r="V1759" s="197">
        <v>1497.6608535801633</v>
      </c>
    </row>
    <row r="1760" spans="21:22">
      <c r="U1760">
        <v>1718</v>
      </c>
      <c r="V1760" s="197">
        <v>-898.08362001215573</v>
      </c>
    </row>
    <row r="1761" spans="21:22">
      <c r="U1761">
        <v>1719</v>
      </c>
      <c r="V1761" s="197">
        <v>424.79418104762345</v>
      </c>
    </row>
    <row r="1762" spans="21:22">
      <c r="U1762">
        <v>1720</v>
      </c>
      <c r="V1762" s="197">
        <v>456.31704078841199</v>
      </c>
    </row>
    <row r="1763" spans="21:22">
      <c r="U1763">
        <v>1721</v>
      </c>
      <c r="V1763" s="197">
        <v>1449.582578163014</v>
      </c>
    </row>
    <row r="1764" spans="21:22">
      <c r="U1764">
        <v>1722</v>
      </c>
      <c r="V1764" s="197">
        <v>-127.01877036467133</v>
      </c>
    </row>
    <row r="1765" spans="21:22">
      <c r="U1765">
        <v>1723</v>
      </c>
      <c r="V1765" s="197">
        <v>-255.42682832859441</v>
      </c>
    </row>
    <row r="1766" spans="21:22">
      <c r="U1766">
        <v>1724</v>
      </c>
      <c r="V1766" s="197">
        <v>838.27299465987153</v>
      </c>
    </row>
    <row r="1767" spans="21:22">
      <c r="U1767">
        <v>1725</v>
      </c>
      <c r="V1767" s="197">
        <v>1039.0690562100035</v>
      </c>
    </row>
    <row r="1768" spans="21:22">
      <c r="U1768">
        <v>1726</v>
      </c>
      <c r="V1768" s="197">
        <v>0.12485443309334698</v>
      </c>
    </row>
    <row r="1769" spans="21:22">
      <c r="U1769">
        <v>1727</v>
      </c>
      <c r="V1769" s="197">
        <v>21.129306413406113</v>
      </c>
    </row>
    <row r="1770" spans="21:22">
      <c r="U1770">
        <v>1728</v>
      </c>
      <c r="V1770" s="197">
        <v>392.93769683569553</v>
      </c>
    </row>
    <row r="1771" spans="21:22">
      <c r="U1771">
        <v>1729</v>
      </c>
      <c r="V1771" s="197">
        <v>1442.3342834655978</v>
      </c>
    </row>
    <row r="1772" spans="21:22">
      <c r="U1772">
        <v>1730</v>
      </c>
      <c r="V1772" s="197">
        <v>-396.4252331921046</v>
      </c>
    </row>
    <row r="1773" spans="21:22">
      <c r="U1773">
        <v>1731</v>
      </c>
      <c r="V1773" s="197">
        <v>208.1077209458453</v>
      </c>
    </row>
    <row r="1774" spans="21:22">
      <c r="U1774">
        <v>1732</v>
      </c>
      <c r="V1774" s="197">
        <v>-869.50414701027648</v>
      </c>
    </row>
    <row r="1775" spans="21:22">
      <c r="U1775">
        <v>1733</v>
      </c>
      <c r="V1775" s="197">
        <v>807.89349190280291</v>
      </c>
    </row>
    <row r="1776" spans="21:22">
      <c r="U1776">
        <v>1734</v>
      </c>
      <c r="V1776" s="197">
        <v>-522.43755284647068</v>
      </c>
    </row>
    <row r="1777" spans="21:22">
      <c r="U1777">
        <v>1735</v>
      </c>
      <c r="V1777" s="197">
        <v>266.5397520910621</v>
      </c>
    </row>
    <row r="1778" spans="21:22">
      <c r="U1778">
        <v>1736</v>
      </c>
      <c r="V1778" s="197">
        <v>-692.3141231160248</v>
      </c>
    </row>
    <row r="1779" spans="21:22">
      <c r="U1779">
        <v>1737</v>
      </c>
      <c r="V1779" s="197">
        <v>-357.59653926638117</v>
      </c>
    </row>
    <row r="1780" spans="21:22">
      <c r="U1780">
        <v>1738</v>
      </c>
      <c r="V1780" s="197">
        <v>-133.42078574436979</v>
      </c>
    </row>
    <row r="1781" spans="21:22">
      <c r="U1781">
        <v>1739</v>
      </c>
      <c r="V1781" s="197">
        <v>1357.1885178881487</v>
      </c>
    </row>
    <row r="1782" spans="21:22">
      <c r="U1782">
        <v>1740</v>
      </c>
      <c r="V1782" s="197">
        <v>18.054540257403801</v>
      </c>
    </row>
    <row r="1783" spans="21:22">
      <c r="U1783">
        <v>1741</v>
      </c>
      <c r="V1783" s="197">
        <v>21.904456361033922</v>
      </c>
    </row>
    <row r="1784" spans="21:22">
      <c r="U1784">
        <v>1742</v>
      </c>
      <c r="V1784" s="197">
        <v>339.56065452260077</v>
      </c>
    </row>
    <row r="1785" spans="21:22">
      <c r="U1785">
        <v>1743</v>
      </c>
      <c r="V1785" s="197">
        <v>258.12565097579903</v>
      </c>
    </row>
    <row r="1786" spans="21:22">
      <c r="U1786">
        <v>1744</v>
      </c>
      <c r="V1786" s="197">
        <v>1429.864136152697</v>
      </c>
    </row>
    <row r="1787" spans="21:22">
      <c r="U1787">
        <v>1745</v>
      </c>
      <c r="V1787" s="197">
        <v>-702.71763417714965</v>
      </c>
    </row>
    <row r="1788" spans="21:22">
      <c r="U1788">
        <v>1746</v>
      </c>
      <c r="V1788" s="197">
        <v>1064.8061190533911</v>
      </c>
    </row>
    <row r="1789" spans="21:22">
      <c r="U1789">
        <v>1747</v>
      </c>
      <c r="V1789" s="197">
        <v>-813.38411746765155</v>
      </c>
    </row>
    <row r="1790" spans="21:22">
      <c r="U1790">
        <v>1748</v>
      </c>
      <c r="V1790" s="197">
        <v>-194.75862601641228</v>
      </c>
    </row>
    <row r="1791" spans="21:22">
      <c r="U1791">
        <v>1749</v>
      </c>
      <c r="V1791" s="197">
        <v>879.85659144008969</v>
      </c>
    </row>
    <row r="1792" spans="21:22">
      <c r="U1792">
        <v>1750</v>
      </c>
      <c r="V1792" s="197">
        <v>332.39874961911477</v>
      </c>
    </row>
    <row r="1793" spans="21:22">
      <c r="U1793">
        <v>1751</v>
      </c>
      <c r="V1793" s="197">
        <v>-182.24973316285696</v>
      </c>
    </row>
    <row r="1794" spans="21:22">
      <c r="U1794">
        <v>1752</v>
      </c>
      <c r="V1794" s="197">
        <v>-1298.230720870635</v>
      </c>
    </row>
    <row r="1795" spans="21:22">
      <c r="U1795">
        <v>1753</v>
      </c>
      <c r="V1795" s="197">
        <v>55.08441901520191</v>
      </c>
    </row>
    <row r="1796" spans="21:22">
      <c r="U1796">
        <v>1754</v>
      </c>
      <c r="V1796" s="197">
        <v>-1395.5521770504704</v>
      </c>
    </row>
    <row r="1797" spans="21:22">
      <c r="U1797">
        <v>1755</v>
      </c>
      <c r="V1797" s="197">
        <v>-62.020199819721086</v>
      </c>
    </row>
    <row r="1798" spans="21:22">
      <c r="U1798">
        <v>1756</v>
      </c>
      <c r="V1798" s="197">
        <v>552.04456679899431</v>
      </c>
    </row>
    <row r="1799" spans="21:22">
      <c r="U1799">
        <v>1757</v>
      </c>
      <c r="V1799" s="197">
        <v>922.50978036172228</v>
      </c>
    </row>
    <row r="1800" spans="21:22">
      <c r="U1800">
        <v>1758</v>
      </c>
      <c r="V1800" s="197">
        <v>272.2467020776719</v>
      </c>
    </row>
    <row r="1801" spans="21:22">
      <c r="U1801">
        <v>1759</v>
      </c>
      <c r="V1801" s="197">
        <v>-54.567907305262565</v>
      </c>
    </row>
    <row r="1802" spans="21:22">
      <c r="U1802">
        <v>1760</v>
      </c>
      <c r="V1802" s="197">
        <v>434.08839963022371</v>
      </c>
    </row>
    <row r="1803" spans="21:22">
      <c r="U1803">
        <v>1761</v>
      </c>
      <c r="V1803" s="197">
        <v>83.929101427096214</v>
      </c>
    </row>
    <row r="1804" spans="21:22">
      <c r="U1804">
        <v>1762</v>
      </c>
      <c r="V1804" s="197">
        <v>-262.37270737318732</v>
      </c>
    </row>
    <row r="1805" spans="21:22">
      <c r="U1805">
        <v>1763</v>
      </c>
      <c r="V1805" s="197">
        <v>1996.1179368758899</v>
      </c>
    </row>
    <row r="1806" spans="21:22">
      <c r="U1806">
        <v>1764</v>
      </c>
      <c r="V1806" s="197">
        <v>749.12596220573732</v>
      </c>
    </row>
    <row r="1807" spans="21:22">
      <c r="U1807">
        <v>1765</v>
      </c>
      <c r="V1807" s="197">
        <v>-777.27379244884196</v>
      </c>
    </row>
    <row r="1808" spans="21:22">
      <c r="U1808">
        <v>1766</v>
      </c>
      <c r="V1808" s="197">
        <v>-567.35903032906026</v>
      </c>
    </row>
    <row r="1809" spans="21:22">
      <c r="U1809">
        <v>1767</v>
      </c>
      <c r="V1809" s="197">
        <v>465.92702207149398</v>
      </c>
    </row>
    <row r="1810" spans="21:22">
      <c r="U1810">
        <v>1768</v>
      </c>
      <c r="V1810" s="197">
        <v>-652.55477121474928</v>
      </c>
    </row>
    <row r="1811" spans="21:22">
      <c r="U1811">
        <v>1769</v>
      </c>
      <c r="V1811" s="197">
        <v>64.723038151044165</v>
      </c>
    </row>
    <row r="1812" spans="21:22">
      <c r="U1812">
        <v>1770</v>
      </c>
      <c r="V1812" s="197">
        <v>190.55384011549404</v>
      </c>
    </row>
    <row r="1813" spans="21:22">
      <c r="U1813">
        <v>1771</v>
      </c>
      <c r="V1813" s="197">
        <v>136.41292687400352</v>
      </c>
    </row>
    <row r="1814" spans="21:22">
      <c r="U1814">
        <v>1772</v>
      </c>
      <c r="V1814" s="197">
        <v>-954.34162215748847</v>
      </c>
    </row>
    <row r="1815" spans="21:22">
      <c r="U1815">
        <v>1773</v>
      </c>
      <c r="V1815" s="197">
        <v>596.51418918174136</v>
      </c>
    </row>
    <row r="1816" spans="21:22">
      <c r="U1816">
        <v>1774</v>
      </c>
      <c r="V1816" s="197">
        <v>242.11894489181171</v>
      </c>
    </row>
    <row r="1817" spans="21:22">
      <c r="U1817">
        <v>1775</v>
      </c>
      <c r="V1817" s="197">
        <v>3.0966900664584216</v>
      </c>
    </row>
    <row r="1818" spans="21:22">
      <c r="U1818">
        <v>1776</v>
      </c>
      <c r="V1818" s="197">
        <v>624.76120741517184</v>
      </c>
    </row>
    <row r="1819" spans="21:22">
      <c r="U1819">
        <v>1777</v>
      </c>
      <c r="V1819" s="197">
        <v>-540.35379406865331</v>
      </c>
    </row>
    <row r="1820" spans="21:22">
      <c r="U1820">
        <v>1778</v>
      </c>
      <c r="V1820" s="197">
        <v>-41.793928648288812</v>
      </c>
    </row>
    <row r="1821" spans="21:22">
      <c r="U1821">
        <v>1779</v>
      </c>
      <c r="V1821" s="197">
        <v>539.80194225657397</v>
      </c>
    </row>
    <row r="1822" spans="21:22">
      <c r="U1822">
        <v>1780</v>
      </c>
      <c r="V1822" s="197">
        <v>1673.0019080653437</v>
      </c>
    </row>
    <row r="1823" spans="21:22">
      <c r="U1823">
        <v>1781</v>
      </c>
      <c r="V1823" s="197">
        <v>2314.6049884789359</v>
      </c>
    </row>
    <row r="1824" spans="21:22">
      <c r="U1824">
        <v>1782</v>
      </c>
      <c r="V1824" s="197">
        <v>648.04967117683395</v>
      </c>
    </row>
    <row r="1825" spans="21:22">
      <c r="U1825">
        <v>1783</v>
      </c>
      <c r="V1825" s="197">
        <v>420.43990822249117</v>
      </c>
    </row>
    <row r="1826" spans="21:22">
      <c r="U1826">
        <v>1784</v>
      </c>
      <c r="V1826" s="197">
        <v>265.0352815685921</v>
      </c>
    </row>
    <row r="1827" spans="21:22">
      <c r="U1827">
        <v>1785</v>
      </c>
      <c r="V1827" s="197">
        <v>648.02200423313707</v>
      </c>
    </row>
    <row r="1828" spans="21:22">
      <c r="U1828">
        <v>1786</v>
      </c>
      <c r="V1828" s="197">
        <v>173.43957802071191</v>
      </c>
    </row>
    <row r="1829" spans="21:22">
      <c r="U1829">
        <v>1787</v>
      </c>
      <c r="V1829" s="197">
        <v>-582.41448122479505</v>
      </c>
    </row>
    <row r="1830" spans="21:22">
      <c r="U1830">
        <v>1788</v>
      </c>
      <c r="V1830" s="197">
        <v>-645.17327887176293</v>
      </c>
    </row>
    <row r="1831" spans="21:22">
      <c r="U1831">
        <v>1789</v>
      </c>
      <c r="V1831" s="197">
        <v>-622.11140232567755</v>
      </c>
    </row>
    <row r="1832" spans="21:22">
      <c r="U1832">
        <v>1790</v>
      </c>
      <c r="V1832" s="197">
        <v>-2703.7744587663597</v>
      </c>
    </row>
    <row r="1833" spans="21:22">
      <c r="U1833">
        <v>1791</v>
      </c>
      <c r="V1833" s="197">
        <v>1246.6625212172542</v>
      </c>
    </row>
    <row r="1834" spans="21:22">
      <c r="U1834">
        <v>1792</v>
      </c>
      <c r="V1834" s="197">
        <v>36.175360258222327</v>
      </c>
    </row>
    <row r="1835" spans="21:22">
      <c r="U1835">
        <v>1793</v>
      </c>
      <c r="V1835" s="197">
        <v>513.68236940600264</v>
      </c>
    </row>
    <row r="1836" spans="21:22">
      <c r="U1836">
        <v>1794</v>
      </c>
      <c r="V1836" s="197">
        <v>-897.08595152819066</v>
      </c>
    </row>
    <row r="1837" spans="21:22">
      <c r="U1837">
        <v>1795</v>
      </c>
      <c r="V1837" s="197">
        <v>-86.120069805754724</v>
      </c>
    </row>
    <row r="1838" spans="21:22">
      <c r="U1838">
        <v>1796</v>
      </c>
      <c r="V1838" s="197">
        <v>-237.28144716736745</v>
      </c>
    </row>
    <row r="1839" spans="21:22">
      <c r="U1839">
        <v>1797</v>
      </c>
      <c r="V1839" s="197">
        <v>277.78359890984734</v>
      </c>
    </row>
    <row r="1840" spans="21:22">
      <c r="U1840">
        <v>1798</v>
      </c>
      <c r="V1840" s="197">
        <v>633.53020757935178</v>
      </c>
    </row>
    <row r="1841" spans="21:22">
      <c r="U1841">
        <v>1799</v>
      </c>
      <c r="V1841" s="197">
        <v>1231.3934701351982</v>
      </c>
    </row>
    <row r="1842" spans="21:22">
      <c r="U1842">
        <v>1800</v>
      </c>
      <c r="V1842" s="197">
        <v>2312.859088781257</v>
      </c>
    </row>
    <row r="1843" spans="21:22">
      <c r="U1843">
        <v>1801</v>
      </c>
      <c r="V1843" s="197">
        <v>-1943.1763442826696</v>
      </c>
    </row>
    <row r="1844" spans="21:22">
      <c r="U1844">
        <v>1802</v>
      </c>
      <c r="V1844" s="197">
        <v>-570.50517735696371</v>
      </c>
    </row>
    <row r="1845" spans="21:22">
      <c r="U1845">
        <v>1803</v>
      </c>
      <c r="V1845" s="197">
        <v>587.17729547638919</v>
      </c>
    </row>
    <row r="1846" spans="21:22">
      <c r="U1846">
        <v>1804</v>
      </c>
      <c r="V1846" s="197">
        <v>876.74670126325418</v>
      </c>
    </row>
    <row r="1847" spans="21:22">
      <c r="U1847">
        <v>1805</v>
      </c>
      <c r="V1847" s="197">
        <v>-598.97426508731087</v>
      </c>
    </row>
    <row r="1848" spans="21:22">
      <c r="U1848">
        <v>1806</v>
      </c>
      <c r="V1848" s="197">
        <v>757.86057170865638</v>
      </c>
    </row>
    <row r="1849" spans="21:22">
      <c r="U1849">
        <v>1807</v>
      </c>
      <c r="V1849" s="197">
        <v>1011.591712424764</v>
      </c>
    </row>
    <row r="1850" spans="21:22">
      <c r="U1850">
        <v>1808</v>
      </c>
      <c r="V1850" s="197">
        <v>429.9189758821841</v>
      </c>
    </row>
    <row r="1851" spans="21:22">
      <c r="U1851">
        <v>1809</v>
      </c>
      <c r="V1851" s="197">
        <v>490.05225833982217</v>
      </c>
    </row>
    <row r="1852" spans="21:22">
      <c r="U1852">
        <v>1810</v>
      </c>
      <c r="V1852" s="197">
        <v>1040.9879796451921</v>
      </c>
    </row>
    <row r="1853" spans="21:22">
      <c r="U1853">
        <v>1811</v>
      </c>
      <c r="V1853" s="197">
        <v>230.28165463848396</v>
      </c>
    </row>
    <row r="1854" spans="21:22">
      <c r="U1854">
        <v>1812</v>
      </c>
      <c r="V1854" s="197">
        <v>-60.733624277050723</v>
      </c>
    </row>
    <row r="1855" spans="21:22">
      <c r="U1855">
        <v>1813</v>
      </c>
      <c r="V1855" s="197">
        <v>-18.612897099156129</v>
      </c>
    </row>
    <row r="1856" spans="21:22">
      <c r="U1856">
        <v>1814</v>
      </c>
      <c r="V1856" s="197">
        <v>3129.5110804433566</v>
      </c>
    </row>
    <row r="1857" spans="21:22">
      <c r="U1857">
        <v>1815</v>
      </c>
      <c r="V1857" s="197">
        <v>-890.41667159339022</v>
      </c>
    </row>
    <row r="1858" spans="21:22">
      <c r="U1858">
        <v>1816</v>
      </c>
      <c r="V1858" s="197">
        <v>-740.43094147488637</v>
      </c>
    </row>
    <row r="1859" spans="21:22">
      <c r="U1859">
        <v>1817</v>
      </c>
      <c r="V1859" s="197">
        <v>1849.7441005057465</v>
      </c>
    </row>
    <row r="1860" spans="21:22">
      <c r="U1860">
        <v>1818</v>
      </c>
      <c r="V1860" s="197">
        <v>288.93207013294563</v>
      </c>
    </row>
    <row r="1861" spans="21:22">
      <c r="U1861">
        <v>1819</v>
      </c>
      <c r="V1861" s="197">
        <v>513.78762103582289</v>
      </c>
    </row>
    <row r="1862" spans="21:22">
      <c r="U1862">
        <v>1820</v>
      </c>
      <c r="V1862" s="197">
        <v>-156.39839923339446</v>
      </c>
    </row>
    <row r="1863" spans="21:22">
      <c r="U1863">
        <v>1821</v>
      </c>
      <c r="V1863" s="197">
        <v>-526.19554618690108</v>
      </c>
    </row>
    <row r="1864" spans="21:22">
      <c r="U1864">
        <v>1822</v>
      </c>
      <c r="V1864" s="197">
        <v>-312.14579243290802</v>
      </c>
    </row>
    <row r="1865" spans="21:22">
      <c r="U1865">
        <v>1823</v>
      </c>
      <c r="V1865" s="197">
        <v>-608.38253221274817</v>
      </c>
    </row>
    <row r="1866" spans="21:22">
      <c r="U1866">
        <v>1824</v>
      </c>
      <c r="V1866" s="197">
        <v>758.72949867201214</v>
      </c>
    </row>
    <row r="1867" spans="21:22">
      <c r="U1867">
        <v>1825</v>
      </c>
      <c r="V1867" s="197">
        <v>-1195.9943153588163</v>
      </c>
    </row>
    <row r="1868" spans="21:22">
      <c r="U1868">
        <v>1826</v>
      </c>
      <c r="V1868" s="197">
        <v>-1366.1217180888825</v>
      </c>
    </row>
    <row r="1869" spans="21:22">
      <c r="U1869">
        <v>1827</v>
      </c>
      <c r="V1869" s="197">
        <v>-67.82030142763881</v>
      </c>
    </row>
    <row r="1870" spans="21:22">
      <c r="U1870">
        <v>1828</v>
      </c>
      <c r="V1870" s="197">
        <v>795.22597294204388</v>
      </c>
    </row>
    <row r="1871" spans="21:22">
      <c r="U1871">
        <v>1829</v>
      </c>
      <c r="V1871" s="197">
        <v>-980.31064118269978</v>
      </c>
    </row>
    <row r="1872" spans="21:22">
      <c r="U1872">
        <v>1830</v>
      </c>
      <c r="V1872" s="197">
        <v>-145.3677245729148</v>
      </c>
    </row>
    <row r="1873" spans="21:22">
      <c r="U1873">
        <v>1831</v>
      </c>
      <c r="V1873" s="197">
        <v>836.28175394375558</v>
      </c>
    </row>
    <row r="1874" spans="21:22">
      <c r="U1874">
        <v>1832</v>
      </c>
      <c r="V1874" s="197">
        <v>-718.38428440020402</v>
      </c>
    </row>
    <row r="1875" spans="21:22">
      <c r="U1875">
        <v>1833</v>
      </c>
      <c r="V1875" s="197">
        <v>1697.782433002365</v>
      </c>
    </row>
    <row r="1876" spans="21:22">
      <c r="U1876">
        <v>1834</v>
      </c>
      <c r="V1876" s="197">
        <v>-1035.0948800956849</v>
      </c>
    </row>
    <row r="1877" spans="21:22">
      <c r="U1877">
        <v>1835</v>
      </c>
      <c r="V1877" s="197">
        <v>1236.0150829391625</v>
      </c>
    </row>
    <row r="1878" spans="21:22">
      <c r="U1878">
        <v>1836</v>
      </c>
      <c r="V1878" s="197">
        <v>-235.08127911135591</v>
      </c>
    </row>
    <row r="1879" spans="21:22">
      <c r="U1879">
        <v>1837</v>
      </c>
      <c r="V1879" s="197">
        <v>-387.3414865703881</v>
      </c>
    </row>
    <row r="1880" spans="21:22">
      <c r="U1880">
        <v>1838</v>
      </c>
      <c r="V1880" s="197">
        <v>-612.10993849709394</v>
      </c>
    </row>
    <row r="1881" spans="21:22">
      <c r="U1881">
        <v>1839</v>
      </c>
      <c r="V1881" s="197">
        <v>-832.11140313560395</v>
      </c>
    </row>
    <row r="1882" spans="21:22">
      <c r="U1882">
        <v>1840</v>
      </c>
      <c r="V1882" s="197">
        <v>664.28429395166609</v>
      </c>
    </row>
    <row r="1883" spans="21:22">
      <c r="U1883">
        <v>1841</v>
      </c>
      <c r="V1883" s="197">
        <v>-1067.3742014920265</v>
      </c>
    </row>
    <row r="1884" spans="21:22">
      <c r="U1884">
        <v>1842</v>
      </c>
      <c r="V1884" s="197">
        <v>669.49941623117934</v>
      </c>
    </row>
    <row r="1885" spans="21:22">
      <c r="U1885">
        <v>1843</v>
      </c>
      <c r="V1885" s="197">
        <v>538.88878983116592</v>
      </c>
    </row>
    <row r="1886" spans="21:22">
      <c r="U1886">
        <v>1844</v>
      </c>
      <c r="V1886" s="197">
        <v>1792.182583609534</v>
      </c>
    </row>
    <row r="1887" spans="21:22">
      <c r="U1887">
        <v>1845</v>
      </c>
      <c r="V1887" s="197">
        <v>401.93137918161267</v>
      </c>
    </row>
    <row r="1888" spans="21:22">
      <c r="U1888">
        <v>1846</v>
      </c>
      <c r="V1888" s="197">
        <v>-998.91685225027231</v>
      </c>
    </row>
    <row r="1889" spans="21:22">
      <c r="U1889">
        <v>1847</v>
      </c>
      <c r="V1889" s="197">
        <v>348.77064264274395</v>
      </c>
    </row>
    <row r="1890" spans="21:22">
      <c r="U1890">
        <v>1848</v>
      </c>
      <c r="V1890" s="197">
        <v>1039.4397280402648</v>
      </c>
    </row>
    <row r="1891" spans="21:22">
      <c r="U1891">
        <v>1849</v>
      </c>
      <c r="V1891" s="197">
        <v>711.00110230112932</v>
      </c>
    </row>
    <row r="1892" spans="21:22">
      <c r="U1892">
        <v>1850</v>
      </c>
      <c r="V1892" s="197">
        <v>282.7907721013903</v>
      </c>
    </row>
    <row r="1893" spans="21:22">
      <c r="U1893">
        <v>1851</v>
      </c>
      <c r="V1893" s="197">
        <v>446.69354867161746</v>
      </c>
    </row>
    <row r="1894" spans="21:22">
      <c r="U1894">
        <v>1852</v>
      </c>
      <c r="V1894" s="197">
        <v>-598.21256976912719</v>
      </c>
    </row>
    <row r="1895" spans="21:22">
      <c r="U1895">
        <v>1853</v>
      </c>
      <c r="V1895" s="197">
        <v>-905.25864585737122</v>
      </c>
    </row>
    <row r="1896" spans="21:22">
      <c r="U1896">
        <v>1854</v>
      </c>
      <c r="V1896" s="197">
        <v>-935.94727053343627</v>
      </c>
    </row>
    <row r="1897" spans="21:22">
      <c r="U1897">
        <v>1855</v>
      </c>
      <c r="V1897" s="197">
        <v>930.39901680548064</v>
      </c>
    </row>
    <row r="1898" spans="21:22">
      <c r="U1898">
        <v>1856</v>
      </c>
      <c r="V1898" s="197">
        <v>-261.23355046348377</v>
      </c>
    </row>
    <row r="1899" spans="21:22">
      <c r="U1899">
        <v>1857</v>
      </c>
      <c r="V1899" s="197">
        <v>1933.2844363025642</v>
      </c>
    </row>
    <row r="1900" spans="21:22">
      <c r="U1900">
        <v>1858</v>
      </c>
      <c r="V1900" s="197">
        <v>191.31922520311036</v>
      </c>
    </row>
    <row r="1901" spans="21:22">
      <c r="U1901">
        <v>1859</v>
      </c>
      <c r="V1901" s="197">
        <v>-171.66447299177639</v>
      </c>
    </row>
    <row r="1902" spans="21:22">
      <c r="U1902">
        <v>1860</v>
      </c>
      <c r="V1902" s="197">
        <v>1197.4809085390416</v>
      </c>
    </row>
    <row r="1903" spans="21:22">
      <c r="U1903">
        <v>1861</v>
      </c>
      <c r="V1903" s="197">
        <v>253.45469988172692</v>
      </c>
    </row>
    <row r="1904" spans="21:22">
      <c r="U1904">
        <v>1862</v>
      </c>
      <c r="V1904" s="197">
        <v>200.48764826072016</v>
      </c>
    </row>
    <row r="1905" spans="21:22">
      <c r="U1905">
        <v>1863</v>
      </c>
      <c r="V1905" s="197">
        <v>361.11202479051258</v>
      </c>
    </row>
    <row r="1906" spans="21:22">
      <c r="U1906">
        <v>1864</v>
      </c>
      <c r="V1906" s="197">
        <v>635.21392831082471</v>
      </c>
    </row>
    <row r="1907" spans="21:22">
      <c r="U1907">
        <v>1865</v>
      </c>
      <c r="V1907" s="197">
        <v>136.36632488579539</v>
      </c>
    </row>
    <row r="1908" spans="21:22">
      <c r="U1908">
        <v>1866</v>
      </c>
      <c r="V1908" s="197">
        <v>1688.1059163413247</v>
      </c>
    </row>
    <row r="1909" spans="21:22">
      <c r="U1909">
        <v>1867</v>
      </c>
      <c r="V1909" s="197">
        <v>810.92436071526186</v>
      </c>
    </row>
    <row r="1910" spans="21:22">
      <c r="U1910">
        <v>1868</v>
      </c>
      <c r="V1910" s="197">
        <v>-295.5973885033959</v>
      </c>
    </row>
    <row r="1911" spans="21:22">
      <c r="U1911">
        <v>1869</v>
      </c>
      <c r="V1911" s="197">
        <v>-8.4178345863938375</v>
      </c>
    </row>
    <row r="1912" spans="21:22">
      <c r="U1912">
        <v>1870</v>
      </c>
      <c r="V1912" s="197">
        <v>-13.555773856664175</v>
      </c>
    </row>
    <row r="1913" spans="21:22">
      <c r="U1913">
        <v>1871</v>
      </c>
      <c r="V1913" s="197">
        <v>-1507.9120935760443</v>
      </c>
    </row>
    <row r="1914" spans="21:22">
      <c r="U1914">
        <v>1872</v>
      </c>
      <c r="V1914" s="197">
        <v>-486.63312858305864</v>
      </c>
    </row>
    <row r="1915" spans="21:22">
      <c r="U1915">
        <v>1873</v>
      </c>
      <c r="V1915" s="197">
        <v>-1410.0653750526171</v>
      </c>
    </row>
    <row r="1916" spans="21:22">
      <c r="U1916">
        <v>1874</v>
      </c>
      <c r="V1916" s="197">
        <v>-1002.1234097017289</v>
      </c>
    </row>
    <row r="1917" spans="21:22">
      <c r="U1917">
        <v>1875</v>
      </c>
      <c r="V1917" s="197">
        <v>-152.27908690124229</v>
      </c>
    </row>
    <row r="1918" spans="21:22">
      <c r="U1918">
        <v>1876</v>
      </c>
      <c r="V1918" s="197">
        <v>86.141841095710234</v>
      </c>
    </row>
    <row r="1919" spans="21:22">
      <c r="U1919">
        <v>1877</v>
      </c>
      <c r="V1919" s="197">
        <v>-1303.0702814612714</v>
      </c>
    </row>
    <row r="1920" spans="21:22">
      <c r="U1920">
        <v>1878</v>
      </c>
      <c r="V1920" s="197">
        <v>422.2675720948655</v>
      </c>
    </row>
    <row r="1921" spans="21:22">
      <c r="U1921">
        <v>1879</v>
      </c>
      <c r="V1921" s="197">
        <v>-452.76831448962906</v>
      </c>
    </row>
    <row r="1922" spans="21:22">
      <c r="U1922">
        <v>1880</v>
      </c>
      <c r="V1922" s="197">
        <v>1237.3874494373465</v>
      </c>
    </row>
    <row r="1923" spans="21:22">
      <c r="U1923">
        <v>1881</v>
      </c>
      <c r="V1923" s="197">
        <v>2026.4536647745977</v>
      </c>
    </row>
    <row r="1924" spans="21:22">
      <c r="U1924">
        <v>1882</v>
      </c>
      <c r="V1924" s="197">
        <v>-263.33940109083056</v>
      </c>
    </row>
    <row r="1925" spans="21:22">
      <c r="U1925">
        <v>1883</v>
      </c>
      <c r="V1925" s="197">
        <v>898.91499824694188</v>
      </c>
    </row>
    <row r="1926" spans="21:22">
      <c r="U1926">
        <v>1884</v>
      </c>
      <c r="V1926" s="197">
        <v>30.4215952196991</v>
      </c>
    </row>
    <row r="1927" spans="21:22">
      <c r="U1927">
        <v>1885</v>
      </c>
      <c r="V1927" s="197">
        <v>-531.73239580407949</v>
      </c>
    </row>
    <row r="1928" spans="21:22">
      <c r="U1928">
        <v>1886</v>
      </c>
      <c r="V1928" s="197">
        <v>-1352.5739396494523</v>
      </c>
    </row>
    <row r="1929" spans="21:22">
      <c r="U1929">
        <v>1887</v>
      </c>
      <c r="V1929" s="197">
        <v>1011.9711268291849</v>
      </c>
    </row>
    <row r="1930" spans="21:22">
      <c r="U1930">
        <v>1888</v>
      </c>
      <c r="V1930" s="197">
        <v>1560.5988003074629</v>
      </c>
    </row>
    <row r="1931" spans="21:22">
      <c r="U1931">
        <v>1889</v>
      </c>
      <c r="V1931" s="197">
        <v>1103.1354855158988</v>
      </c>
    </row>
    <row r="1932" spans="21:22">
      <c r="U1932">
        <v>1890</v>
      </c>
      <c r="V1932" s="197">
        <v>-184.73955303670647</v>
      </c>
    </row>
    <row r="1933" spans="21:22">
      <c r="U1933">
        <v>1891</v>
      </c>
      <c r="V1933" s="197">
        <v>192.33015434069443</v>
      </c>
    </row>
    <row r="1934" spans="21:22">
      <c r="U1934">
        <v>1892</v>
      </c>
      <c r="V1934" s="197">
        <v>120.32753991323756</v>
      </c>
    </row>
    <row r="1935" spans="21:22">
      <c r="U1935">
        <v>1893</v>
      </c>
      <c r="V1935" s="197">
        <v>-391.90587185859653</v>
      </c>
    </row>
    <row r="1936" spans="21:22">
      <c r="U1936">
        <v>1894</v>
      </c>
      <c r="V1936" s="197">
        <v>158.48876271698418</v>
      </c>
    </row>
    <row r="1937" spans="21:22">
      <c r="U1937">
        <v>1895</v>
      </c>
      <c r="V1937" s="197">
        <v>426.86710102003752</v>
      </c>
    </row>
    <row r="1938" spans="21:22">
      <c r="U1938">
        <v>1896</v>
      </c>
      <c r="V1938" s="197">
        <v>-1280.2840962065966</v>
      </c>
    </row>
    <row r="1939" spans="21:22">
      <c r="U1939">
        <v>1897</v>
      </c>
      <c r="V1939" s="197">
        <v>-1015.1937044325325</v>
      </c>
    </row>
    <row r="1940" spans="21:22">
      <c r="U1940">
        <v>1898</v>
      </c>
      <c r="V1940" s="197">
        <v>1147.2396165546077</v>
      </c>
    </row>
    <row r="1941" spans="21:22">
      <c r="U1941">
        <v>1899</v>
      </c>
      <c r="V1941" s="197">
        <v>-1546.4621803314012</v>
      </c>
    </row>
    <row r="1942" spans="21:22">
      <c r="U1942">
        <v>1900</v>
      </c>
      <c r="V1942" s="197">
        <v>2176.443421356988</v>
      </c>
    </row>
    <row r="1943" spans="21:22">
      <c r="U1943">
        <v>1901</v>
      </c>
      <c r="V1943" s="197">
        <v>-40.59184766069427</v>
      </c>
    </row>
    <row r="1944" spans="21:22">
      <c r="U1944">
        <v>1902</v>
      </c>
      <c r="V1944" s="197">
        <v>-591.66926903654303</v>
      </c>
    </row>
    <row r="1945" spans="21:22">
      <c r="U1945">
        <v>1903</v>
      </c>
      <c r="V1945" s="197">
        <v>57.232333658783965</v>
      </c>
    </row>
    <row r="1946" spans="21:22">
      <c r="U1946">
        <v>1904</v>
      </c>
      <c r="V1946" s="197">
        <v>590.18326283300348</v>
      </c>
    </row>
    <row r="1947" spans="21:22">
      <c r="U1947">
        <v>1905</v>
      </c>
      <c r="V1947" s="197">
        <v>513.60935172836207</v>
      </c>
    </row>
    <row r="1948" spans="21:22">
      <c r="U1948">
        <v>1906</v>
      </c>
      <c r="V1948" s="197">
        <v>345.55683712425559</v>
      </c>
    </row>
    <row r="1949" spans="21:22">
      <c r="U1949">
        <v>1907</v>
      </c>
      <c r="V1949" s="197">
        <v>641.7163871419566</v>
      </c>
    </row>
    <row r="1950" spans="21:22">
      <c r="U1950">
        <v>1908</v>
      </c>
      <c r="V1950" s="197">
        <v>-671.03422460558409</v>
      </c>
    </row>
    <row r="1951" spans="21:22">
      <c r="U1951">
        <v>1909</v>
      </c>
      <c r="V1951" s="197">
        <v>105.30908355448096</v>
      </c>
    </row>
    <row r="1952" spans="21:22">
      <c r="U1952">
        <v>1910</v>
      </c>
      <c r="V1952" s="197">
        <v>627.24433863809895</v>
      </c>
    </row>
    <row r="1953" spans="21:22">
      <c r="U1953">
        <v>1911</v>
      </c>
      <c r="V1953" s="197">
        <v>-2073.5148137136775</v>
      </c>
    </row>
    <row r="1954" spans="21:22">
      <c r="U1954">
        <v>1912</v>
      </c>
      <c r="V1954" s="197">
        <v>624.97234921249446</v>
      </c>
    </row>
    <row r="1955" spans="21:22">
      <c r="U1955">
        <v>1913</v>
      </c>
      <c r="V1955" s="197">
        <v>943.87343441059329</v>
      </c>
    </row>
    <row r="1956" spans="21:22">
      <c r="U1956">
        <v>1914</v>
      </c>
      <c r="V1956" s="197">
        <v>-881.06850269862798</v>
      </c>
    </row>
    <row r="1957" spans="21:22">
      <c r="U1957">
        <v>1915</v>
      </c>
      <c r="V1957" s="197">
        <v>-375.8576259108317</v>
      </c>
    </row>
    <row r="1958" spans="21:22">
      <c r="U1958">
        <v>1916</v>
      </c>
      <c r="V1958" s="197">
        <v>-419.67414109073428</v>
      </c>
    </row>
    <row r="1959" spans="21:22">
      <c r="U1959">
        <v>1917</v>
      </c>
      <c r="V1959" s="197">
        <v>-441.34843499671553</v>
      </c>
    </row>
    <row r="1960" spans="21:22">
      <c r="U1960">
        <v>1918</v>
      </c>
      <c r="V1960" s="197">
        <v>-799.58907268335702</v>
      </c>
    </row>
    <row r="1961" spans="21:22">
      <c r="U1961">
        <v>1919</v>
      </c>
      <c r="V1961" s="197">
        <v>1394.0849175381186</v>
      </c>
    </row>
    <row r="1962" spans="21:22">
      <c r="U1962">
        <v>1920</v>
      </c>
      <c r="V1962" s="197">
        <v>595.31191981306665</v>
      </c>
    </row>
    <row r="1963" spans="21:22">
      <c r="U1963">
        <v>1921</v>
      </c>
      <c r="V1963" s="197">
        <v>510.53004230544002</v>
      </c>
    </row>
    <row r="1964" spans="21:22">
      <c r="U1964">
        <v>1922</v>
      </c>
      <c r="V1964" s="197">
        <v>1906.3756477627207</v>
      </c>
    </row>
    <row r="1965" spans="21:22">
      <c r="U1965">
        <v>1923</v>
      </c>
      <c r="V1965" s="197">
        <v>-1273.4724156074428</v>
      </c>
    </row>
    <row r="1966" spans="21:22">
      <c r="U1966">
        <v>1924</v>
      </c>
      <c r="V1966" s="197">
        <v>-1767.8063441090719</v>
      </c>
    </row>
    <row r="1967" spans="21:22">
      <c r="U1967">
        <v>1925</v>
      </c>
      <c r="V1967" s="197">
        <v>-79.879455106427741</v>
      </c>
    </row>
    <row r="1968" spans="21:22">
      <c r="U1968">
        <v>1926</v>
      </c>
      <c r="V1968" s="197">
        <v>1446.3573130780858</v>
      </c>
    </row>
    <row r="1969" spans="21:22">
      <c r="U1969">
        <v>1927</v>
      </c>
      <c r="V1969" s="197">
        <v>63.554861034945134</v>
      </c>
    </row>
    <row r="1970" spans="21:22">
      <c r="U1970">
        <v>1928</v>
      </c>
      <c r="V1970" s="197">
        <v>-244.3279019166867</v>
      </c>
    </row>
    <row r="1971" spans="21:22">
      <c r="U1971">
        <v>1929</v>
      </c>
      <c r="V1971" s="197">
        <v>-219.94576659090427</v>
      </c>
    </row>
    <row r="1972" spans="21:22">
      <c r="U1972">
        <v>1930</v>
      </c>
      <c r="V1972" s="197">
        <v>319.04989342824774</v>
      </c>
    </row>
    <row r="1973" spans="21:22">
      <c r="U1973">
        <v>1931</v>
      </c>
      <c r="V1973" s="197">
        <v>1085.3558889564026</v>
      </c>
    </row>
    <row r="1974" spans="21:22">
      <c r="U1974">
        <v>1932</v>
      </c>
      <c r="V1974" s="197">
        <v>-372.39603547925969</v>
      </c>
    </row>
    <row r="1975" spans="21:22">
      <c r="U1975">
        <v>1933</v>
      </c>
      <c r="V1975" s="197">
        <v>-164.08667493054105</v>
      </c>
    </row>
    <row r="1976" spans="21:22">
      <c r="U1976">
        <v>1934</v>
      </c>
      <c r="V1976" s="197">
        <v>1502.5948359940094</v>
      </c>
    </row>
    <row r="1977" spans="21:22">
      <c r="U1977">
        <v>1935</v>
      </c>
      <c r="V1977" s="197">
        <v>742.98473762114304</v>
      </c>
    </row>
    <row r="1978" spans="21:22">
      <c r="U1978">
        <v>1936</v>
      </c>
      <c r="V1978" s="197">
        <v>1786.5007063742685</v>
      </c>
    </row>
    <row r="1979" spans="21:22">
      <c r="U1979">
        <v>1937</v>
      </c>
      <c r="V1979" s="197">
        <v>456.07092267293342</v>
      </c>
    </row>
    <row r="1980" spans="21:22">
      <c r="U1980">
        <v>1938</v>
      </c>
      <c r="V1980" s="197">
        <v>-92.142076333122475</v>
      </c>
    </row>
    <row r="1981" spans="21:22">
      <c r="U1981">
        <v>1939</v>
      </c>
      <c r="V1981" s="197">
        <v>261.69217586580282</v>
      </c>
    </row>
    <row r="1982" spans="21:22">
      <c r="U1982">
        <v>1940</v>
      </c>
      <c r="V1982" s="197">
        <v>184.5164335412706</v>
      </c>
    </row>
    <row r="1983" spans="21:22">
      <c r="U1983">
        <v>1941</v>
      </c>
      <c r="V1983" s="197">
        <v>334.77965218607761</v>
      </c>
    </row>
    <row r="1984" spans="21:22">
      <c r="U1984">
        <v>1942</v>
      </c>
      <c r="V1984" s="197">
        <v>-1444.9513868391614</v>
      </c>
    </row>
    <row r="1985" spans="21:22">
      <c r="U1985">
        <v>1943</v>
      </c>
      <c r="V1985" s="197">
        <v>-1380.2132310346294</v>
      </c>
    </row>
    <row r="1986" spans="21:22">
      <c r="U1986">
        <v>1944</v>
      </c>
      <c r="V1986" s="197">
        <v>-468.71959837687763</v>
      </c>
    </row>
    <row r="1987" spans="21:22">
      <c r="U1987">
        <v>1945</v>
      </c>
      <c r="V1987" s="197">
        <v>350.79192993185188</v>
      </c>
    </row>
    <row r="1988" spans="21:22">
      <c r="U1988">
        <v>1946</v>
      </c>
      <c r="V1988" s="197">
        <v>-430.66355777025166</v>
      </c>
    </row>
    <row r="1989" spans="21:22">
      <c r="U1989">
        <v>1947</v>
      </c>
      <c r="V1989" s="197">
        <v>1084.9866278625307</v>
      </c>
    </row>
    <row r="1990" spans="21:22">
      <c r="U1990">
        <v>1948</v>
      </c>
      <c r="V1990" s="197">
        <v>297.03555758182586</v>
      </c>
    </row>
    <row r="1991" spans="21:22">
      <c r="U1991">
        <v>1949</v>
      </c>
      <c r="V1991" s="197">
        <v>224.80560114696914</v>
      </c>
    </row>
    <row r="1992" spans="21:22">
      <c r="U1992">
        <v>1950</v>
      </c>
      <c r="V1992" s="197">
        <v>1332.5473480411047</v>
      </c>
    </row>
    <row r="1993" spans="21:22">
      <c r="U1993">
        <v>1951</v>
      </c>
      <c r="V1993" s="197">
        <v>-563.47301201471259</v>
      </c>
    </row>
    <row r="1994" spans="21:22">
      <c r="U1994">
        <v>1952</v>
      </c>
      <c r="V1994" s="197">
        <v>-1150.5810190971654</v>
      </c>
    </row>
    <row r="1995" spans="21:22">
      <c r="U1995">
        <v>1953</v>
      </c>
      <c r="V1995" s="197">
        <v>620.8013974949522</v>
      </c>
    </row>
    <row r="1996" spans="21:22">
      <c r="U1996">
        <v>1954</v>
      </c>
      <c r="V1996" s="197">
        <v>1988.0757121046181</v>
      </c>
    </row>
    <row r="1997" spans="21:22">
      <c r="U1997">
        <v>1955</v>
      </c>
      <c r="V1997" s="197">
        <v>148.20926036157863</v>
      </c>
    </row>
    <row r="1998" spans="21:22">
      <c r="U1998">
        <v>1956</v>
      </c>
      <c r="V1998" s="197">
        <v>1029.7850891938499</v>
      </c>
    </row>
    <row r="1999" spans="21:22">
      <c r="U1999">
        <v>1957</v>
      </c>
      <c r="V1999" s="197">
        <v>145.7867619308698</v>
      </c>
    </row>
    <row r="2000" spans="21:22">
      <c r="U2000">
        <v>1958</v>
      </c>
      <c r="V2000" s="197">
        <v>318.7091748236893</v>
      </c>
    </row>
    <row r="2001" spans="21:22">
      <c r="U2001">
        <v>1959</v>
      </c>
      <c r="V2001" s="197">
        <v>1169.8760178175644</v>
      </c>
    </row>
    <row r="2002" spans="21:22">
      <c r="U2002">
        <v>1960</v>
      </c>
      <c r="V2002" s="197">
        <v>-1553.1968427359093</v>
      </c>
    </row>
    <row r="2003" spans="21:22">
      <c r="U2003">
        <v>1961</v>
      </c>
      <c r="V2003" s="197">
        <v>-340.26720119680613</v>
      </c>
    </row>
    <row r="2004" spans="21:22">
      <c r="U2004">
        <v>1962</v>
      </c>
      <c r="V2004" s="197">
        <v>-635.69609149914527</v>
      </c>
    </row>
    <row r="2005" spans="21:22">
      <c r="U2005">
        <v>1963</v>
      </c>
      <c r="V2005" s="197">
        <v>273.91480988664239</v>
      </c>
    </row>
    <row r="2006" spans="21:22">
      <c r="U2006">
        <v>1964</v>
      </c>
      <c r="V2006" s="197">
        <v>-58.10794553122912</v>
      </c>
    </row>
    <row r="2007" spans="21:22">
      <c r="U2007">
        <v>1965</v>
      </c>
      <c r="V2007" s="197">
        <v>224.32509110329255</v>
      </c>
    </row>
    <row r="2008" spans="21:22">
      <c r="U2008">
        <v>1966</v>
      </c>
      <c r="V2008" s="197">
        <v>738.41643671471957</v>
      </c>
    </row>
    <row r="2009" spans="21:22">
      <c r="U2009">
        <v>1967</v>
      </c>
      <c r="V2009" s="197">
        <v>96.709171614548083</v>
      </c>
    </row>
    <row r="2010" spans="21:22">
      <c r="U2010">
        <v>1968</v>
      </c>
      <c r="V2010" s="197">
        <v>-208.90169204602358</v>
      </c>
    </row>
    <row r="2011" spans="21:22">
      <c r="U2011">
        <v>1969</v>
      </c>
      <c r="V2011" s="197">
        <v>-296.48475076139096</v>
      </c>
    </row>
    <row r="2012" spans="21:22">
      <c r="U2012">
        <v>1970</v>
      </c>
      <c r="V2012" s="197">
        <v>-1061.8039301672327</v>
      </c>
    </row>
    <row r="2013" spans="21:22">
      <c r="U2013">
        <v>1971</v>
      </c>
      <c r="V2013" s="197">
        <v>328.1882084996281</v>
      </c>
    </row>
    <row r="2014" spans="21:22">
      <c r="U2014">
        <v>1972</v>
      </c>
      <c r="V2014" s="197">
        <v>-291.05669497840586</v>
      </c>
    </row>
    <row r="2015" spans="21:22">
      <c r="U2015">
        <v>1973</v>
      </c>
      <c r="V2015" s="197">
        <v>1600.5095139508117</v>
      </c>
    </row>
    <row r="2016" spans="21:22">
      <c r="U2016">
        <v>1974</v>
      </c>
      <c r="V2016" s="197">
        <v>801.15252967348874</v>
      </c>
    </row>
    <row r="2017" spans="21:22">
      <c r="U2017">
        <v>1975</v>
      </c>
      <c r="V2017" s="197">
        <v>655.31571122665287</v>
      </c>
    </row>
    <row r="2018" spans="21:22">
      <c r="U2018">
        <v>1976</v>
      </c>
      <c r="V2018" s="197">
        <v>-1866.3429204349327</v>
      </c>
    </row>
    <row r="2019" spans="21:22">
      <c r="U2019">
        <v>1977</v>
      </c>
      <c r="V2019" s="197">
        <v>991.16831516420439</v>
      </c>
    </row>
    <row r="2020" spans="21:22">
      <c r="U2020">
        <v>1978</v>
      </c>
      <c r="V2020" s="197">
        <v>2238.4651452109611</v>
      </c>
    </row>
    <row r="2021" spans="21:22">
      <c r="U2021">
        <v>1979</v>
      </c>
      <c r="V2021" s="197">
        <v>-1575.4079712922794</v>
      </c>
    </row>
    <row r="2022" spans="21:22">
      <c r="U2022">
        <v>1980</v>
      </c>
      <c r="V2022" s="197">
        <v>-319.18882834624407</v>
      </c>
    </row>
    <row r="2023" spans="21:22">
      <c r="U2023">
        <v>1981</v>
      </c>
      <c r="V2023" s="197">
        <v>-1000.5359903554995</v>
      </c>
    </row>
    <row r="2024" spans="21:22">
      <c r="U2024">
        <v>1982</v>
      </c>
      <c r="V2024" s="197">
        <v>454.85122556942457</v>
      </c>
    </row>
    <row r="2025" spans="21:22">
      <c r="U2025">
        <v>1983</v>
      </c>
      <c r="V2025" s="197">
        <v>783.97255584083473</v>
      </c>
    </row>
    <row r="2026" spans="21:22">
      <c r="U2026">
        <v>1984</v>
      </c>
      <c r="V2026" s="197">
        <v>-2074.1537860566195</v>
      </c>
    </row>
    <row r="2027" spans="21:22">
      <c r="U2027">
        <v>1985</v>
      </c>
      <c r="V2027" s="197">
        <v>448.23532260468625</v>
      </c>
    </row>
    <row r="2028" spans="21:22">
      <c r="U2028">
        <v>1986</v>
      </c>
      <c r="V2028" s="197">
        <v>-873.32178635852415</v>
      </c>
    </row>
    <row r="2029" spans="21:22">
      <c r="U2029">
        <v>1987</v>
      </c>
      <c r="V2029" s="197">
        <v>557.99979937835974</v>
      </c>
    </row>
    <row r="2030" spans="21:22">
      <c r="U2030">
        <v>1988</v>
      </c>
      <c r="V2030" s="197">
        <v>-73.780261889946388</v>
      </c>
    </row>
    <row r="2031" spans="21:22">
      <c r="U2031">
        <v>1989</v>
      </c>
      <c r="V2031" s="197">
        <v>1266.8145702537809</v>
      </c>
    </row>
    <row r="2032" spans="21:22">
      <c r="U2032">
        <v>1990</v>
      </c>
      <c r="V2032" s="197">
        <v>137.69376106752085</v>
      </c>
    </row>
    <row r="2033" spans="21:22">
      <c r="U2033">
        <v>1991</v>
      </c>
      <c r="V2033" s="197">
        <v>720.84096581417543</v>
      </c>
    </row>
    <row r="2034" spans="21:22">
      <c r="U2034">
        <v>1992</v>
      </c>
      <c r="V2034" s="197">
        <v>1135.9374231796658</v>
      </c>
    </row>
    <row r="2035" spans="21:22">
      <c r="U2035">
        <v>1993</v>
      </c>
      <c r="V2035" s="197">
        <v>-909.46734529028345</v>
      </c>
    </row>
    <row r="2036" spans="21:22">
      <c r="U2036">
        <v>1994</v>
      </c>
      <c r="V2036" s="197">
        <v>355.94618578135731</v>
      </c>
    </row>
    <row r="2037" spans="21:22">
      <c r="U2037">
        <v>1995</v>
      </c>
      <c r="V2037" s="197">
        <v>-741.42903938899917</v>
      </c>
    </row>
    <row r="2038" spans="21:22">
      <c r="U2038">
        <v>1996</v>
      </c>
      <c r="V2038" s="197">
        <v>-1014.4609407234207</v>
      </c>
    </row>
    <row r="2039" spans="21:22">
      <c r="U2039">
        <v>1997</v>
      </c>
      <c r="V2039" s="197">
        <v>-24.679804905531782</v>
      </c>
    </row>
    <row r="2040" spans="21:22">
      <c r="U2040">
        <v>1998</v>
      </c>
      <c r="V2040" s="197">
        <v>-440.49814938419576</v>
      </c>
    </row>
    <row r="2041" spans="21:22">
      <c r="U2041">
        <v>1999</v>
      </c>
      <c r="V2041" s="197">
        <v>1062.1965157303257</v>
      </c>
    </row>
    <row r="2042" spans="21:22">
      <c r="U2042">
        <v>2000</v>
      </c>
      <c r="V2042" s="197">
        <v>-628.91993378888287</v>
      </c>
    </row>
    <row r="2043" spans="21:22">
      <c r="U2043">
        <v>2001</v>
      </c>
      <c r="V2043" s="197">
        <v>-1209.0637068928763</v>
      </c>
    </row>
    <row r="2044" spans="21:22">
      <c r="U2044">
        <v>2002</v>
      </c>
      <c r="V2044" s="197">
        <v>-577.39003979004929</v>
      </c>
    </row>
    <row r="2045" spans="21:22">
      <c r="U2045">
        <v>2003</v>
      </c>
      <c r="V2045" s="197">
        <v>-418.38704877838978</v>
      </c>
    </row>
    <row r="2046" spans="21:22">
      <c r="U2046">
        <v>2004</v>
      </c>
      <c r="V2046" s="197">
        <v>1120.6658053707924</v>
      </c>
    </row>
    <row r="2047" spans="21:22">
      <c r="U2047">
        <v>2005</v>
      </c>
      <c r="V2047" s="197">
        <v>1528.2368748043662</v>
      </c>
    </row>
    <row r="2048" spans="21:22">
      <c r="U2048">
        <v>2006</v>
      </c>
      <c r="V2048" s="197">
        <v>-1222.1419763282963</v>
      </c>
    </row>
    <row r="2049" spans="21:22">
      <c r="U2049">
        <v>2007</v>
      </c>
      <c r="V2049" s="197">
        <v>1074.9313820560417</v>
      </c>
    </row>
    <row r="2050" spans="21:22">
      <c r="U2050">
        <v>2008</v>
      </c>
      <c r="V2050" s="197">
        <v>518.88297358446061</v>
      </c>
    </row>
    <row r="2051" spans="21:22">
      <c r="U2051">
        <v>2009</v>
      </c>
      <c r="V2051" s="197">
        <v>-724.17308462376309</v>
      </c>
    </row>
    <row r="2052" spans="21:22">
      <c r="U2052">
        <v>2010</v>
      </c>
      <c r="V2052" s="197">
        <v>-256.71882791923332</v>
      </c>
    </row>
    <row r="2053" spans="21:22">
      <c r="U2053">
        <v>2011</v>
      </c>
      <c r="V2053" s="197">
        <v>-1345.7746445012972</v>
      </c>
    </row>
    <row r="2054" spans="21:22">
      <c r="U2054">
        <v>2012</v>
      </c>
      <c r="V2054" s="197">
        <v>867.75522844953502</v>
      </c>
    </row>
    <row r="2055" spans="21:22">
      <c r="U2055">
        <v>2013</v>
      </c>
      <c r="V2055" s="197">
        <v>589.47994029205893</v>
      </c>
    </row>
    <row r="2056" spans="21:22">
      <c r="U2056">
        <v>2014</v>
      </c>
      <c r="V2056" s="197">
        <v>-649.89298205059026</v>
      </c>
    </row>
    <row r="2057" spans="21:22">
      <c r="U2057">
        <v>2015</v>
      </c>
      <c r="V2057" s="197">
        <v>1397.9657721445753</v>
      </c>
    </row>
    <row r="2058" spans="21:22">
      <c r="U2058">
        <v>2016</v>
      </c>
      <c r="V2058" s="197">
        <v>1160.0791996815394</v>
      </c>
    </row>
    <row r="2059" spans="21:22">
      <c r="U2059">
        <v>2017</v>
      </c>
      <c r="V2059" s="197">
        <v>67.463404967254505</v>
      </c>
    </row>
    <row r="2060" spans="21:22">
      <c r="U2060">
        <v>2018</v>
      </c>
      <c r="V2060" s="197">
        <v>-511.12999306315288</v>
      </c>
    </row>
    <row r="2061" spans="21:22">
      <c r="U2061">
        <v>2019</v>
      </c>
      <c r="V2061" s="197">
        <v>-2378.7041261205391</v>
      </c>
    </row>
    <row r="2062" spans="21:22">
      <c r="U2062">
        <v>2020</v>
      </c>
      <c r="V2062" s="197">
        <v>-17.380682599047958</v>
      </c>
    </row>
    <row r="2063" spans="21:22">
      <c r="U2063">
        <v>2021</v>
      </c>
      <c r="V2063" s="197">
        <v>480.67107189458721</v>
      </c>
    </row>
    <row r="2064" spans="21:22">
      <c r="U2064">
        <v>2022</v>
      </c>
      <c r="V2064" s="197">
        <v>-1941.4282192748121</v>
      </c>
    </row>
    <row r="2065" spans="21:22">
      <c r="U2065">
        <v>2023</v>
      </c>
      <c r="V2065" s="197">
        <v>172.59919447327735</v>
      </c>
    </row>
    <row r="2066" spans="21:22">
      <c r="U2066">
        <v>2024</v>
      </c>
      <c r="V2066" s="197">
        <v>725.94168802148806</v>
      </c>
    </row>
    <row r="2067" spans="21:22">
      <c r="U2067">
        <v>2025</v>
      </c>
      <c r="V2067" s="197">
        <v>783.68761459602229</v>
      </c>
    </row>
    <row r="2068" spans="21:22">
      <c r="U2068">
        <v>2026</v>
      </c>
      <c r="V2068" s="197">
        <v>712.30022552441051</v>
      </c>
    </row>
    <row r="2069" spans="21:22">
      <c r="U2069">
        <v>2027</v>
      </c>
      <c r="V2069" s="197">
        <v>779.22640617774255</v>
      </c>
    </row>
    <row r="2070" spans="21:22">
      <c r="U2070">
        <v>2028</v>
      </c>
      <c r="V2070" s="197">
        <v>1218.9723836487235</v>
      </c>
    </row>
    <row r="2071" spans="21:22">
      <c r="U2071">
        <v>2029</v>
      </c>
      <c r="V2071" s="197">
        <v>729.81523443119954</v>
      </c>
    </row>
    <row r="2072" spans="21:22">
      <c r="U2072">
        <v>2030</v>
      </c>
      <c r="V2072" s="197">
        <v>746.84829770574402</v>
      </c>
    </row>
    <row r="2073" spans="21:22">
      <c r="U2073">
        <v>2031</v>
      </c>
      <c r="V2073" s="197">
        <v>-380.35049174385443</v>
      </c>
    </row>
    <row r="2074" spans="21:22">
      <c r="U2074">
        <v>2032</v>
      </c>
      <c r="V2074" s="197">
        <v>-513.98940994155555</v>
      </c>
    </row>
    <row r="2075" spans="21:22">
      <c r="U2075">
        <v>2033</v>
      </c>
      <c r="V2075" s="197">
        <v>419.07992404027436</v>
      </c>
    </row>
    <row r="2076" spans="21:22">
      <c r="U2076">
        <v>2034</v>
      </c>
      <c r="V2076" s="197">
        <v>509.41402024991032</v>
      </c>
    </row>
    <row r="2077" spans="21:22">
      <c r="U2077">
        <v>2035</v>
      </c>
      <c r="V2077" s="197">
        <v>-1762.2137522981284</v>
      </c>
    </row>
    <row r="2078" spans="21:22">
      <c r="U2078">
        <v>2036</v>
      </c>
      <c r="V2078" s="197">
        <v>1039.7184186706718</v>
      </c>
    </row>
    <row r="2079" spans="21:22">
      <c r="U2079">
        <v>2037</v>
      </c>
      <c r="V2079" s="197">
        <v>67.09253115214193</v>
      </c>
    </row>
    <row r="2080" spans="21:22">
      <c r="U2080">
        <v>2038</v>
      </c>
      <c r="V2080" s="197">
        <v>-430.19026745778348</v>
      </c>
    </row>
    <row r="2081" spans="21:22">
      <c r="U2081">
        <v>2039</v>
      </c>
      <c r="V2081" s="197">
        <v>651.87711127176158</v>
      </c>
    </row>
    <row r="2082" spans="21:22">
      <c r="U2082">
        <v>2040</v>
      </c>
      <c r="V2082" s="197">
        <v>1025.9766614066637</v>
      </c>
    </row>
    <row r="2083" spans="21:22">
      <c r="U2083">
        <v>2041</v>
      </c>
      <c r="V2083" s="197">
        <v>-681.69958327385325</v>
      </c>
    </row>
    <row r="2084" spans="21:22">
      <c r="U2084">
        <v>2042</v>
      </c>
      <c r="V2084" s="197">
        <v>1728.9967675478938</v>
      </c>
    </row>
    <row r="2085" spans="21:22">
      <c r="U2085">
        <v>2043</v>
      </c>
      <c r="V2085" s="197">
        <v>781.80320738175192</v>
      </c>
    </row>
    <row r="2086" spans="21:22">
      <c r="U2086">
        <v>2044</v>
      </c>
      <c r="V2086" s="197">
        <v>-859.68475486486955</v>
      </c>
    </row>
    <row r="2087" spans="21:22">
      <c r="U2087">
        <v>2045</v>
      </c>
      <c r="V2087" s="197">
        <v>-170.71763589145166</v>
      </c>
    </row>
    <row r="2088" spans="21:22">
      <c r="U2088">
        <v>2046</v>
      </c>
      <c r="V2088" s="197">
        <v>-294.21097472485781</v>
      </c>
    </row>
    <row r="2089" spans="21:22">
      <c r="U2089">
        <v>2047</v>
      </c>
      <c r="V2089" s="197">
        <v>387.64031163826849</v>
      </c>
    </row>
    <row r="2090" spans="21:22">
      <c r="U2090">
        <v>2048</v>
      </c>
      <c r="V2090" s="197">
        <v>-854.93604223646389</v>
      </c>
    </row>
    <row r="2091" spans="21:22">
      <c r="U2091">
        <v>2049</v>
      </c>
      <c r="V2091" s="197">
        <v>190.39883464607189</v>
      </c>
    </row>
    <row r="2092" spans="21:22">
      <c r="U2092">
        <v>2050</v>
      </c>
      <c r="V2092" s="197">
        <v>-778.84115023352547</v>
      </c>
    </row>
    <row r="2093" spans="21:22">
      <c r="U2093">
        <v>2051</v>
      </c>
      <c r="V2093" s="197">
        <v>-615.0383983383756</v>
      </c>
    </row>
    <row r="2094" spans="21:22">
      <c r="U2094">
        <v>2052</v>
      </c>
      <c r="V2094" s="197">
        <v>15.783191479409808</v>
      </c>
    </row>
    <row r="2095" spans="21:22">
      <c r="U2095">
        <v>2053</v>
      </c>
      <c r="V2095" s="197">
        <v>1549.2689399215742</v>
      </c>
    </row>
    <row r="2096" spans="21:22">
      <c r="U2096">
        <v>2054</v>
      </c>
      <c r="V2096" s="197">
        <v>262.71709952986578</v>
      </c>
    </row>
    <row r="2097" spans="21:22">
      <c r="U2097">
        <v>2055</v>
      </c>
      <c r="V2097" s="197">
        <v>562.45903643883094</v>
      </c>
    </row>
    <row r="2098" spans="21:22">
      <c r="U2098">
        <v>2056</v>
      </c>
      <c r="V2098" s="197">
        <v>-469.56913938179099</v>
      </c>
    </row>
    <row r="2099" spans="21:22">
      <c r="U2099">
        <v>2057</v>
      </c>
      <c r="V2099" s="197">
        <v>-152.85700464591062</v>
      </c>
    </row>
    <row r="2100" spans="21:22">
      <c r="U2100">
        <v>2058</v>
      </c>
      <c r="V2100" s="197">
        <v>-1002.4893054818326</v>
      </c>
    </row>
    <row r="2101" spans="21:22">
      <c r="U2101">
        <v>2059</v>
      </c>
      <c r="V2101" s="197">
        <v>-2156.8182560489395</v>
      </c>
    </row>
    <row r="2102" spans="21:22">
      <c r="U2102">
        <v>2060</v>
      </c>
      <c r="V2102" s="197">
        <v>901.19417801088412</v>
      </c>
    </row>
    <row r="2103" spans="21:22">
      <c r="U2103">
        <v>2061</v>
      </c>
      <c r="V2103" s="197">
        <v>-275.52733902710884</v>
      </c>
    </row>
    <row r="2104" spans="21:22">
      <c r="U2104">
        <v>2062</v>
      </c>
      <c r="V2104" s="197">
        <v>182.10646849576418</v>
      </c>
    </row>
    <row r="2105" spans="21:22">
      <c r="U2105">
        <v>2063</v>
      </c>
      <c r="V2105" s="197">
        <v>-1230.9296533693303</v>
      </c>
    </row>
    <row r="2106" spans="21:22">
      <c r="U2106">
        <v>2064</v>
      </c>
      <c r="V2106" s="197">
        <v>952.19012597408914</v>
      </c>
    </row>
    <row r="2107" spans="21:22">
      <c r="U2107">
        <v>2065</v>
      </c>
      <c r="V2107" s="197">
        <v>211.65648845708188</v>
      </c>
    </row>
    <row r="2108" spans="21:22">
      <c r="U2108">
        <v>2066</v>
      </c>
      <c r="V2108" s="197">
        <v>522.35891001992741</v>
      </c>
    </row>
    <row r="2109" spans="21:22">
      <c r="U2109">
        <v>2067</v>
      </c>
      <c r="V2109" s="197">
        <v>-111.50222899804453</v>
      </c>
    </row>
    <row r="2110" spans="21:22">
      <c r="U2110">
        <v>2068</v>
      </c>
      <c r="V2110" s="197">
        <v>-1040.8424611713963</v>
      </c>
    </row>
    <row r="2111" spans="21:22">
      <c r="U2111">
        <v>2069</v>
      </c>
      <c r="V2111" s="197">
        <v>89.556788467229694</v>
      </c>
    </row>
    <row r="2112" spans="21:22">
      <c r="U2112">
        <v>2070</v>
      </c>
      <c r="V2112" s="197">
        <v>-451.75185440036461</v>
      </c>
    </row>
    <row r="2113" spans="21:22">
      <c r="U2113">
        <v>2071</v>
      </c>
      <c r="V2113" s="197">
        <v>1667.2671585714154</v>
      </c>
    </row>
    <row r="2114" spans="21:22">
      <c r="U2114">
        <v>2072</v>
      </c>
      <c r="V2114" s="197">
        <v>-759.4350994270203</v>
      </c>
    </row>
    <row r="2115" spans="21:22">
      <c r="U2115">
        <v>2073</v>
      </c>
      <c r="V2115" s="197">
        <v>238.66523769740991</v>
      </c>
    </row>
    <row r="2116" spans="21:22">
      <c r="U2116">
        <v>2074</v>
      </c>
      <c r="V2116" s="197">
        <v>985.24006743227392</v>
      </c>
    </row>
    <row r="2117" spans="21:22">
      <c r="U2117">
        <v>2075</v>
      </c>
      <c r="V2117" s="197">
        <v>-1519.9571759738506</v>
      </c>
    </row>
    <row r="2118" spans="21:22">
      <c r="U2118">
        <v>2076</v>
      </c>
      <c r="V2118" s="197">
        <v>-402.16378855807784</v>
      </c>
    </row>
    <row r="2119" spans="21:22">
      <c r="U2119">
        <v>2077</v>
      </c>
      <c r="V2119" s="197">
        <v>-2324.1942782581104</v>
      </c>
    </row>
    <row r="2120" spans="21:22">
      <c r="U2120">
        <v>2078</v>
      </c>
      <c r="V2120" s="197">
        <v>-656.21852450852498</v>
      </c>
    </row>
    <row r="2121" spans="21:22">
      <c r="U2121">
        <v>2079</v>
      </c>
      <c r="V2121" s="197">
        <v>-319.34117361622356</v>
      </c>
    </row>
    <row r="2122" spans="21:22">
      <c r="U2122">
        <v>2080</v>
      </c>
      <c r="V2122" s="197">
        <v>151.17628079470578</v>
      </c>
    </row>
    <row r="2123" spans="21:22">
      <c r="U2123">
        <v>2081</v>
      </c>
      <c r="V2123" s="197">
        <v>229.44122128834397</v>
      </c>
    </row>
    <row r="2124" spans="21:22">
      <c r="U2124">
        <v>2082</v>
      </c>
      <c r="V2124" s="197">
        <v>840.11238361181836</v>
      </c>
    </row>
    <row r="2125" spans="21:22">
      <c r="U2125">
        <v>2083</v>
      </c>
      <c r="V2125" s="197">
        <v>81.157859812120492</v>
      </c>
    </row>
    <row r="2126" spans="21:22">
      <c r="U2126">
        <v>2084</v>
      </c>
      <c r="V2126" s="197">
        <v>-13.244134287337374</v>
      </c>
    </row>
    <row r="2127" spans="21:22">
      <c r="U2127">
        <v>2085</v>
      </c>
      <c r="V2127" s="197">
        <v>502.0913034097299</v>
      </c>
    </row>
    <row r="2128" spans="21:22">
      <c r="U2128">
        <v>2086</v>
      </c>
      <c r="V2128" s="197">
        <v>-950.01000347512672</v>
      </c>
    </row>
    <row r="2129" spans="21:22">
      <c r="U2129">
        <v>2087</v>
      </c>
      <c r="V2129" s="197">
        <v>1197.1557158235546</v>
      </c>
    </row>
    <row r="2130" spans="21:22">
      <c r="U2130">
        <v>2088</v>
      </c>
      <c r="V2130" s="197">
        <v>1185.6688295973111</v>
      </c>
    </row>
    <row r="2131" spans="21:22">
      <c r="U2131">
        <v>2089</v>
      </c>
      <c r="V2131" s="197">
        <v>855.76543718012522</v>
      </c>
    </row>
    <row r="2132" spans="21:22">
      <c r="U2132">
        <v>2090</v>
      </c>
      <c r="V2132" s="197">
        <v>996.23779472068986</v>
      </c>
    </row>
    <row r="2133" spans="21:22">
      <c r="U2133">
        <v>2091</v>
      </c>
      <c r="V2133" s="197">
        <v>753.57276538761676</v>
      </c>
    </row>
    <row r="2134" spans="21:22">
      <c r="U2134">
        <v>2092</v>
      </c>
      <c r="V2134" s="197">
        <v>-1297.7015929712877</v>
      </c>
    </row>
    <row r="2135" spans="21:22">
      <c r="U2135">
        <v>2093</v>
      </c>
      <c r="V2135" s="197">
        <v>1713.2006574021407</v>
      </c>
    </row>
    <row r="2136" spans="21:22">
      <c r="U2136">
        <v>2094</v>
      </c>
      <c r="V2136" s="197">
        <v>1045.1284843196004</v>
      </c>
    </row>
    <row r="2137" spans="21:22">
      <c r="U2137">
        <v>2095</v>
      </c>
      <c r="V2137" s="197">
        <v>681.27294267811044</v>
      </c>
    </row>
    <row r="2138" spans="21:22">
      <c r="U2138">
        <v>2096</v>
      </c>
      <c r="V2138" s="197">
        <v>-195.11280759762337</v>
      </c>
    </row>
    <row r="2139" spans="21:22">
      <c r="U2139">
        <v>2097</v>
      </c>
      <c r="V2139" s="197">
        <v>-1060.9263911479115</v>
      </c>
    </row>
    <row r="2140" spans="21:22">
      <c r="U2140">
        <v>2098</v>
      </c>
      <c r="V2140" s="197">
        <v>384.26246308933287</v>
      </c>
    </row>
    <row r="2141" spans="21:22">
      <c r="U2141">
        <v>2099</v>
      </c>
      <c r="V2141" s="197">
        <v>1753.8786269449292</v>
      </c>
    </row>
    <row r="2142" spans="21:22">
      <c r="U2142">
        <v>2100</v>
      </c>
      <c r="V2142" s="197">
        <v>-1549.3108699882559</v>
      </c>
    </row>
    <row r="2143" spans="21:22">
      <c r="U2143">
        <v>2101</v>
      </c>
      <c r="V2143" s="197">
        <v>-156.72607227453159</v>
      </c>
    </row>
    <row r="2144" spans="21:22">
      <c r="U2144">
        <v>2102</v>
      </c>
      <c r="V2144" s="197">
        <v>297.02994163143865</v>
      </c>
    </row>
    <row r="2145" spans="21:22">
      <c r="U2145">
        <v>2103</v>
      </c>
      <c r="V2145" s="197">
        <v>-283.88111998748997</v>
      </c>
    </row>
    <row r="2146" spans="21:22">
      <c r="U2146">
        <v>2104</v>
      </c>
      <c r="V2146" s="197">
        <v>-534.85136682358689</v>
      </c>
    </row>
    <row r="2147" spans="21:22">
      <c r="U2147">
        <v>2105</v>
      </c>
      <c r="V2147" s="197">
        <v>1061.7915549262598</v>
      </c>
    </row>
    <row r="2148" spans="21:22">
      <c r="U2148">
        <v>2106</v>
      </c>
      <c r="V2148" s="197">
        <v>665.6410898436261</v>
      </c>
    </row>
    <row r="2149" spans="21:22">
      <c r="U2149">
        <v>2107</v>
      </c>
      <c r="V2149" s="197">
        <v>1317.2642900329338</v>
      </c>
    </row>
    <row r="2150" spans="21:22">
      <c r="U2150">
        <v>2108</v>
      </c>
      <c r="V2150" s="197">
        <v>-307.27917353139287</v>
      </c>
    </row>
    <row r="2151" spans="21:22">
      <c r="U2151">
        <v>2109</v>
      </c>
      <c r="V2151" s="197">
        <v>1227.9661278023955</v>
      </c>
    </row>
    <row r="2152" spans="21:22">
      <c r="U2152">
        <v>2110</v>
      </c>
      <c r="V2152" s="197">
        <v>-762.72544471713513</v>
      </c>
    </row>
    <row r="2153" spans="21:22">
      <c r="U2153">
        <v>2111</v>
      </c>
      <c r="V2153" s="197">
        <v>-572.07724842420384</v>
      </c>
    </row>
    <row r="2154" spans="21:22">
      <c r="U2154">
        <v>2112</v>
      </c>
      <c r="V2154" s="197">
        <v>1102.3982459368026</v>
      </c>
    </row>
    <row r="2155" spans="21:22">
      <c r="U2155">
        <v>2113</v>
      </c>
      <c r="V2155" s="197">
        <v>1958.6825577464233</v>
      </c>
    </row>
    <row r="2156" spans="21:22">
      <c r="U2156">
        <v>2114</v>
      </c>
      <c r="V2156" s="197">
        <v>785.76332258800517</v>
      </c>
    </row>
    <row r="2157" spans="21:22">
      <c r="U2157">
        <v>2115</v>
      </c>
      <c r="V2157" s="197">
        <v>778.5453200409288</v>
      </c>
    </row>
    <row r="2158" spans="21:22">
      <c r="U2158">
        <v>2116</v>
      </c>
      <c r="V2158" s="197">
        <v>-1075.2170863688466</v>
      </c>
    </row>
    <row r="2159" spans="21:22">
      <c r="U2159">
        <v>2117</v>
      </c>
      <c r="V2159" s="197">
        <v>1517.9130282851791</v>
      </c>
    </row>
    <row r="2160" spans="21:22">
      <c r="U2160">
        <v>2118</v>
      </c>
      <c r="V2160" s="197">
        <v>-559.42648378199237</v>
      </c>
    </row>
    <row r="2161" spans="21:22">
      <c r="U2161">
        <v>2119</v>
      </c>
      <c r="V2161" s="197">
        <v>920.53059593639773</v>
      </c>
    </row>
    <row r="2162" spans="21:22">
      <c r="U2162">
        <v>2120</v>
      </c>
      <c r="V2162" s="197">
        <v>-138.44443437723118</v>
      </c>
    </row>
    <row r="2163" spans="21:22">
      <c r="U2163">
        <v>2121</v>
      </c>
      <c r="V2163" s="197">
        <v>1034.6734618253929</v>
      </c>
    </row>
    <row r="2164" spans="21:22">
      <c r="U2164">
        <v>2122</v>
      </c>
      <c r="V2164" s="197">
        <v>-112.48341143984931</v>
      </c>
    </row>
    <row r="2165" spans="21:22">
      <c r="U2165">
        <v>2123</v>
      </c>
      <c r="V2165" s="197">
        <v>-112.32648320007951</v>
      </c>
    </row>
    <row r="2166" spans="21:22">
      <c r="U2166">
        <v>2124</v>
      </c>
      <c r="V2166" s="197">
        <v>-402.20585056828713</v>
      </c>
    </row>
    <row r="2167" spans="21:22">
      <c r="U2167">
        <v>2125</v>
      </c>
      <c r="V2167" s="197">
        <v>-1476.273576297401</v>
      </c>
    </row>
    <row r="2168" spans="21:22">
      <c r="U2168">
        <v>2126</v>
      </c>
      <c r="V2168" s="197">
        <v>1825.6298486329026</v>
      </c>
    </row>
    <row r="2169" spans="21:22">
      <c r="U2169">
        <v>2127</v>
      </c>
      <c r="V2169" s="197">
        <v>1056.4631470511836</v>
      </c>
    </row>
    <row r="2170" spans="21:22">
      <c r="U2170">
        <v>2128</v>
      </c>
      <c r="V2170" s="197">
        <v>1455.87101516903</v>
      </c>
    </row>
    <row r="2171" spans="21:22">
      <c r="U2171">
        <v>2129</v>
      </c>
      <c r="V2171" s="197">
        <v>112.81813328256818</v>
      </c>
    </row>
    <row r="2172" spans="21:22">
      <c r="U2172">
        <v>2130</v>
      </c>
      <c r="V2172" s="197">
        <v>-45.853518140423887</v>
      </c>
    </row>
    <row r="2173" spans="21:22">
      <c r="U2173">
        <v>2131</v>
      </c>
      <c r="V2173" s="197">
        <v>-500.96615677435585</v>
      </c>
    </row>
    <row r="2174" spans="21:22">
      <c r="U2174">
        <v>2132</v>
      </c>
      <c r="V2174" s="197">
        <v>1558.6548168362519</v>
      </c>
    </row>
    <row r="2175" spans="21:22">
      <c r="U2175">
        <v>2133</v>
      </c>
      <c r="V2175" s="197">
        <v>518.62496445193926</v>
      </c>
    </row>
    <row r="2176" spans="21:22">
      <c r="U2176">
        <v>2134</v>
      </c>
      <c r="V2176" s="197">
        <v>2304.1667922400534</v>
      </c>
    </row>
    <row r="2177" spans="21:22">
      <c r="U2177">
        <v>2135</v>
      </c>
      <c r="V2177" s="197">
        <v>-1284.1472941278807</v>
      </c>
    </row>
    <row r="2178" spans="21:22">
      <c r="U2178">
        <v>2136</v>
      </c>
      <c r="V2178" s="197">
        <v>-1158.5678177491595</v>
      </c>
    </row>
    <row r="2179" spans="21:22">
      <c r="U2179">
        <v>2137</v>
      </c>
      <c r="V2179" s="197">
        <v>-1008.9899969805499</v>
      </c>
    </row>
    <row r="2180" spans="21:22">
      <c r="U2180">
        <v>2138</v>
      </c>
      <c r="V2180" s="197">
        <v>-823.13954120428571</v>
      </c>
    </row>
    <row r="2181" spans="21:22">
      <c r="U2181">
        <v>2139</v>
      </c>
      <c r="V2181" s="197">
        <v>-2306.2397020395197</v>
      </c>
    </row>
    <row r="2182" spans="21:22">
      <c r="U2182">
        <v>2140</v>
      </c>
      <c r="V2182" s="197">
        <v>1130.9938160033485</v>
      </c>
    </row>
    <row r="2183" spans="21:22">
      <c r="U2183">
        <v>2141</v>
      </c>
      <c r="V2183" s="197">
        <v>2256.5780997300635</v>
      </c>
    </row>
    <row r="2184" spans="21:22">
      <c r="U2184">
        <v>2142</v>
      </c>
      <c r="V2184" s="197">
        <v>712.3304971800992</v>
      </c>
    </row>
    <row r="2185" spans="21:22">
      <c r="U2185">
        <v>2143</v>
      </c>
      <c r="V2185" s="197">
        <v>1382.0638109460224</v>
      </c>
    </row>
    <row r="2186" spans="21:22">
      <c r="U2186">
        <v>2144</v>
      </c>
      <c r="V2186" s="197">
        <v>102.62370239014329</v>
      </c>
    </row>
    <row r="2187" spans="21:22">
      <c r="U2187">
        <v>2145</v>
      </c>
      <c r="V2187" s="197">
        <v>-390.45342945170989</v>
      </c>
    </row>
    <row r="2188" spans="21:22">
      <c r="U2188">
        <v>2146</v>
      </c>
      <c r="V2188" s="197">
        <v>123.72282069151981</v>
      </c>
    </row>
    <row r="2189" spans="21:22">
      <c r="U2189">
        <v>2147</v>
      </c>
      <c r="V2189" s="197">
        <v>-1444.0222686844979</v>
      </c>
    </row>
    <row r="2190" spans="21:22">
      <c r="U2190">
        <v>2148</v>
      </c>
      <c r="V2190" s="197">
        <v>34.745890321676796</v>
      </c>
    </row>
    <row r="2191" spans="21:22">
      <c r="U2191">
        <v>2149</v>
      </c>
      <c r="V2191" s="197">
        <v>1031.5998966596376</v>
      </c>
    </row>
    <row r="2192" spans="21:22">
      <c r="U2192">
        <v>2150</v>
      </c>
      <c r="V2192" s="197">
        <v>878.42009974321604</v>
      </c>
    </row>
    <row r="2193" spans="21:22">
      <c r="U2193">
        <v>2151</v>
      </c>
      <c r="V2193" s="197">
        <v>1119.6348029491487</v>
      </c>
    </row>
    <row r="2194" spans="21:22">
      <c r="U2194">
        <v>2152</v>
      </c>
      <c r="V2194" s="197">
        <v>1453.2444739490654</v>
      </c>
    </row>
    <row r="2195" spans="21:22">
      <c r="U2195">
        <v>2153</v>
      </c>
      <c r="V2195" s="197">
        <v>-1056.4737831445948</v>
      </c>
    </row>
    <row r="2196" spans="21:22">
      <c r="U2196">
        <v>2154</v>
      </c>
      <c r="V2196" s="197">
        <v>154.85376128143963</v>
      </c>
    </row>
    <row r="2197" spans="21:22">
      <c r="U2197">
        <v>2155</v>
      </c>
      <c r="V2197" s="197">
        <v>-722.50825366582512</v>
      </c>
    </row>
    <row r="2198" spans="21:22">
      <c r="U2198">
        <v>2156</v>
      </c>
      <c r="V2198" s="197">
        <v>-69.532642711942145</v>
      </c>
    </row>
    <row r="2199" spans="21:22">
      <c r="U2199">
        <v>2157</v>
      </c>
      <c r="V2199" s="197">
        <v>401.07354546066023</v>
      </c>
    </row>
    <row r="2200" spans="21:22">
      <c r="U2200">
        <v>2158</v>
      </c>
      <c r="V2200" s="197">
        <v>394.60012550974778</v>
      </c>
    </row>
    <row r="2201" spans="21:22">
      <c r="U2201">
        <v>2159</v>
      </c>
      <c r="V2201" s="197">
        <v>348.3143567626974</v>
      </c>
    </row>
    <row r="2202" spans="21:22">
      <c r="U2202">
        <v>2160</v>
      </c>
      <c r="V2202" s="197">
        <v>-1121.1221839305554</v>
      </c>
    </row>
    <row r="2203" spans="21:22">
      <c r="U2203">
        <v>2161</v>
      </c>
      <c r="V2203" s="197">
        <v>1218.3828800998369</v>
      </c>
    </row>
    <row r="2204" spans="21:22">
      <c r="U2204">
        <v>2162</v>
      </c>
      <c r="V2204" s="197">
        <v>911.19086380189628</v>
      </c>
    </row>
    <row r="2205" spans="21:22">
      <c r="U2205">
        <v>2163</v>
      </c>
      <c r="V2205" s="197">
        <v>-158.38727957311795</v>
      </c>
    </row>
    <row r="2206" spans="21:22">
      <c r="U2206">
        <v>2164</v>
      </c>
      <c r="V2206" s="197">
        <v>59.058706887994255</v>
      </c>
    </row>
    <row r="2207" spans="21:22">
      <c r="U2207">
        <v>2165</v>
      </c>
      <c r="V2207" s="197">
        <v>-1886.8841589438048</v>
      </c>
    </row>
    <row r="2208" spans="21:22">
      <c r="U2208">
        <v>2166</v>
      </c>
      <c r="V2208" s="197">
        <v>-423.51113744275909</v>
      </c>
    </row>
    <row r="2209" spans="21:22">
      <c r="U2209">
        <v>2167</v>
      </c>
      <c r="V2209" s="197">
        <v>702.73787517949859</v>
      </c>
    </row>
    <row r="2210" spans="21:22">
      <c r="U2210">
        <v>2168</v>
      </c>
      <c r="V2210" s="197">
        <v>325.46058457046297</v>
      </c>
    </row>
    <row r="2211" spans="21:22">
      <c r="U2211">
        <v>2169</v>
      </c>
      <c r="V2211" s="197">
        <v>-493.81840653420107</v>
      </c>
    </row>
    <row r="2212" spans="21:22">
      <c r="U2212">
        <v>2170</v>
      </c>
      <c r="V2212" s="197">
        <v>-1237.3777516359562</v>
      </c>
    </row>
    <row r="2213" spans="21:22">
      <c r="U2213">
        <v>2171</v>
      </c>
      <c r="V2213" s="197">
        <v>886.34402044111835</v>
      </c>
    </row>
    <row r="2214" spans="21:22">
      <c r="U2214">
        <v>2172</v>
      </c>
      <c r="V2214" s="197">
        <v>112.58213247558632</v>
      </c>
    </row>
    <row r="2215" spans="21:22">
      <c r="U2215">
        <v>2173</v>
      </c>
      <c r="V2215" s="197">
        <v>1103.9060493861032</v>
      </c>
    </row>
    <row r="2216" spans="21:22">
      <c r="U2216">
        <v>2174</v>
      </c>
      <c r="V2216" s="197">
        <v>-670.16448178456835</v>
      </c>
    </row>
    <row r="2217" spans="21:22">
      <c r="U2217">
        <v>2175</v>
      </c>
      <c r="V2217" s="197">
        <v>-563.62905507134428</v>
      </c>
    </row>
    <row r="2218" spans="21:22">
      <c r="U2218">
        <v>2176</v>
      </c>
      <c r="V2218" s="197">
        <v>-365.28248498972812</v>
      </c>
    </row>
    <row r="2219" spans="21:22">
      <c r="U2219">
        <v>2177</v>
      </c>
      <c r="V2219" s="197">
        <v>-271.92294900206485</v>
      </c>
    </row>
    <row r="2220" spans="21:22">
      <c r="U2220">
        <v>2178</v>
      </c>
      <c r="V2220" s="197">
        <v>1155.9849304500935</v>
      </c>
    </row>
    <row r="2221" spans="21:22">
      <c r="U2221">
        <v>2179</v>
      </c>
      <c r="V2221" s="197">
        <v>-1083.7609999218819</v>
      </c>
    </row>
    <row r="2222" spans="21:22">
      <c r="U2222">
        <v>2180</v>
      </c>
      <c r="V2222" s="197">
        <v>1161.4297964709474</v>
      </c>
    </row>
    <row r="2223" spans="21:22">
      <c r="U2223">
        <v>2181</v>
      </c>
      <c r="V2223" s="197">
        <v>-1932.2869848548198</v>
      </c>
    </row>
    <row r="2224" spans="21:22">
      <c r="U2224">
        <v>2182</v>
      </c>
      <c r="V2224" s="197">
        <v>274.42132194561827</v>
      </c>
    </row>
    <row r="2225" spans="21:22">
      <c r="U2225">
        <v>2183</v>
      </c>
      <c r="V2225" s="197">
        <v>118.89065539996592</v>
      </c>
    </row>
    <row r="2226" spans="21:22">
      <c r="U2226">
        <v>2184</v>
      </c>
      <c r="V2226" s="197">
        <v>114.75726428771831</v>
      </c>
    </row>
    <row r="2227" spans="21:22">
      <c r="U2227">
        <v>2185</v>
      </c>
      <c r="V2227" s="197">
        <v>-1088.5357456523998</v>
      </c>
    </row>
    <row r="2228" spans="21:22">
      <c r="U2228">
        <v>2186</v>
      </c>
      <c r="V2228" s="197">
        <v>627.8919313414674</v>
      </c>
    </row>
    <row r="2229" spans="21:22">
      <c r="U2229">
        <v>2187</v>
      </c>
      <c r="V2229" s="197">
        <v>-1029.510274005069</v>
      </c>
    </row>
    <row r="2230" spans="21:22">
      <c r="U2230">
        <v>2188</v>
      </c>
      <c r="V2230" s="197">
        <v>-1279.7578958529116</v>
      </c>
    </row>
    <row r="2231" spans="21:22">
      <c r="U2231">
        <v>2189</v>
      </c>
      <c r="V2231" s="197">
        <v>738.75108215849582</v>
      </c>
    </row>
    <row r="2232" spans="21:22">
      <c r="U2232">
        <v>2190</v>
      </c>
      <c r="V2232" s="197">
        <v>1341.8613458866521</v>
      </c>
    </row>
    <row r="2233" spans="21:22">
      <c r="U2233">
        <v>2191</v>
      </c>
      <c r="V2233" s="197">
        <v>1149.9709073838233</v>
      </c>
    </row>
    <row r="2234" spans="21:22">
      <c r="U2234">
        <v>2192</v>
      </c>
      <c r="V2234" s="197">
        <v>-749.75530131972732</v>
      </c>
    </row>
    <row r="2235" spans="21:22">
      <c r="U2235">
        <v>2193</v>
      </c>
      <c r="V2235" s="197">
        <v>-299.15981303321723</v>
      </c>
    </row>
    <row r="2236" spans="21:22">
      <c r="U2236">
        <v>2194</v>
      </c>
      <c r="V2236" s="197">
        <v>-262.87644866663305</v>
      </c>
    </row>
    <row r="2237" spans="21:22">
      <c r="U2237">
        <v>2195</v>
      </c>
      <c r="V2237" s="197">
        <v>79.213903387453769</v>
      </c>
    </row>
    <row r="2238" spans="21:22">
      <c r="U2238">
        <v>2196</v>
      </c>
      <c r="V2238" s="197">
        <v>298.69036719403243</v>
      </c>
    </row>
    <row r="2239" spans="21:22">
      <c r="U2239">
        <v>2197</v>
      </c>
      <c r="V2239" s="197">
        <v>1172.8329347485314</v>
      </c>
    </row>
    <row r="2240" spans="21:22">
      <c r="U2240">
        <v>2198</v>
      </c>
      <c r="V2240" s="197">
        <v>1145.3275984369552</v>
      </c>
    </row>
    <row r="2241" spans="21:22">
      <c r="U2241">
        <v>2199</v>
      </c>
      <c r="V2241" s="197">
        <v>375.46226821260228</v>
      </c>
    </row>
    <row r="2242" spans="21:22">
      <c r="U2242">
        <v>2200</v>
      </c>
      <c r="V2242" s="197">
        <v>305.0776043596004</v>
      </c>
    </row>
    <row r="2243" spans="21:22">
      <c r="U2243">
        <v>2201</v>
      </c>
      <c r="V2243" s="197">
        <v>-268.51752486838524</v>
      </c>
    </row>
    <row r="2244" spans="21:22">
      <c r="U2244">
        <v>2202</v>
      </c>
      <c r="V2244" s="197">
        <v>899.12306504651497</v>
      </c>
    </row>
    <row r="2245" spans="21:22">
      <c r="U2245">
        <v>2203</v>
      </c>
      <c r="V2245" s="197">
        <v>772.29453657316185</v>
      </c>
    </row>
    <row r="2246" spans="21:22">
      <c r="U2246">
        <v>2204</v>
      </c>
      <c r="V2246" s="197">
        <v>-2038.7907719598404</v>
      </c>
    </row>
    <row r="2247" spans="21:22">
      <c r="U2247">
        <v>2205</v>
      </c>
      <c r="V2247" s="197">
        <v>149.509453076787</v>
      </c>
    </row>
    <row r="2248" spans="21:22">
      <c r="U2248">
        <v>2206</v>
      </c>
      <c r="V2248" s="197">
        <v>617.91462031728088</v>
      </c>
    </row>
    <row r="2249" spans="21:22">
      <c r="U2249">
        <v>2207</v>
      </c>
      <c r="V2249" s="197">
        <v>-144.69969169087011</v>
      </c>
    </row>
    <row r="2250" spans="21:22">
      <c r="U2250">
        <v>2208</v>
      </c>
      <c r="V2250" s="197">
        <v>166.72270901016455</v>
      </c>
    </row>
    <row r="2251" spans="21:22">
      <c r="U2251">
        <v>2209</v>
      </c>
      <c r="V2251" s="197">
        <v>-496.07575006936298</v>
      </c>
    </row>
    <row r="2252" spans="21:22">
      <c r="U2252">
        <v>2210</v>
      </c>
      <c r="V2252" s="197">
        <v>1651.267495269266</v>
      </c>
    </row>
    <row r="2253" spans="21:22">
      <c r="U2253">
        <v>2211</v>
      </c>
      <c r="V2253" s="197">
        <v>463.62430114171434</v>
      </c>
    </row>
    <row r="2254" spans="21:22">
      <c r="U2254">
        <v>2212</v>
      </c>
      <c r="V2254" s="197">
        <v>-97.996678440702226</v>
      </c>
    </row>
    <row r="2255" spans="21:22">
      <c r="U2255">
        <v>2213</v>
      </c>
      <c r="V2255" s="197">
        <v>1172.0145458342279</v>
      </c>
    </row>
    <row r="2256" spans="21:22">
      <c r="U2256">
        <v>2214</v>
      </c>
      <c r="V2256" s="197">
        <v>455.31467722615616</v>
      </c>
    </row>
    <row r="2257" spans="21:22">
      <c r="U2257">
        <v>2215</v>
      </c>
      <c r="V2257" s="197">
        <v>-676.23754931593567</v>
      </c>
    </row>
    <row r="2258" spans="21:22">
      <c r="U2258">
        <v>2216</v>
      </c>
      <c r="V2258" s="197">
        <v>-806.76478425630921</v>
      </c>
    </row>
    <row r="2259" spans="21:22">
      <c r="U2259">
        <v>2217</v>
      </c>
      <c r="V2259" s="197">
        <v>-692.00346053286034</v>
      </c>
    </row>
    <row r="2260" spans="21:22">
      <c r="U2260">
        <v>2218</v>
      </c>
      <c r="V2260" s="197">
        <v>-1174.4197290499362</v>
      </c>
    </row>
    <row r="2261" spans="21:22">
      <c r="U2261">
        <v>2219</v>
      </c>
      <c r="V2261" s="197">
        <v>70.766227789358169</v>
      </c>
    </row>
    <row r="2262" spans="21:22">
      <c r="U2262">
        <v>2220</v>
      </c>
      <c r="V2262" s="197">
        <v>-44.227931783893979</v>
      </c>
    </row>
    <row r="2263" spans="21:22">
      <c r="U2263">
        <v>2221</v>
      </c>
      <c r="V2263" s="197">
        <v>-171.83054856594481</v>
      </c>
    </row>
    <row r="2264" spans="21:22">
      <c r="U2264">
        <v>2222</v>
      </c>
      <c r="V2264" s="197">
        <v>-274.72373732878049</v>
      </c>
    </row>
    <row r="2265" spans="21:22">
      <c r="U2265">
        <v>2223</v>
      </c>
      <c r="V2265" s="197">
        <v>-1547.1818474378977</v>
      </c>
    </row>
    <row r="2266" spans="21:22">
      <c r="U2266">
        <v>2224</v>
      </c>
      <c r="V2266" s="197">
        <v>-2191.7218249245616</v>
      </c>
    </row>
    <row r="2267" spans="21:22">
      <c r="U2267">
        <v>2225</v>
      </c>
      <c r="V2267" s="197">
        <v>634.73856970546194</v>
      </c>
    </row>
    <row r="2268" spans="21:22">
      <c r="U2268">
        <v>2226</v>
      </c>
      <c r="V2268" s="197">
        <v>1216.8848970458716</v>
      </c>
    </row>
    <row r="2269" spans="21:22">
      <c r="U2269">
        <v>2227</v>
      </c>
      <c r="V2269" s="197">
        <v>1689.1603018847525</v>
      </c>
    </row>
    <row r="2270" spans="21:22">
      <c r="U2270">
        <v>2228</v>
      </c>
      <c r="V2270" s="197">
        <v>-151.24413657909386</v>
      </c>
    </row>
    <row r="2271" spans="21:22">
      <c r="U2271">
        <v>2229</v>
      </c>
      <c r="V2271" s="197">
        <v>1450.0020840823779</v>
      </c>
    </row>
    <row r="2272" spans="21:22">
      <c r="U2272">
        <v>2230</v>
      </c>
      <c r="V2272" s="197">
        <v>-622.33939896690117</v>
      </c>
    </row>
    <row r="2273" spans="21:22">
      <c r="U2273">
        <v>2231</v>
      </c>
      <c r="V2273" s="197">
        <v>82.610954294241779</v>
      </c>
    </row>
    <row r="2274" spans="21:22">
      <c r="U2274">
        <v>2232</v>
      </c>
      <c r="V2274" s="197">
        <v>-1428.7915608027154</v>
      </c>
    </row>
    <row r="2275" spans="21:22">
      <c r="U2275">
        <v>2233</v>
      </c>
      <c r="V2275" s="197">
        <v>1382.2157371783601</v>
      </c>
    </row>
    <row r="2276" spans="21:22">
      <c r="U2276">
        <v>2234</v>
      </c>
      <c r="V2276" s="197">
        <v>-741.20029002773958</v>
      </c>
    </row>
    <row r="2277" spans="21:22">
      <c r="U2277">
        <v>2235</v>
      </c>
      <c r="V2277" s="197">
        <v>312.98038895054998</v>
      </c>
    </row>
    <row r="2278" spans="21:22">
      <c r="U2278">
        <v>2236</v>
      </c>
      <c r="V2278" s="197">
        <v>878.737954712381</v>
      </c>
    </row>
    <row r="2279" spans="21:22">
      <c r="U2279">
        <v>2237</v>
      </c>
      <c r="V2279" s="197">
        <v>-865.52500280914842</v>
      </c>
    </row>
    <row r="2280" spans="21:22">
      <c r="U2280">
        <v>2238</v>
      </c>
      <c r="V2280" s="197">
        <v>-461.64796703853318</v>
      </c>
    </row>
    <row r="2281" spans="21:22">
      <c r="U2281">
        <v>2239</v>
      </c>
      <c r="V2281" s="197">
        <v>-41.121746674013906</v>
      </c>
    </row>
    <row r="2282" spans="21:22">
      <c r="U2282">
        <v>2240</v>
      </c>
      <c r="V2282" s="197">
        <v>72.484407183301272</v>
      </c>
    </row>
    <row r="2283" spans="21:22">
      <c r="U2283">
        <v>2241</v>
      </c>
      <c r="V2283" s="197">
        <v>-101.53410975732453</v>
      </c>
    </row>
    <row r="2284" spans="21:22">
      <c r="U2284">
        <v>2242</v>
      </c>
      <c r="V2284" s="197">
        <v>1074.6167339829062</v>
      </c>
    </row>
    <row r="2285" spans="21:22">
      <c r="U2285">
        <v>2243</v>
      </c>
      <c r="V2285" s="197">
        <v>542.43057729339466</v>
      </c>
    </row>
    <row r="2286" spans="21:22">
      <c r="U2286">
        <v>2244</v>
      </c>
      <c r="V2286" s="197">
        <v>554.90092054986007</v>
      </c>
    </row>
    <row r="2287" spans="21:22">
      <c r="U2287">
        <v>2245</v>
      </c>
      <c r="V2287" s="197">
        <v>1211.5858122150921</v>
      </c>
    </row>
    <row r="2288" spans="21:22">
      <c r="U2288">
        <v>2246</v>
      </c>
      <c r="V2288" s="197">
        <v>1098.396414039054</v>
      </c>
    </row>
    <row r="2289" spans="21:22">
      <c r="U2289">
        <v>2247</v>
      </c>
      <c r="V2289" s="197">
        <v>-121.11281979403</v>
      </c>
    </row>
    <row r="2290" spans="21:22">
      <c r="U2290">
        <v>2248</v>
      </c>
      <c r="V2290" s="197">
        <v>-1034.4176329405179</v>
      </c>
    </row>
    <row r="2291" spans="21:22">
      <c r="U2291">
        <v>2249</v>
      </c>
      <c r="V2291" s="197">
        <v>1496.0423764126704</v>
      </c>
    </row>
    <row r="2292" spans="21:22">
      <c r="U2292">
        <v>2250</v>
      </c>
      <c r="V2292" s="197">
        <v>-1128.913677528712</v>
      </c>
    </row>
    <row r="2293" spans="21:22">
      <c r="U2293">
        <v>2251</v>
      </c>
      <c r="V2293" s="197">
        <v>282.73480787783421</v>
      </c>
    </row>
    <row r="2294" spans="21:22">
      <c r="U2294">
        <v>2252</v>
      </c>
      <c r="V2294" s="197">
        <v>-328.93107170079878</v>
      </c>
    </row>
    <row r="2295" spans="21:22">
      <c r="U2295">
        <v>2253</v>
      </c>
      <c r="V2295" s="197">
        <v>1146.868771622673</v>
      </c>
    </row>
    <row r="2296" spans="21:22">
      <c r="U2296">
        <v>2254</v>
      </c>
      <c r="V2296" s="197">
        <v>-2701.0005878362035</v>
      </c>
    </row>
    <row r="2297" spans="21:22">
      <c r="U2297">
        <v>2255</v>
      </c>
      <c r="V2297" s="197">
        <v>-2599.2003741365352</v>
      </c>
    </row>
    <row r="2298" spans="21:22">
      <c r="U2298">
        <v>2256</v>
      </c>
      <c r="V2298" s="197">
        <v>394.06712567874018</v>
      </c>
    </row>
    <row r="2299" spans="21:22">
      <c r="U2299">
        <v>2257</v>
      </c>
      <c r="V2299" s="197">
        <v>-930.14185282557423</v>
      </c>
    </row>
    <row r="2300" spans="21:22">
      <c r="U2300">
        <v>2258</v>
      </c>
      <c r="V2300" s="197">
        <v>-1241.2181744150323</v>
      </c>
    </row>
    <row r="2301" spans="21:22">
      <c r="U2301">
        <v>2259</v>
      </c>
      <c r="V2301" s="197">
        <v>675.39941142850626</v>
      </c>
    </row>
    <row r="2302" spans="21:22">
      <c r="U2302">
        <v>2260</v>
      </c>
      <c r="V2302" s="197">
        <v>1450.2830312247477</v>
      </c>
    </row>
    <row r="2303" spans="21:22">
      <c r="U2303">
        <v>2261</v>
      </c>
      <c r="V2303" s="197">
        <v>-1572.0971502927264</v>
      </c>
    </row>
    <row r="2304" spans="21:22">
      <c r="U2304">
        <v>2262</v>
      </c>
      <c r="V2304" s="197">
        <v>-192.41858591115425</v>
      </c>
    </row>
    <row r="2305" spans="21:22">
      <c r="U2305">
        <v>2263</v>
      </c>
      <c r="V2305" s="197">
        <v>949.19509396995136</v>
      </c>
    </row>
    <row r="2306" spans="21:22">
      <c r="U2306">
        <v>2264</v>
      </c>
      <c r="V2306" s="197">
        <v>-454.38671412250943</v>
      </c>
    </row>
    <row r="2307" spans="21:22">
      <c r="U2307">
        <v>2265</v>
      </c>
      <c r="V2307" s="197">
        <v>1758.7258870746634</v>
      </c>
    </row>
    <row r="2308" spans="21:22">
      <c r="U2308">
        <v>2266</v>
      </c>
      <c r="V2308" s="197">
        <v>-2056.7065230301559</v>
      </c>
    </row>
    <row r="2309" spans="21:22">
      <c r="U2309">
        <v>2267</v>
      </c>
      <c r="V2309" s="197">
        <v>410.05336338301953</v>
      </c>
    </row>
    <row r="2310" spans="21:22">
      <c r="U2310">
        <v>2268</v>
      </c>
      <c r="V2310" s="197">
        <v>1509.2215246578814</v>
      </c>
    </row>
    <row r="2311" spans="21:22">
      <c r="U2311">
        <v>2269</v>
      </c>
      <c r="V2311" s="197">
        <v>731.38256250797122</v>
      </c>
    </row>
    <row r="2312" spans="21:22">
      <c r="U2312">
        <v>2270</v>
      </c>
      <c r="V2312" s="197">
        <v>-1034.6072419105262</v>
      </c>
    </row>
    <row r="2313" spans="21:22">
      <c r="U2313">
        <v>2271</v>
      </c>
      <c r="V2313" s="197">
        <v>-339.76456991070143</v>
      </c>
    </row>
    <row r="2314" spans="21:22">
      <c r="U2314">
        <v>2272</v>
      </c>
      <c r="V2314" s="197">
        <v>167.34843759331278</v>
      </c>
    </row>
    <row r="2315" spans="21:22">
      <c r="U2315">
        <v>2273</v>
      </c>
      <c r="V2315" s="197">
        <v>-600.68730186296511</v>
      </c>
    </row>
    <row r="2316" spans="21:22">
      <c r="U2316">
        <v>2274</v>
      </c>
      <c r="V2316" s="197">
        <v>493.87007028186389</v>
      </c>
    </row>
    <row r="2317" spans="21:22">
      <c r="U2317">
        <v>2275</v>
      </c>
      <c r="V2317" s="197">
        <v>465.87179903010548</v>
      </c>
    </row>
    <row r="2318" spans="21:22">
      <c r="U2318">
        <v>2276</v>
      </c>
      <c r="V2318" s="197">
        <v>-1103.0178729319016</v>
      </c>
    </row>
    <row r="2319" spans="21:22">
      <c r="U2319">
        <v>2277</v>
      </c>
      <c r="V2319" s="197">
        <v>1238.2543865844343</v>
      </c>
    </row>
    <row r="2320" spans="21:22">
      <c r="U2320">
        <v>2278</v>
      </c>
      <c r="V2320" s="197">
        <v>498.47645578460219</v>
      </c>
    </row>
    <row r="2321" spans="21:22">
      <c r="U2321">
        <v>2279</v>
      </c>
      <c r="V2321" s="197">
        <v>-360.34547855496731</v>
      </c>
    </row>
    <row r="2322" spans="21:22">
      <c r="U2322">
        <v>2280</v>
      </c>
      <c r="V2322" s="197">
        <v>69.364149845464226</v>
      </c>
    </row>
    <row r="2323" spans="21:22">
      <c r="U2323">
        <v>2281</v>
      </c>
      <c r="V2323" s="197">
        <v>-617.7555436893399</v>
      </c>
    </row>
    <row r="2324" spans="21:22">
      <c r="U2324">
        <v>2282</v>
      </c>
      <c r="V2324" s="197">
        <v>1706.3786308024901</v>
      </c>
    </row>
    <row r="2325" spans="21:22">
      <c r="U2325">
        <v>2283</v>
      </c>
      <c r="V2325" s="197">
        <v>351.20494035884371</v>
      </c>
    </row>
    <row r="2326" spans="21:22">
      <c r="U2326">
        <v>2284</v>
      </c>
      <c r="V2326" s="197">
        <v>426.12148719133143</v>
      </c>
    </row>
    <row r="2327" spans="21:22">
      <c r="U2327">
        <v>2285</v>
      </c>
      <c r="V2327" s="197">
        <v>-993.04741220191409</v>
      </c>
    </row>
    <row r="2328" spans="21:22">
      <c r="U2328">
        <v>2286</v>
      </c>
      <c r="V2328" s="197">
        <v>-95.895627873856796</v>
      </c>
    </row>
    <row r="2329" spans="21:22">
      <c r="U2329">
        <v>2287</v>
      </c>
      <c r="V2329" s="197">
        <v>-134.19541084773132</v>
      </c>
    </row>
    <row r="2330" spans="21:22">
      <c r="U2330">
        <v>2288</v>
      </c>
      <c r="V2330" s="197">
        <v>595.73490820662028</v>
      </c>
    </row>
    <row r="2331" spans="21:22">
      <c r="U2331">
        <v>2289</v>
      </c>
      <c r="V2331" s="197">
        <v>76.06191651051077</v>
      </c>
    </row>
    <row r="2332" spans="21:22">
      <c r="U2332">
        <v>2290</v>
      </c>
      <c r="V2332" s="197">
        <v>1654.1424274861081</v>
      </c>
    </row>
    <row r="2333" spans="21:22">
      <c r="U2333">
        <v>2291</v>
      </c>
      <c r="V2333" s="197">
        <v>-36.742419982905858</v>
      </c>
    </row>
    <row r="2334" spans="21:22">
      <c r="U2334">
        <v>2292</v>
      </c>
      <c r="V2334" s="197">
        <v>-359.2507679197513</v>
      </c>
    </row>
    <row r="2335" spans="21:22">
      <c r="U2335">
        <v>2293</v>
      </c>
      <c r="V2335" s="197">
        <v>-383.36949998333495</v>
      </c>
    </row>
    <row r="2336" spans="21:22">
      <c r="U2336">
        <v>2294</v>
      </c>
      <c r="V2336" s="197">
        <v>282.41419124524572</v>
      </c>
    </row>
    <row r="2337" spans="21:22">
      <c r="U2337">
        <v>2295</v>
      </c>
      <c r="V2337" s="197">
        <v>560.57088174781643</v>
      </c>
    </row>
    <row r="2338" spans="21:22">
      <c r="U2338">
        <v>2296</v>
      </c>
      <c r="V2338" s="197">
        <v>142.45246138964066</v>
      </c>
    </row>
    <row r="2339" spans="21:22">
      <c r="U2339">
        <v>2297</v>
      </c>
      <c r="V2339" s="197">
        <v>228.38677401237834</v>
      </c>
    </row>
    <row r="2340" spans="21:22">
      <c r="U2340">
        <v>2298</v>
      </c>
      <c r="V2340" s="197">
        <v>-2052.9431234575377</v>
      </c>
    </row>
    <row r="2341" spans="21:22">
      <c r="U2341">
        <v>2299</v>
      </c>
      <c r="V2341" s="197">
        <v>-332.66517620705235</v>
      </c>
    </row>
    <row r="2342" spans="21:22">
      <c r="U2342">
        <v>2300</v>
      </c>
      <c r="V2342" s="197">
        <v>-505.64457449340335</v>
      </c>
    </row>
    <row r="2343" spans="21:22">
      <c r="U2343">
        <v>2301</v>
      </c>
      <c r="V2343" s="197">
        <v>-961.31657952961655</v>
      </c>
    </row>
    <row r="2344" spans="21:22">
      <c r="U2344">
        <v>2302</v>
      </c>
      <c r="V2344" s="197">
        <v>-1274.0411978470854</v>
      </c>
    </row>
    <row r="2345" spans="21:22">
      <c r="U2345">
        <v>2303</v>
      </c>
      <c r="V2345" s="197">
        <v>1674.1961276149523</v>
      </c>
    </row>
    <row r="2346" spans="21:22">
      <c r="U2346">
        <v>2304</v>
      </c>
      <c r="V2346" s="197">
        <v>1222.3614675634351</v>
      </c>
    </row>
    <row r="2347" spans="21:22">
      <c r="U2347">
        <v>2305</v>
      </c>
      <c r="V2347" s="197">
        <v>-231.67024481560304</v>
      </c>
    </row>
    <row r="2348" spans="21:22">
      <c r="U2348">
        <v>2306</v>
      </c>
      <c r="V2348" s="197">
        <v>-141.68227100608556</v>
      </c>
    </row>
    <row r="2349" spans="21:22">
      <c r="U2349">
        <v>2307</v>
      </c>
      <c r="V2349" s="197">
        <v>946.10556735950763</v>
      </c>
    </row>
    <row r="2350" spans="21:22">
      <c r="U2350">
        <v>2308</v>
      </c>
      <c r="V2350" s="197">
        <v>-531.15430274842288</v>
      </c>
    </row>
    <row r="2351" spans="21:22">
      <c r="U2351">
        <v>2309</v>
      </c>
      <c r="V2351" s="197">
        <v>665.78369336785431</v>
      </c>
    </row>
    <row r="2352" spans="21:22">
      <c r="U2352">
        <v>2310</v>
      </c>
      <c r="V2352" s="197">
        <v>187.45027193891733</v>
      </c>
    </row>
    <row r="2353" spans="21:22">
      <c r="U2353">
        <v>2311</v>
      </c>
      <c r="V2353" s="197">
        <v>-367.40913930228362</v>
      </c>
    </row>
    <row r="2354" spans="21:22">
      <c r="U2354">
        <v>2312</v>
      </c>
      <c r="V2354" s="197">
        <v>1977.8992937675205</v>
      </c>
    </row>
    <row r="2355" spans="21:22">
      <c r="U2355">
        <v>2313</v>
      </c>
      <c r="V2355" s="197">
        <v>-672.03207529551673</v>
      </c>
    </row>
    <row r="2356" spans="21:22">
      <c r="U2356">
        <v>2314</v>
      </c>
      <c r="V2356" s="197">
        <v>1169.443981104097</v>
      </c>
    </row>
    <row r="2357" spans="21:22">
      <c r="U2357">
        <v>2315</v>
      </c>
      <c r="V2357" s="197">
        <v>1881.5636224175641</v>
      </c>
    </row>
    <row r="2358" spans="21:22">
      <c r="U2358">
        <v>2316</v>
      </c>
      <c r="V2358" s="197">
        <v>67.738357814127653</v>
      </c>
    </row>
    <row r="2359" spans="21:22">
      <c r="U2359">
        <v>2317</v>
      </c>
      <c r="V2359" s="197">
        <v>2217.4443391824029</v>
      </c>
    </row>
    <row r="2360" spans="21:22">
      <c r="U2360">
        <v>2318</v>
      </c>
      <c r="V2360" s="197">
        <v>205.77717917073295</v>
      </c>
    </row>
    <row r="2361" spans="21:22">
      <c r="U2361">
        <v>2319</v>
      </c>
      <c r="V2361" s="197">
        <v>-306.70921472899818</v>
      </c>
    </row>
    <row r="2362" spans="21:22">
      <c r="U2362">
        <v>2320</v>
      </c>
      <c r="V2362" s="197">
        <v>287.10593522694262</v>
      </c>
    </row>
    <row r="2363" spans="21:22">
      <c r="U2363">
        <v>2321</v>
      </c>
      <c r="V2363" s="197">
        <v>-859.55270158751023</v>
      </c>
    </row>
    <row r="2364" spans="21:22">
      <c r="U2364">
        <v>2322</v>
      </c>
      <c r="V2364" s="197">
        <v>-991.13063396932102</v>
      </c>
    </row>
    <row r="2365" spans="21:22">
      <c r="U2365">
        <v>2323</v>
      </c>
      <c r="V2365" s="197">
        <v>38.938797934643425</v>
      </c>
    </row>
    <row r="2366" spans="21:22">
      <c r="U2366">
        <v>2324</v>
      </c>
      <c r="V2366" s="197">
        <v>-664.08321232989488</v>
      </c>
    </row>
    <row r="2367" spans="21:22">
      <c r="U2367">
        <v>2325</v>
      </c>
      <c r="V2367" s="197">
        <v>753.83059232901542</v>
      </c>
    </row>
    <row r="2368" spans="21:22">
      <c r="U2368">
        <v>2326</v>
      </c>
      <c r="V2368" s="197">
        <v>-1043.9801656644231</v>
      </c>
    </row>
    <row r="2369" spans="21:22">
      <c r="U2369">
        <v>2327</v>
      </c>
      <c r="V2369" s="197">
        <v>848.7020673574998</v>
      </c>
    </row>
    <row r="2370" spans="21:22">
      <c r="U2370">
        <v>2328</v>
      </c>
      <c r="V2370" s="197">
        <v>1424.8507068491022</v>
      </c>
    </row>
    <row r="2371" spans="21:22">
      <c r="U2371">
        <v>2329</v>
      </c>
      <c r="V2371" s="197">
        <v>-474.67598018735174</v>
      </c>
    </row>
    <row r="2372" spans="21:22">
      <c r="U2372">
        <v>2330</v>
      </c>
      <c r="V2372" s="197">
        <v>-51.153667944834098</v>
      </c>
    </row>
    <row r="2373" spans="21:22">
      <c r="U2373">
        <v>2331</v>
      </c>
      <c r="V2373" s="197">
        <v>-566.48765781729139</v>
      </c>
    </row>
    <row r="2374" spans="21:22">
      <c r="U2374">
        <v>2332</v>
      </c>
      <c r="V2374" s="197">
        <v>-257.22188665205175</v>
      </c>
    </row>
    <row r="2375" spans="21:22">
      <c r="U2375">
        <v>2333</v>
      </c>
      <c r="V2375" s="197">
        <v>1126.9610255182415</v>
      </c>
    </row>
    <row r="2376" spans="21:22">
      <c r="U2376">
        <v>2334</v>
      </c>
      <c r="V2376" s="197">
        <v>565.15500188446094</v>
      </c>
    </row>
    <row r="2377" spans="21:22">
      <c r="U2377">
        <v>2335</v>
      </c>
      <c r="V2377" s="197">
        <v>831.6335877631102</v>
      </c>
    </row>
    <row r="2378" spans="21:22">
      <c r="U2378">
        <v>2336</v>
      </c>
      <c r="V2378" s="197">
        <v>-426.46629584786757</v>
      </c>
    </row>
    <row r="2379" spans="21:22">
      <c r="U2379">
        <v>2337</v>
      </c>
      <c r="V2379" s="197">
        <v>-353.24956721912037</v>
      </c>
    </row>
    <row r="2380" spans="21:22">
      <c r="U2380">
        <v>2338</v>
      </c>
      <c r="V2380" s="197">
        <v>-725.23813152496086</v>
      </c>
    </row>
    <row r="2381" spans="21:22">
      <c r="U2381">
        <v>2339</v>
      </c>
      <c r="V2381" s="197">
        <v>710.5553732502558</v>
      </c>
    </row>
    <row r="2382" spans="21:22">
      <c r="U2382">
        <v>2340</v>
      </c>
      <c r="V2382" s="197">
        <v>-1546.5786905857249</v>
      </c>
    </row>
    <row r="2383" spans="21:22">
      <c r="U2383">
        <v>2341</v>
      </c>
      <c r="V2383" s="197">
        <v>-45.270339747327625</v>
      </c>
    </row>
    <row r="2384" spans="21:22">
      <c r="U2384">
        <v>2342</v>
      </c>
      <c r="V2384" s="197">
        <v>521.15041282606671</v>
      </c>
    </row>
    <row r="2385" spans="21:22">
      <c r="U2385">
        <v>2343</v>
      </c>
      <c r="V2385" s="197">
        <v>-1020.5631139955128</v>
      </c>
    </row>
    <row r="2386" spans="21:22">
      <c r="U2386">
        <v>2344</v>
      </c>
      <c r="V2386" s="197">
        <v>974.28306214512804</v>
      </c>
    </row>
    <row r="2387" spans="21:22">
      <c r="U2387">
        <v>2345</v>
      </c>
      <c r="V2387" s="197">
        <v>-588.51398381585204</v>
      </c>
    </row>
    <row r="2388" spans="21:22">
      <c r="U2388">
        <v>2346</v>
      </c>
      <c r="V2388" s="197">
        <v>-479.28674431497899</v>
      </c>
    </row>
    <row r="2389" spans="21:22">
      <c r="U2389">
        <v>2347</v>
      </c>
      <c r="V2389" s="197">
        <v>-702.01821522122191</v>
      </c>
    </row>
    <row r="2390" spans="21:22">
      <c r="U2390">
        <v>2348</v>
      </c>
      <c r="V2390" s="197">
        <v>454.84355674919749</v>
      </c>
    </row>
    <row r="2391" spans="21:22">
      <c r="U2391">
        <v>2349</v>
      </c>
      <c r="V2391" s="197">
        <v>436.41388925198027</v>
      </c>
    </row>
    <row r="2392" spans="21:22">
      <c r="U2392">
        <v>2350</v>
      </c>
      <c r="V2392" s="197">
        <v>1079.0187709035606</v>
      </c>
    </row>
    <row r="2393" spans="21:22">
      <c r="U2393">
        <v>2351</v>
      </c>
      <c r="V2393" s="197">
        <v>-400.10935683547677</v>
      </c>
    </row>
    <row r="2394" spans="21:22">
      <c r="U2394">
        <v>2352</v>
      </c>
      <c r="V2394" s="197">
        <v>-931.79850183610665</v>
      </c>
    </row>
    <row r="2395" spans="21:22">
      <c r="U2395">
        <v>2353</v>
      </c>
      <c r="V2395" s="197">
        <v>1104.1770651440343</v>
      </c>
    </row>
    <row r="2396" spans="21:22">
      <c r="U2396">
        <v>2354</v>
      </c>
      <c r="V2396" s="197">
        <v>-134.0713786484084</v>
      </c>
    </row>
    <row r="2397" spans="21:22">
      <c r="U2397">
        <v>2355</v>
      </c>
      <c r="V2397" s="197">
        <v>894.9184920145251</v>
      </c>
    </row>
    <row r="2398" spans="21:22">
      <c r="U2398">
        <v>2356</v>
      </c>
      <c r="V2398" s="197">
        <v>1058.1120283400019</v>
      </c>
    </row>
    <row r="2399" spans="21:22">
      <c r="U2399">
        <v>2357</v>
      </c>
      <c r="V2399" s="197">
        <v>-850.28929751275496</v>
      </c>
    </row>
    <row r="2400" spans="21:22">
      <c r="U2400">
        <v>2358</v>
      </c>
      <c r="V2400" s="197">
        <v>1151.5647345590125</v>
      </c>
    </row>
    <row r="2401" spans="21:22">
      <c r="U2401">
        <v>2359</v>
      </c>
      <c r="V2401" s="197">
        <v>277.58404796031994</v>
      </c>
    </row>
    <row r="2402" spans="21:22">
      <c r="U2402">
        <v>2360</v>
      </c>
      <c r="V2402" s="197">
        <v>-142.3348926731959</v>
      </c>
    </row>
    <row r="2403" spans="21:22">
      <c r="U2403">
        <v>2361</v>
      </c>
      <c r="V2403" s="197">
        <v>1034.8685555782549</v>
      </c>
    </row>
    <row r="2404" spans="21:22">
      <c r="U2404">
        <v>2362</v>
      </c>
      <c r="V2404" s="197">
        <v>-149.39965546738762</v>
      </c>
    </row>
    <row r="2405" spans="21:22">
      <c r="U2405">
        <v>2363</v>
      </c>
      <c r="V2405" s="197">
        <v>24.62122536356533</v>
      </c>
    </row>
    <row r="2406" spans="21:22">
      <c r="U2406">
        <v>2364</v>
      </c>
      <c r="V2406" s="197">
        <v>-662.61082595628636</v>
      </c>
    </row>
    <row r="2407" spans="21:22">
      <c r="U2407">
        <v>2365</v>
      </c>
      <c r="V2407" s="197">
        <v>2301.5303469611704</v>
      </c>
    </row>
    <row r="2408" spans="21:22">
      <c r="U2408">
        <v>2366</v>
      </c>
      <c r="V2408" s="197">
        <v>324.33660376698219</v>
      </c>
    </row>
    <row r="2409" spans="21:22">
      <c r="U2409">
        <v>2367</v>
      </c>
      <c r="V2409" s="197">
        <v>-627.87551566635989</v>
      </c>
    </row>
    <row r="2410" spans="21:22">
      <c r="U2410">
        <v>2368</v>
      </c>
      <c r="V2410" s="197">
        <v>1464.0209081015271</v>
      </c>
    </row>
    <row r="2411" spans="21:22">
      <c r="U2411">
        <v>2369</v>
      </c>
      <c r="V2411" s="197">
        <v>510.34818563937438</v>
      </c>
    </row>
    <row r="2412" spans="21:22">
      <c r="U2412">
        <v>2370</v>
      </c>
      <c r="V2412" s="197">
        <v>844.61908171625601</v>
      </c>
    </row>
    <row r="2413" spans="21:22">
      <c r="U2413">
        <v>2371</v>
      </c>
      <c r="V2413" s="197">
        <v>-946.26097564447605</v>
      </c>
    </row>
    <row r="2414" spans="21:22">
      <c r="U2414">
        <v>2372</v>
      </c>
      <c r="V2414" s="197">
        <v>742.82078933393836</v>
      </c>
    </row>
    <row r="2415" spans="21:22">
      <c r="U2415">
        <v>2373</v>
      </c>
      <c r="V2415" s="197">
        <v>-3292.3616041853206</v>
      </c>
    </row>
    <row r="2416" spans="21:22">
      <c r="U2416">
        <v>2374</v>
      </c>
      <c r="V2416" s="197">
        <v>349.97403048349247</v>
      </c>
    </row>
    <row r="2417" spans="21:22">
      <c r="U2417">
        <v>2375</v>
      </c>
      <c r="V2417" s="197">
        <v>1762.0943504245845</v>
      </c>
    </row>
    <row r="2418" spans="21:22">
      <c r="U2418">
        <v>2376</v>
      </c>
      <c r="V2418" s="197">
        <v>155.1028159409081</v>
      </c>
    </row>
    <row r="2419" spans="21:22">
      <c r="U2419">
        <v>2377</v>
      </c>
      <c r="V2419" s="197">
        <v>547.53931948246407</v>
      </c>
    </row>
    <row r="2420" spans="21:22">
      <c r="U2420">
        <v>2378</v>
      </c>
      <c r="V2420" s="197">
        <v>3254.7133555880878</v>
      </c>
    </row>
    <row r="2421" spans="21:22">
      <c r="U2421">
        <v>2379</v>
      </c>
      <c r="V2421" s="197">
        <v>232.76595745980202</v>
      </c>
    </row>
    <row r="2422" spans="21:22">
      <c r="U2422">
        <v>2380</v>
      </c>
      <c r="V2422" s="197">
        <v>582.1839523515257</v>
      </c>
    </row>
    <row r="2423" spans="21:22">
      <c r="U2423">
        <v>2381</v>
      </c>
      <c r="V2423" s="197">
        <v>-454.33835489946927</v>
      </c>
    </row>
    <row r="2424" spans="21:22">
      <c r="U2424">
        <v>2382</v>
      </c>
      <c r="V2424" s="197">
        <v>-433.02665157083339</v>
      </c>
    </row>
    <row r="2425" spans="21:22">
      <c r="U2425">
        <v>2383</v>
      </c>
      <c r="V2425" s="197">
        <v>-730.99488725124752</v>
      </c>
    </row>
    <row r="2426" spans="21:22">
      <c r="U2426">
        <v>2384</v>
      </c>
      <c r="V2426" s="197">
        <v>1705.9919044897354</v>
      </c>
    </row>
    <row r="2427" spans="21:22">
      <c r="U2427">
        <v>2385</v>
      </c>
      <c r="V2427" s="197">
        <v>2145.2508599088478</v>
      </c>
    </row>
    <row r="2428" spans="21:22">
      <c r="U2428">
        <v>2386</v>
      </c>
      <c r="V2428" s="197">
        <v>-19.075427691602044</v>
      </c>
    </row>
    <row r="2429" spans="21:22">
      <c r="U2429">
        <v>2387</v>
      </c>
      <c r="V2429" s="197">
        <v>35.219255953542458</v>
      </c>
    </row>
    <row r="2430" spans="21:22">
      <c r="U2430">
        <v>2388</v>
      </c>
      <c r="V2430" s="197">
        <v>400.18349014325094</v>
      </c>
    </row>
    <row r="2431" spans="21:22">
      <c r="U2431">
        <v>2389</v>
      </c>
      <c r="V2431" s="197">
        <v>-701.70120500757116</v>
      </c>
    </row>
    <row r="2432" spans="21:22">
      <c r="U2432">
        <v>2390</v>
      </c>
      <c r="V2432" s="197">
        <v>506.1576274647303</v>
      </c>
    </row>
    <row r="2433" spans="21:22">
      <c r="U2433">
        <v>2391</v>
      </c>
      <c r="V2433" s="197">
        <v>-915.99533366069568</v>
      </c>
    </row>
    <row r="2434" spans="21:22">
      <c r="U2434">
        <v>2392</v>
      </c>
      <c r="V2434" s="197">
        <v>205.03614359594698</v>
      </c>
    </row>
    <row r="2435" spans="21:22">
      <c r="U2435">
        <v>2393</v>
      </c>
      <c r="V2435" s="197">
        <v>-183.78941603421003</v>
      </c>
    </row>
    <row r="2436" spans="21:22">
      <c r="U2436">
        <v>2394</v>
      </c>
      <c r="V2436" s="197">
        <v>44.60899334381957</v>
      </c>
    </row>
    <row r="2437" spans="21:22">
      <c r="U2437">
        <v>2395</v>
      </c>
      <c r="V2437" s="197">
        <v>205.84041173342749</v>
      </c>
    </row>
    <row r="2438" spans="21:22">
      <c r="U2438">
        <v>2396</v>
      </c>
      <c r="V2438" s="197">
        <v>1305.9943812357881</v>
      </c>
    </row>
    <row r="2439" spans="21:22">
      <c r="U2439">
        <v>2397</v>
      </c>
      <c r="V2439" s="197">
        <v>1254.8561186838435</v>
      </c>
    </row>
    <row r="2440" spans="21:22">
      <c r="U2440">
        <v>2398</v>
      </c>
      <c r="V2440" s="197">
        <v>-686.93896145194185</v>
      </c>
    </row>
    <row r="2441" spans="21:22">
      <c r="U2441">
        <v>2399</v>
      </c>
      <c r="V2441" s="197">
        <v>-522.2009983280343</v>
      </c>
    </row>
    <row r="2442" spans="21:22">
      <c r="U2442">
        <v>2400</v>
      </c>
      <c r="V2442" s="197">
        <v>919.21952319961792</v>
      </c>
    </row>
    <row r="2443" spans="21:22">
      <c r="U2443">
        <v>2401</v>
      </c>
      <c r="V2443" s="197">
        <v>1838.169204564955</v>
      </c>
    </row>
    <row r="2444" spans="21:22">
      <c r="U2444">
        <v>2402</v>
      </c>
      <c r="V2444" s="197">
        <v>-1945.7434613891842</v>
      </c>
    </row>
    <row r="2445" spans="21:22">
      <c r="U2445">
        <v>2403</v>
      </c>
      <c r="V2445" s="197">
        <v>99.589420717573617</v>
      </c>
    </row>
    <row r="2446" spans="21:22">
      <c r="U2446">
        <v>2404</v>
      </c>
      <c r="V2446" s="197">
        <v>913.30311674127393</v>
      </c>
    </row>
    <row r="2447" spans="21:22">
      <c r="U2447">
        <v>2405</v>
      </c>
      <c r="V2447" s="197">
        <v>-820.98418379916507</v>
      </c>
    </row>
    <row r="2448" spans="21:22">
      <c r="U2448">
        <v>2406</v>
      </c>
      <c r="V2448" s="197">
        <v>849.76252166296103</v>
      </c>
    </row>
    <row r="2449" spans="21:22">
      <c r="U2449">
        <v>2407</v>
      </c>
      <c r="V2449" s="197">
        <v>-246.01495490849555</v>
      </c>
    </row>
    <row r="2450" spans="21:22">
      <c r="U2450">
        <v>2408</v>
      </c>
      <c r="V2450" s="197">
        <v>928.26755769800502</v>
      </c>
    </row>
    <row r="2451" spans="21:22">
      <c r="U2451">
        <v>2409</v>
      </c>
      <c r="V2451" s="197">
        <v>-354.89048751163472</v>
      </c>
    </row>
    <row r="2452" spans="21:22">
      <c r="U2452">
        <v>2410</v>
      </c>
      <c r="V2452" s="197">
        <v>1035.2950881653287</v>
      </c>
    </row>
    <row r="2453" spans="21:22">
      <c r="U2453">
        <v>2411</v>
      </c>
      <c r="V2453" s="197">
        <v>-388.52420614571685</v>
      </c>
    </row>
    <row r="2454" spans="21:22">
      <c r="U2454">
        <v>2412</v>
      </c>
      <c r="V2454" s="197">
        <v>2171.0022332811841</v>
      </c>
    </row>
    <row r="2455" spans="21:22">
      <c r="U2455">
        <v>2413</v>
      </c>
      <c r="V2455" s="197">
        <v>1863.3688685369716</v>
      </c>
    </row>
    <row r="2456" spans="21:22">
      <c r="U2456">
        <v>2414</v>
      </c>
      <c r="V2456" s="197">
        <v>686.6452317168073</v>
      </c>
    </row>
    <row r="2457" spans="21:22">
      <c r="U2457">
        <v>2415</v>
      </c>
      <c r="V2457" s="197">
        <v>48.183916785379537</v>
      </c>
    </row>
    <row r="2458" spans="21:22">
      <c r="U2458">
        <v>2416</v>
      </c>
      <c r="V2458" s="197">
        <v>-914.6693330227929</v>
      </c>
    </row>
    <row r="2459" spans="21:22">
      <c r="U2459">
        <v>2417</v>
      </c>
      <c r="V2459" s="197">
        <v>1787.380063239571</v>
      </c>
    </row>
    <row r="2460" spans="21:22">
      <c r="U2460">
        <v>2418</v>
      </c>
      <c r="V2460" s="197">
        <v>933.99016204758846</v>
      </c>
    </row>
    <row r="2461" spans="21:22">
      <c r="U2461">
        <v>2419</v>
      </c>
      <c r="V2461" s="197">
        <v>-718.41500631622603</v>
      </c>
    </row>
    <row r="2462" spans="21:22">
      <c r="U2462">
        <v>2420</v>
      </c>
      <c r="V2462" s="197">
        <v>-828.83779702370293</v>
      </c>
    </row>
    <row r="2463" spans="21:22">
      <c r="U2463">
        <v>2421</v>
      </c>
      <c r="V2463" s="197">
        <v>15.49379375532375</v>
      </c>
    </row>
    <row r="2464" spans="21:22">
      <c r="U2464">
        <v>2422</v>
      </c>
      <c r="V2464" s="197">
        <v>1379.029639035118</v>
      </c>
    </row>
    <row r="2465" spans="21:22">
      <c r="U2465">
        <v>2423</v>
      </c>
      <c r="V2465" s="197">
        <v>-333.42093998104525</v>
      </c>
    </row>
    <row r="2466" spans="21:22">
      <c r="U2466">
        <v>2424</v>
      </c>
      <c r="V2466" s="197">
        <v>1151.4668470863605</v>
      </c>
    </row>
    <row r="2467" spans="21:22">
      <c r="U2467">
        <v>2425</v>
      </c>
      <c r="V2467" s="197">
        <v>-719.0996211813474</v>
      </c>
    </row>
    <row r="2468" spans="21:22">
      <c r="U2468">
        <v>2426</v>
      </c>
      <c r="V2468" s="197">
        <v>-135.24709892247665</v>
      </c>
    </row>
    <row r="2469" spans="21:22">
      <c r="U2469">
        <v>2427</v>
      </c>
      <c r="V2469" s="197">
        <v>743.51713735108024</v>
      </c>
    </row>
    <row r="2470" spans="21:22">
      <c r="U2470">
        <v>2428</v>
      </c>
      <c r="V2470" s="197">
        <v>675.50921227658273</v>
      </c>
    </row>
    <row r="2471" spans="21:22">
      <c r="U2471">
        <v>2429</v>
      </c>
      <c r="V2471" s="197">
        <v>126.38340793089344</v>
      </c>
    </row>
    <row r="2472" spans="21:22">
      <c r="U2472">
        <v>2430</v>
      </c>
      <c r="V2472" s="197">
        <v>-815.39551427695483</v>
      </c>
    </row>
    <row r="2473" spans="21:22">
      <c r="U2473">
        <v>2431</v>
      </c>
      <c r="V2473" s="197">
        <v>101.19507238846685</v>
      </c>
    </row>
    <row r="2474" spans="21:22">
      <c r="U2474">
        <v>2432</v>
      </c>
      <c r="V2474" s="197">
        <v>-32.022783190360713</v>
      </c>
    </row>
    <row r="2475" spans="21:22">
      <c r="U2475">
        <v>2433</v>
      </c>
      <c r="V2475" s="197">
        <v>1536.2634690900954</v>
      </c>
    </row>
    <row r="2476" spans="21:22">
      <c r="U2476">
        <v>2434</v>
      </c>
      <c r="V2476" s="197">
        <v>1049.5350474160962</v>
      </c>
    </row>
    <row r="2477" spans="21:22">
      <c r="U2477">
        <v>2435</v>
      </c>
      <c r="V2477" s="197">
        <v>37.442718620063218</v>
      </c>
    </row>
    <row r="2478" spans="21:22">
      <c r="U2478">
        <v>2436</v>
      </c>
      <c r="V2478" s="197">
        <v>78.438490805990753</v>
      </c>
    </row>
    <row r="2479" spans="21:22">
      <c r="U2479">
        <v>2437</v>
      </c>
      <c r="V2479" s="197">
        <v>-855.08980785764629</v>
      </c>
    </row>
    <row r="2480" spans="21:22">
      <c r="U2480">
        <v>2438</v>
      </c>
      <c r="V2480" s="197">
        <v>2664.0305015589747</v>
      </c>
    </row>
    <row r="2481" spans="21:22">
      <c r="U2481">
        <v>2439</v>
      </c>
      <c r="V2481" s="197">
        <v>593.75701322931945</v>
      </c>
    </row>
    <row r="2482" spans="21:22">
      <c r="U2482">
        <v>2440</v>
      </c>
      <c r="V2482" s="197">
        <v>979.81243510669219</v>
      </c>
    </row>
    <row r="2483" spans="21:22">
      <c r="U2483">
        <v>2441</v>
      </c>
      <c r="V2483" s="197">
        <v>452.60606014746969</v>
      </c>
    </row>
    <row r="2484" spans="21:22">
      <c r="U2484">
        <v>2442</v>
      </c>
      <c r="V2484" s="197">
        <v>1477.9647966962737</v>
      </c>
    </row>
    <row r="2485" spans="21:22">
      <c r="U2485">
        <v>2443</v>
      </c>
      <c r="V2485" s="197">
        <v>-1161.1977918179398</v>
      </c>
    </row>
    <row r="2486" spans="21:22">
      <c r="U2486">
        <v>2444</v>
      </c>
      <c r="V2486" s="197">
        <v>1061.6757942880629</v>
      </c>
    </row>
    <row r="2487" spans="21:22">
      <c r="U2487">
        <v>2445</v>
      </c>
      <c r="V2487" s="197">
        <v>73.532481991329036</v>
      </c>
    </row>
    <row r="2488" spans="21:22">
      <c r="U2488">
        <v>2446</v>
      </c>
      <c r="V2488" s="197">
        <v>133.40413374765123</v>
      </c>
    </row>
    <row r="2489" spans="21:22">
      <c r="U2489">
        <v>2447</v>
      </c>
      <c r="V2489" s="197">
        <v>1922.8434105891808</v>
      </c>
    </row>
    <row r="2490" spans="21:22">
      <c r="U2490">
        <v>2448</v>
      </c>
      <c r="V2490" s="197">
        <v>-1796.8338676421786</v>
      </c>
    </row>
    <row r="2491" spans="21:22">
      <c r="U2491">
        <v>2449</v>
      </c>
      <c r="V2491" s="197">
        <v>985.97604236769416</v>
      </c>
    </row>
    <row r="2492" spans="21:22">
      <c r="U2492">
        <v>2450</v>
      </c>
      <c r="V2492" s="197">
        <v>-107.18373454003549</v>
      </c>
    </row>
    <row r="2493" spans="21:22">
      <c r="U2493">
        <v>2451</v>
      </c>
      <c r="V2493" s="197">
        <v>139.0243285378493</v>
      </c>
    </row>
    <row r="2494" spans="21:22">
      <c r="U2494">
        <v>2452</v>
      </c>
      <c r="V2494" s="197">
        <v>613.46124844038468</v>
      </c>
    </row>
    <row r="2495" spans="21:22">
      <c r="U2495">
        <v>2453</v>
      </c>
      <c r="V2495" s="197">
        <v>-881.50615704817551</v>
      </c>
    </row>
    <row r="2496" spans="21:22">
      <c r="U2496">
        <v>2454</v>
      </c>
      <c r="V2496" s="197">
        <v>406.96895651898706</v>
      </c>
    </row>
    <row r="2497" spans="21:22">
      <c r="U2497">
        <v>2455</v>
      </c>
      <c r="V2497" s="197">
        <v>-1247.6921178365701</v>
      </c>
    </row>
    <row r="2498" spans="21:22">
      <c r="U2498">
        <v>2456</v>
      </c>
      <c r="V2498" s="197">
        <v>747.74173317362488</v>
      </c>
    </row>
    <row r="2499" spans="21:22">
      <c r="U2499">
        <v>2457</v>
      </c>
      <c r="V2499" s="197">
        <v>-773.90626498426695</v>
      </c>
    </row>
    <row r="2500" spans="21:22">
      <c r="U2500">
        <v>2458</v>
      </c>
      <c r="V2500" s="197">
        <v>-1756.8042021936367</v>
      </c>
    </row>
    <row r="2501" spans="21:22">
      <c r="U2501">
        <v>2459</v>
      </c>
      <c r="V2501" s="197">
        <v>-2448.3028562260342</v>
      </c>
    </row>
    <row r="2502" spans="21:22">
      <c r="U2502">
        <v>2460</v>
      </c>
      <c r="V2502" s="197">
        <v>158.35953490284882</v>
      </c>
    </row>
    <row r="2503" spans="21:22">
      <c r="U2503">
        <v>2461</v>
      </c>
      <c r="V2503" s="197">
        <v>145.85725030136501</v>
      </c>
    </row>
    <row r="2504" spans="21:22">
      <c r="U2504">
        <v>2462</v>
      </c>
      <c r="V2504" s="197">
        <v>-1444.2739431004156</v>
      </c>
    </row>
    <row r="2505" spans="21:22">
      <c r="U2505">
        <v>2463</v>
      </c>
      <c r="V2505" s="197">
        <v>1207.0274683663677</v>
      </c>
    </row>
    <row r="2506" spans="21:22">
      <c r="U2506">
        <v>2464</v>
      </c>
      <c r="V2506" s="197">
        <v>395.50549308218217</v>
      </c>
    </row>
    <row r="2507" spans="21:22">
      <c r="U2507">
        <v>2465</v>
      </c>
      <c r="V2507" s="197">
        <v>-13.997966969791023</v>
      </c>
    </row>
    <row r="2508" spans="21:22">
      <c r="U2508">
        <v>2466</v>
      </c>
      <c r="V2508" s="197">
        <v>-571.37014296893403</v>
      </c>
    </row>
    <row r="2509" spans="21:22">
      <c r="U2509">
        <v>2467</v>
      </c>
      <c r="V2509" s="197">
        <v>-747.57276129577076</v>
      </c>
    </row>
    <row r="2510" spans="21:22">
      <c r="U2510">
        <v>2468</v>
      </c>
      <c r="V2510" s="197">
        <v>367.3330733990345</v>
      </c>
    </row>
    <row r="2511" spans="21:22">
      <c r="U2511">
        <v>2469</v>
      </c>
      <c r="V2511" s="197">
        <v>1104.6743865671738</v>
      </c>
    </row>
    <row r="2512" spans="21:22">
      <c r="U2512">
        <v>2470</v>
      </c>
      <c r="V2512" s="197">
        <v>588.29797214723976</v>
      </c>
    </row>
    <row r="2513" spans="21:22">
      <c r="U2513">
        <v>2471</v>
      </c>
      <c r="V2513" s="197">
        <v>-195.97672294239106</v>
      </c>
    </row>
    <row r="2514" spans="21:22">
      <c r="U2514">
        <v>2472</v>
      </c>
      <c r="V2514" s="197">
        <v>1364.1644695733462</v>
      </c>
    </row>
    <row r="2515" spans="21:22">
      <c r="U2515">
        <v>2473</v>
      </c>
      <c r="V2515" s="197">
        <v>-1269.1550621705178</v>
      </c>
    </row>
    <row r="2516" spans="21:22">
      <c r="U2516">
        <v>2474</v>
      </c>
      <c r="V2516" s="197">
        <v>-12.72217326869</v>
      </c>
    </row>
    <row r="2517" spans="21:22">
      <c r="U2517">
        <v>2475</v>
      </c>
      <c r="V2517" s="197">
        <v>-207.4730016488744</v>
      </c>
    </row>
    <row r="2518" spans="21:22">
      <c r="U2518">
        <v>2476</v>
      </c>
      <c r="V2518" s="197">
        <v>-451.51665113999576</v>
      </c>
    </row>
    <row r="2519" spans="21:22">
      <c r="U2519">
        <v>2477</v>
      </c>
      <c r="V2519" s="197">
        <v>306.22942731804386</v>
      </c>
    </row>
    <row r="2520" spans="21:22">
      <c r="U2520">
        <v>2478</v>
      </c>
      <c r="V2520" s="197">
        <v>-1045.0472182673052</v>
      </c>
    </row>
    <row r="2521" spans="21:22">
      <c r="U2521">
        <v>2479</v>
      </c>
      <c r="V2521" s="197">
        <v>-514.25609089509862</v>
      </c>
    </row>
    <row r="2522" spans="21:22">
      <c r="U2522">
        <v>2480</v>
      </c>
      <c r="V2522" s="197">
        <v>1931.2459684351206</v>
      </c>
    </row>
    <row r="2523" spans="21:22">
      <c r="U2523">
        <v>2481</v>
      </c>
      <c r="V2523" s="197">
        <v>-453.89252340548097</v>
      </c>
    </row>
    <row r="2524" spans="21:22">
      <c r="U2524">
        <v>2482</v>
      </c>
      <c r="V2524" s="197">
        <v>132.99175825051253</v>
      </c>
    </row>
    <row r="2525" spans="21:22">
      <c r="U2525">
        <v>2483</v>
      </c>
      <c r="V2525" s="197">
        <v>-56.441615404881958</v>
      </c>
    </row>
    <row r="2526" spans="21:22">
      <c r="U2526">
        <v>2484</v>
      </c>
      <c r="V2526" s="197">
        <v>713.86983672402994</v>
      </c>
    </row>
    <row r="2527" spans="21:22">
      <c r="U2527">
        <v>2485</v>
      </c>
      <c r="V2527" s="197">
        <v>1045.0428425297803</v>
      </c>
    </row>
    <row r="2528" spans="21:22">
      <c r="U2528">
        <v>2486</v>
      </c>
      <c r="V2528" s="197">
        <v>-928.73954470161789</v>
      </c>
    </row>
    <row r="2529" spans="21:22">
      <c r="U2529">
        <v>2487</v>
      </c>
      <c r="V2529" s="197">
        <v>970.23546275048375</v>
      </c>
    </row>
    <row r="2530" spans="21:22">
      <c r="U2530">
        <v>2488</v>
      </c>
      <c r="V2530" s="197">
        <v>671.64895458953083</v>
      </c>
    </row>
    <row r="2531" spans="21:22">
      <c r="U2531">
        <v>2489</v>
      </c>
      <c r="V2531" s="197">
        <v>-403.13521464167496</v>
      </c>
    </row>
    <row r="2532" spans="21:22">
      <c r="U2532">
        <v>2490</v>
      </c>
      <c r="V2532" s="197">
        <v>-114.2253466695326</v>
      </c>
    </row>
    <row r="2533" spans="21:22">
      <c r="U2533">
        <v>2491</v>
      </c>
      <c r="V2533" s="197">
        <v>69.205490504192952</v>
      </c>
    </row>
    <row r="2534" spans="21:22">
      <c r="U2534">
        <v>2492</v>
      </c>
      <c r="V2534" s="197">
        <v>1314.9763723763726</v>
      </c>
    </row>
    <row r="2535" spans="21:22">
      <c r="U2535">
        <v>2493</v>
      </c>
      <c r="V2535" s="197">
        <v>-219.7296687957803</v>
      </c>
    </row>
    <row r="2536" spans="21:22">
      <c r="U2536">
        <v>2494</v>
      </c>
      <c r="V2536" s="197">
        <v>-214.32011437442242</v>
      </c>
    </row>
    <row r="2537" spans="21:22">
      <c r="U2537">
        <v>2495</v>
      </c>
      <c r="V2537" s="197">
        <v>73.451548481785451</v>
      </c>
    </row>
    <row r="2538" spans="21:22">
      <c r="U2538">
        <v>2496</v>
      </c>
      <c r="V2538" s="197">
        <v>-1981.1470676271731</v>
      </c>
    </row>
    <row r="2539" spans="21:22">
      <c r="U2539">
        <v>2497</v>
      </c>
      <c r="V2539" s="197">
        <v>-588.94879654640272</v>
      </c>
    </row>
    <row r="2540" spans="21:22">
      <c r="U2540">
        <v>2498</v>
      </c>
      <c r="V2540" s="197">
        <v>-278.39451376849092</v>
      </c>
    </row>
    <row r="2541" spans="21:22">
      <c r="U2541">
        <v>2499</v>
      </c>
      <c r="V2541" s="197">
        <v>1448.2933703177698</v>
      </c>
    </row>
    <row r="2542" spans="21:22">
      <c r="U2542">
        <v>2500</v>
      </c>
      <c r="V2542" s="197">
        <v>123.89431515572925</v>
      </c>
    </row>
    <row r="2543" spans="21:22">
      <c r="U2543">
        <v>2501</v>
      </c>
      <c r="V2543" s="197">
        <v>-425.35830937973509</v>
      </c>
    </row>
    <row r="2544" spans="21:22">
      <c r="U2544">
        <v>2502</v>
      </c>
      <c r="V2544" s="197">
        <v>958.51611007046358</v>
      </c>
    </row>
    <row r="2545" spans="21:22">
      <c r="U2545">
        <v>2503</v>
      </c>
      <c r="V2545" s="197">
        <v>691.85091908844811</v>
      </c>
    </row>
    <row r="2546" spans="21:22">
      <c r="U2546">
        <v>2504</v>
      </c>
      <c r="V2546" s="197">
        <v>792.986454569339</v>
      </c>
    </row>
    <row r="2547" spans="21:22">
      <c r="U2547">
        <v>2505</v>
      </c>
      <c r="V2547" s="197">
        <v>793.34238857013338</v>
      </c>
    </row>
    <row r="2548" spans="21:22">
      <c r="U2548">
        <v>2506</v>
      </c>
      <c r="V2548" s="197">
        <v>1133.0945964736147</v>
      </c>
    </row>
    <row r="2549" spans="21:22">
      <c r="U2549">
        <v>2507</v>
      </c>
      <c r="V2549" s="197">
        <v>1859.4645061995889</v>
      </c>
    </row>
    <row r="2550" spans="21:22">
      <c r="U2550">
        <v>2508</v>
      </c>
      <c r="V2550" s="197">
        <v>1489.1378893705694</v>
      </c>
    </row>
    <row r="2551" spans="21:22">
      <c r="U2551">
        <v>2509</v>
      </c>
      <c r="V2551" s="197">
        <v>817.67645072117443</v>
      </c>
    </row>
    <row r="2552" spans="21:22">
      <c r="U2552">
        <v>2510</v>
      </c>
      <c r="V2552" s="197">
        <v>14.215969258512047</v>
      </c>
    </row>
    <row r="2553" spans="21:22">
      <c r="U2553">
        <v>2511</v>
      </c>
      <c r="V2553" s="197">
        <v>1531.3018092823484</v>
      </c>
    </row>
    <row r="2554" spans="21:22">
      <c r="U2554">
        <v>2512</v>
      </c>
      <c r="V2554" s="197">
        <v>1309.3696937366376</v>
      </c>
    </row>
    <row r="2555" spans="21:22">
      <c r="U2555">
        <v>2513</v>
      </c>
      <c r="V2555" s="197">
        <v>896.71311898647195</v>
      </c>
    </row>
    <row r="2556" spans="21:22">
      <c r="U2556">
        <v>2514</v>
      </c>
      <c r="V2556" s="197">
        <v>1128.7576320911749</v>
      </c>
    </row>
    <row r="2557" spans="21:22">
      <c r="U2557">
        <v>2515</v>
      </c>
      <c r="V2557" s="197">
        <v>-31.218971103266398</v>
      </c>
    </row>
    <row r="2558" spans="21:22">
      <c r="U2558">
        <v>2516</v>
      </c>
      <c r="V2558" s="197">
        <v>1010.153862636723</v>
      </c>
    </row>
    <row r="2559" spans="21:22">
      <c r="U2559">
        <v>2517</v>
      </c>
      <c r="V2559" s="197">
        <v>869.28232260727054</v>
      </c>
    </row>
    <row r="2560" spans="21:22">
      <c r="U2560">
        <v>2518</v>
      </c>
      <c r="V2560" s="197">
        <v>1015.2535954825817</v>
      </c>
    </row>
    <row r="2561" spans="21:22">
      <c r="U2561">
        <v>2519</v>
      </c>
      <c r="V2561" s="197">
        <v>-410.42152121131744</v>
      </c>
    </row>
    <row r="2562" spans="21:22">
      <c r="U2562">
        <v>2520</v>
      </c>
      <c r="V2562" s="197">
        <v>-1078.3115190821186</v>
      </c>
    </row>
    <row r="2563" spans="21:22">
      <c r="U2563">
        <v>2521</v>
      </c>
      <c r="V2563" s="197">
        <v>-185.31348416765121</v>
      </c>
    </row>
    <row r="2564" spans="21:22">
      <c r="U2564">
        <v>2522</v>
      </c>
      <c r="V2564" s="197">
        <v>1441.951178055396</v>
      </c>
    </row>
    <row r="2565" spans="21:22">
      <c r="U2565">
        <v>2523</v>
      </c>
      <c r="V2565" s="197">
        <v>812.94875465475798</v>
      </c>
    </row>
    <row r="2566" spans="21:22">
      <c r="U2566">
        <v>2524</v>
      </c>
      <c r="V2566" s="197">
        <v>-123.79791929721435</v>
      </c>
    </row>
    <row r="2567" spans="21:22">
      <c r="U2567">
        <v>2525</v>
      </c>
      <c r="V2567" s="197">
        <v>-720.7721612075743</v>
      </c>
    </row>
    <row r="2568" spans="21:22">
      <c r="U2568">
        <v>2526</v>
      </c>
      <c r="V2568" s="197">
        <v>423.87184939770117</v>
      </c>
    </row>
    <row r="2569" spans="21:22">
      <c r="U2569">
        <v>2527</v>
      </c>
      <c r="V2569" s="197">
        <v>-1964.2931896874354</v>
      </c>
    </row>
    <row r="2570" spans="21:22">
      <c r="U2570">
        <v>2528</v>
      </c>
      <c r="V2570" s="197">
        <v>900.82647335361935</v>
      </c>
    </row>
    <row r="2571" spans="21:22">
      <c r="U2571">
        <v>2529</v>
      </c>
      <c r="V2571" s="197">
        <v>1933.5113974303131</v>
      </c>
    </row>
    <row r="2572" spans="21:22">
      <c r="U2572">
        <v>2530</v>
      </c>
      <c r="V2572" s="197">
        <v>-1952.4816985703681</v>
      </c>
    </row>
    <row r="2573" spans="21:22">
      <c r="U2573">
        <v>2531</v>
      </c>
      <c r="V2573" s="197">
        <v>-1388.3531721544716</v>
      </c>
    </row>
    <row r="2574" spans="21:22">
      <c r="U2574">
        <v>2532</v>
      </c>
      <c r="V2574" s="197">
        <v>1064.194014784938</v>
      </c>
    </row>
    <row r="2575" spans="21:22">
      <c r="U2575">
        <v>2533</v>
      </c>
      <c r="V2575" s="197">
        <v>-803.90114039757304</v>
      </c>
    </row>
    <row r="2576" spans="21:22">
      <c r="U2576">
        <v>2534</v>
      </c>
      <c r="V2576" s="197">
        <v>-10.748445184325575</v>
      </c>
    </row>
    <row r="2577" spans="21:22">
      <c r="U2577">
        <v>2535</v>
      </c>
      <c r="V2577" s="197">
        <v>-931.67912422785116</v>
      </c>
    </row>
    <row r="2578" spans="21:22">
      <c r="U2578">
        <v>2536</v>
      </c>
      <c r="V2578" s="197">
        <v>125.2240616552353</v>
      </c>
    </row>
    <row r="2579" spans="21:22">
      <c r="U2579">
        <v>2537</v>
      </c>
      <c r="V2579" s="197">
        <v>2409.4304124828309</v>
      </c>
    </row>
    <row r="2580" spans="21:22">
      <c r="U2580">
        <v>2538</v>
      </c>
      <c r="V2580" s="197">
        <v>-956.60232601527036</v>
      </c>
    </row>
    <row r="2581" spans="21:22">
      <c r="U2581">
        <v>2539</v>
      </c>
      <c r="V2581" s="197">
        <v>1450.7813667331868</v>
      </c>
    </row>
    <row r="2582" spans="21:22">
      <c r="U2582">
        <v>2540</v>
      </c>
      <c r="V2582" s="197">
        <v>239.2055246385998</v>
      </c>
    </row>
    <row r="2583" spans="21:22">
      <c r="U2583">
        <v>2541</v>
      </c>
      <c r="V2583" s="197">
        <v>-873.49830521291165</v>
      </c>
    </row>
    <row r="2584" spans="21:22">
      <c r="U2584">
        <v>2542</v>
      </c>
      <c r="V2584" s="197">
        <v>-975.49633404613655</v>
      </c>
    </row>
    <row r="2585" spans="21:22">
      <c r="U2585">
        <v>2543</v>
      </c>
      <c r="V2585" s="197">
        <v>256.18726981459326</v>
      </c>
    </row>
    <row r="2586" spans="21:22">
      <c r="U2586">
        <v>2544</v>
      </c>
      <c r="V2586" s="197">
        <v>833.6795982770941</v>
      </c>
    </row>
    <row r="2587" spans="21:22">
      <c r="U2587">
        <v>2545</v>
      </c>
      <c r="V2587" s="197">
        <v>540.65249514004074</v>
      </c>
    </row>
    <row r="2588" spans="21:22">
      <c r="U2588">
        <v>2546</v>
      </c>
      <c r="V2588" s="197">
        <v>-555.47928299003524</v>
      </c>
    </row>
    <row r="2589" spans="21:22">
      <c r="U2589">
        <v>2547</v>
      </c>
      <c r="V2589" s="197">
        <v>-78.000089571699192</v>
      </c>
    </row>
    <row r="2590" spans="21:22">
      <c r="U2590">
        <v>2548</v>
      </c>
      <c r="V2590" s="197">
        <v>97.878606528648703</v>
      </c>
    </row>
    <row r="2591" spans="21:22">
      <c r="U2591">
        <v>2549</v>
      </c>
      <c r="V2591" s="197">
        <v>-45.172708055544376</v>
      </c>
    </row>
    <row r="2592" spans="21:22">
      <c r="U2592">
        <v>2550</v>
      </c>
      <c r="V2592" s="197">
        <v>-318.46091992683017</v>
      </c>
    </row>
    <row r="2593" spans="21:22">
      <c r="U2593">
        <v>2551</v>
      </c>
      <c r="V2593" s="197">
        <v>-1022.9651932983072</v>
      </c>
    </row>
    <row r="2594" spans="21:22">
      <c r="U2594">
        <v>2552</v>
      </c>
      <c r="V2594" s="197">
        <v>-1017.2242617924926</v>
      </c>
    </row>
    <row r="2595" spans="21:22">
      <c r="U2595">
        <v>2553</v>
      </c>
      <c r="V2595" s="197">
        <v>1568.641971975077</v>
      </c>
    </row>
    <row r="2596" spans="21:22">
      <c r="U2596">
        <v>2554</v>
      </c>
      <c r="V2596" s="197">
        <v>-197.59964040917049</v>
      </c>
    </row>
    <row r="2597" spans="21:22">
      <c r="U2597">
        <v>2555</v>
      </c>
      <c r="V2597" s="197">
        <v>1022.2797020447811</v>
      </c>
    </row>
    <row r="2598" spans="21:22">
      <c r="U2598">
        <v>2556</v>
      </c>
      <c r="V2598" s="197">
        <v>-378.68208504344756</v>
      </c>
    </row>
    <row r="2599" spans="21:22">
      <c r="U2599">
        <v>2557</v>
      </c>
      <c r="V2599" s="197">
        <v>-802.48874209452379</v>
      </c>
    </row>
    <row r="2600" spans="21:22">
      <c r="U2600">
        <v>2558</v>
      </c>
      <c r="V2600" s="197">
        <v>1113.3677237451609</v>
      </c>
    </row>
    <row r="2601" spans="21:22">
      <c r="U2601">
        <v>2559</v>
      </c>
      <c r="V2601" s="197">
        <v>-55.09802534389496</v>
      </c>
    </row>
    <row r="2602" spans="21:22">
      <c r="U2602">
        <v>2560</v>
      </c>
      <c r="V2602" s="197">
        <v>1798.1340392020975</v>
      </c>
    </row>
    <row r="2603" spans="21:22">
      <c r="U2603">
        <v>2561</v>
      </c>
      <c r="V2603" s="197">
        <v>69.988578642216027</v>
      </c>
    </row>
    <row r="2604" spans="21:22">
      <c r="U2604">
        <v>2562</v>
      </c>
      <c r="V2604" s="197">
        <v>-979.93740535942311</v>
      </c>
    </row>
    <row r="2605" spans="21:22">
      <c r="U2605">
        <v>2563</v>
      </c>
      <c r="V2605" s="197">
        <v>-725.01070245698656</v>
      </c>
    </row>
    <row r="2606" spans="21:22">
      <c r="U2606">
        <v>2564</v>
      </c>
      <c r="V2606" s="197">
        <v>105.75769157483815</v>
      </c>
    </row>
    <row r="2607" spans="21:22">
      <c r="U2607">
        <v>2565</v>
      </c>
      <c r="V2607" s="197">
        <v>-842.66100728669085</v>
      </c>
    </row>
    <row r="2608" spans="21:22">
      <c r="U2608">
        <v>2566</v>
      </c>
      <c r="V2608" s="197">
        <v>-1147.4653384610124</v>
      </c>
    </row>
    <row r="2609" spans="21:22">
      <c r="U2609">
        <v>2567</v>
      </c>
      <c r="V2609" s="197">
        <v>-262.20310484796312</v>
      </c>
    </row>
    <row r="2610" spans="21:22">
      <c r="U2610">
        <v>2568</v>
      </c>
      <c r="V2610" s="197">
        <v>1533.1776854711341</v>
      </c>
    </row>
    <row r="2611" spans="21:22">
      <c r="U2611">
        <v>2569</v>
      </c>
      <c r="V2611" s="197">
        <v>1064.9532888045317</v>
      </c>
    </row>
    <row r="2612" spans="21:22">
      <c r="U2612">
        <v>2570</v>
      </c>
      <c r="V2612" s="197">
        <v>1568.3248615968698</v>
      </c>
    </row>
    <row r="2613" spans="21:22">
      <c r="U2613">
        <v>2571</v>
      </c>
      <c r="V2613" s="197">
        <v>1021.023303015623</v>
      </c>
    </row>
    <row r="2614" spans="21:22">
      <c r="U2614">
        <v>2572</v>
      </c>
      <c r="V2614" s="197">
        <v>-967.30334078896294</v>
      </c>
    </row>
    <row r="2615" spans="21:22">
      <c r="U2615">
        <v>2573</v>
      </c>
      <c r="V2615" s="197">
        <v>234.69129263490694</v>
      </c>
    </row>
    <row r="2616" spans="21:22">
      <c r="U2616">
        <v>2574</v>
      </c>
      <c r="V2616" s="197">
        <v>1073.8372872506777</v>
      </c>
    </row>
    <row r="2617" spans="21:22">
      <c r="U2617">
        <v>2575</v>
      </c>
      <c r="V2617" s="197">
        <v>-608.55389778392032</v>
      </c>
    </row>
    <row r="2618" spans="21:22">
      <c r="U2618">
        <v>2576</v>
      </c>
      <c r="V2618" s="197">
        <v>311.1610294736451</v>
      </c>
    </row>
    <row r="2619" spans="21:22">
      <c r="U2619">
        <v>2577</v>
      </c>
      <c r="V2619" s="197">
        <v>-1069.9918431909748</v>
      </c>
    </row>
    <row r="2620" spans="21:22">
      <c r="U2620">
        <v>2578</v>
      </c>
      <c r="V2620" s="197">
        <v>-775.96272003631861</v>
      </c>
    </row>
    <row r="2621" spans="21:22">
      <c r="U2621">
        <v>2579</v>
      </c>
      <c r="V2621" s="197">
        <v>-277.54311085019896</v>
      </c>
    </row>
    <row r="2622" spans="21:22">
      <c r="U2622">
        <v>2580</v>
      </c>
      <c r="V2622" s="197">
        <v>-1265.3550452301797</v>
      </c>
    </row>
    <row r="2623" spans="21:22">
      <c r="U2623">
        <v>2581</v>
      </c>
      <c r="V2623" s="197">
        <v>409.50468774624397</v>
      </c>
    </row>
    <row r="2624" spans="21:22">
      <c r="U2624">
        <v>2582</v>
      </c>
      <c r="V2624" s="197">
        <v>-351.27422966787793</v>
      </c>
    </row>
    <row r="2625" spans="21:22">
      <c r="U2625">
        <v>2583</v>
      </c>
      <c r="V2625" s="197">
        <v>-8.6305934282211325</v>
      </c>
    </row>
    <row r="2626" spans="21:22">
      <c r="U2626">
        <v>2584</v>
      </c>
      <c r="V2626" s="197">
        <v>692.86505768675147</v>
      </c>
    </row>
    <row r="2627" spans="21:22">
      <c r="U2627">
        <v>2585</v>
      </c>
      <c r="V2627" s="197">
        <v>-1139.7266507164175</v>
      </c>
    </row>
    <row r="2628" spans="21:22">
      <c r="U2628">
        <v>2586</v>
      </c>
      <c r="V2628" s="197">
        <v>985.21693250443127</v>
      </c>
    </row>
    <row r="2629" spans="21:22">
      <c r="U2629">
        <v>2587</v>
      </c>
      <c r="V2629" s="197">
        <v>-192.22353169717877</v>
      </c>
    </row>
    <row r="2630" spans="21:22">
      <c r="U2630">
        <v>2588</v>
      </c>
      <c r="V2630" s="197">
        <v>-327.42729411976069</v>
      </c>
    </row>
    <row r="2631" spans="21:22">
      <c r="U2631">
        <v>2589</v>
      </c>
      <c r="V2631" s="197">
        <v>-781.4594905642989</v>
      </c>
    </row>
    <row r="2632" spans="21:22">
      <c r="U2632">
        <v>2590</v>
      </c>
      <c r="V2632" s="197">
        <v>1340.0115445506412</v>
      </c>
    </row>
    <row r="2633" spans="21:22">
      <c r="U2633">
        <v>2591</v>
      </c>
      <c r="V2633" s="197">
        <v>536.48757216084789</v>
      </c>
    </row>
    <row r="2634" spans="21:22">
      <c r="U2634">
        <v>2592</v>
      </c>
      <c r="V2634" s="197">
        <v>-48.68428794203939</v>
      </c>
    </row>
    <row r="2635" spans="21:22">
      <c r="U2635">
        <v>2593</v>
      </c>
      <c r="V2635" s="197">
        <v>-1084.3133151748484</v>
      </c>
    </row>
    <row r="2636" spans="21:22">
      <c r="U2636">
        <v>2594</v>
      </c>
      <c r="V2636" s="197">
        <v>206.64822725401982</v>
      </c>
    </row>
    <row r="2637" spans="21:22">
      <c r="U2637">
        <v>2595</v>
      </c>
      <c r="V2637" s="197">
        <v>689.06958311364974</v>
      </c>
    </row>
    <row r="2638" spans="21:22">
      <c r="U2638">
        <v>2596</v>
      </c>
      <c r="V2638" s="197">
        <v>1780.1686230991277</v>
      </c>
    </row>
    <row r="2639" spans="21:22">
      <c r="U2639">
        <v>2597</v>
      </c>
      <c r="V2639" s="197">
        <v>233.80323444450227</v>
      </c>
    </row>
    <row r="2640" spans="21:22">
      <c r="U2640">
        <v>2598</v>
      </c>
      <c r="V2640" s="197">
        <v>-2369.7453963900257</v>
      </c>
    </row>
    <row r="2641" spans="21:22">
      <c r="U2641">
        <v>2599</v>
      </c>
      <c r="V2641" s="197">
        <v>-1169.3824923262389</v>
      </c>
    </row>
    <row r="2642" spans="21:22">
      <c r="U2642">
        <v>2600</v>
      </c>
      <c r="V2642" s="197">
        <v>290.08273567282424</v>
      </c>
    </row>
    <row r="2643" spans="21:22">
      <c r="U2643">
        <v>2601</v>
      </c>
      <c r="V2643" s="197">
        <v>-656.00826268681249</v>
      </c>
    </row>
    <row r="2644" spans="21:22">
      <c r="U2644">
        <v>2602</v>
      </c>
      <c r="V2644" s="197">
        <v>1121.8378691290688</v>
      </c>
    </row>
    <row r="2645" spans="21:22">
      <c r="U2645">
        <v>2603</v>
      </c>
      <c r="V2645" s="197">
        <v>-1593.9445736879193</v>
      </c>
    </row>
    <row r="2646" spans="21:22">
      <c r="U2646">
        <v>2604</v>
      </c>
      <c r="V2646" s="197">
        <v>-247.26330430820667</v>
      </c>
    </row>
    <row r="2647" spans="21:22">
      <c r="U2647">
        <v>2605</v>
      </c>
      <c r="V2647" s="197">
        <v>-475.17099437492533</v>
      </c>
    </row>
    <row r="2648" spans="21:22">
      <c r="U2648">
        <v>2606</v>
      </c>
      <c r="V2648" s="197">
        <v>-1246.7865376755476</v>
      </c>
    </row>
    <row r="2649" spans="21:22">
      <c r="U2649">
        <v>2607</v>
      </c>
      <c r="V2649" s="197">
        <v>715.62185939603296</v>
      </c>
    </row>
    <row r="2650" spans="21:22">
      <c r="U2650">
        <v>2608</v>
      </c>
      <c r="V2650" s="197">
        <v>522.38561728231412</v>
      </c>
    </row>
    <row r="2651" spans="21:22">
      <c r="U2651">
        <v>2609</v>
      </c>
      <c r="V2651" s="197">
        <v>539.7202754498087</v>
      </c>
    </row>
    <row r="2652" spans="21:22">
      <c r="U2652">
        <v>2610</v>
      </c>
      <c r="V2652" s="197">
        <v>1780.4685157687825</v>
      </c>
    </row>
    <row r="2653" spans="21:22">
      <c r="U2653">
        <v>2611</v>
      </c>
      <c r="V2653" s="197">
        <v>-186.18744223090567</v>
      </c>
    </row>
    <row r="2654" spans="21:22">
      <c r="U2654">
        <v>2612</v>
      </c>
      <c r="V2654" s="197">
        <v>191.46095227558055</v>
      </c>
    </row>
    <row r="2655" spans="21:22">
      <c r="U2655">
        <v>2613</v>
      </c>
      <c r="V2655" s="197">
        <v>-485.3588592734331</v>
      </c>
    </row>
    <row r="2656" spans="21:22">
      <c r="U2656">
        <v>2614</v>
      </c>
      <c r="V2656" s="197">
        <v>353.24801583990882</v>
      </c>
    </row>
    <row r="2657" spans="21:22">
      <c r="U2657">
        <v>2615</v>
      </c>
      <c r="V2657" s="197">
        <v>-664.40242257661293</v>
      </c>
    </row>
    <row r="2658" spans="21:22">
      <c r="U2658">
        <v>2616</v>
      </c>
      <c r="V2658" s="197">
        <v>-420.84018652671199</v>
      </c>
    </row>
    <row r="2659" spans="21:22">
      <c r="U2659">
        <v>2617</v>
      </c>
      <c r="V2659" s="197">
        <v>-49.742209090470595</v>
      </c>
    </row>
    <row r="2660" spans="21:22">
      <c r="U2660">
        <v>2618</v>
      </c>
      <c r="V2660" s="197">
        <v>-1210.137810867632</v>
      </c>
    </row>
    <row r="2661" spans="21:22">
      <c r="U2661">
        <v>2619</v>
      </c>
      <c r="V2661" s="197">
        <v>-862.26943143313019</v>
      </c>
    </row>
    <row r="2662" spans="21:22">
      <c r="U2662">
        <v>2620</v>
      </c>
      <c r="V2662" s="197">
        <v>-413.47075900967315</v>
      </c>
    </row>
    <row r="2663" spans="21:22">
      <c r="U2663">
        <v>2621</v>
      </c>
      <c r="V2663" s="197">
        <v>-333.9872780091805</v>
      </c>
    </row>
    <row r="2664" spans="21:22">
      <c r="U2664">
        <v>2622</v>
      </c>
      <c r="V2664" s="197">
        <v>2398.7511196900214</v>
      </c>
    </row>
    <row r="2665" spans="21:22">
      <c r="U2665">
        <v>2623</v>
      </c>
      <c r="V2665" s="197">
        <v>-1240.829506426898</v>
      </c>
    </row>
    <row r="2666" spans="21:22">
      <c r="U2666">
        <v>2624</v>
      </c>
      <c r="V2666" s="197">
        <v>-1704.5974606298464</v>
      </c>
    </row>
    <row r="2667" spans="21:22">
      <c r="U2667">
        <v>2625</v>
      </c>
      <c r="V2667" s="197">
        <v>-259.47884205480227</v>
      </c>
    </row>
    <row r="2668" spans="21:22">
      <c r="U2668">
        <v>2626</v>
      </c>
      <c r="V2668" s="197">
        <v>1860.9800422897654</v>
      </c>
    </row>
    <row r="2669" spans="21:22">
      <c r="U2669">
        <v>2627</v>
      </c>
      <c r="V2669" s="197">
        <v>1105.0685457373081</v>
      </c>
    </row>
    <row r="2670" spans="21:22">
      <c r="U2670">
        <v>2628</v>
      </c>
      <c r="V2670" s="197">
        <v>983.30476041566544</v>
      </c>
    </row>
    <row r="2671" spans="21:22">
      <c r="U2671">
        <v>2629</v>
      </c>
      <c r="V2671" s="197">
        <v>629.46014069628518</v>
      </c>
    </row>
    <row r="2672" spans="21:22">
      <c r="U2672">
        <v>2630</v>
      </c>
      <c r="V2672" s="197">
        <v>150.14819277815488</v>
      </c>
    </row>
    <row r="2673" spans="21:22">
      <c r="U2673">
        <v>2631</v>
      </c>
      <c r="V2673" s="197">
        <v>-1380.2167797180346</v>
      </c>
    </row>
    <row r="2674" spans="21:22">
      <c r="U2674">
        <v>2632</v>
      </c>
      <c r="V2674" s="197">
        <v>805.36052198335665</v>
      </c>
    </row>
    <row r="2675" spans="21:22">
      <c r="U2675">
        <v>2633</v>
      </c>
      <c r="V2675" s="197">
        <v>-2288.8885959857116</v>
      </c>
    </row>
    <row r="2676" spans="21:22">
      <c r="U2676">
        <v>2634</v>
      </c>
      <c r="V2676" s="197">
        <v>152.47145900606708</v>
      </c>
    </row>
    <row r="2677" spans="21:22">
      <c r="U2677">
        <v>2635</v>
      </c>
      <c r="V2677" s="197">
        <v>-300.69649813255148</v>
      </c>
    </row>
    <row r="2678" spans="21:22">
      <c r="U2678">
        <v>2636</v>
      </c>
      <c r="V2678" s="197">
        <v>915.38167105631533</v>
      </c>
    </row>
    <row r="2679" spans="21:22">
      <c r="U2679">
        <v>2637</v>
      </c>
      <c r="V2679" s="197">
        <v>235.76174852921037</v>
      </c>
    </row>
    <row r="2680" spans="21:22">
      <c r="U2680">
        <v>2638</v>
      </c>
      <c r="V2680" s="197">
        <v>44.567512781493491</v>
      </c>
    </row>
    <row r="2681" spans="21:22">
      <c r="U2681">
        <v>2639</v>
      </c>
      <c r="V2681" s="197">
        <v>631.44239165310637</v>
      </c>
    </row>
    <row r="2682" spans="21:22">
      <c r="U2682">
        <v>2640</v>
      </c>
      <c r="V2682" s="197">
        <v>-677.87545023004009</v>
      </c>
    </row>
    <row r="2683" spans="21:22">
      <c r="U2683">
        <v>2641</v>
      </c>
      <c r="V2683" s="197">
        <v>-1869.1520275619293</v>
      </c>
    </row>
    <row r="2684" spans="21:22">
      <c r="U2684">
        <v>2642</v>
      </c>
      <c r="V2684" s="197">
        <v>103.78530607707741</v>
      </c>
    </row>
    <row r="2685" spans="21:22">
      <c r="U2685">
        <v>2643</v>
      </c>
      <c r="V2685" s="197">
        <v>365.04171717415147</v>
      </c>
    </row>
    <row r="2686" spans="21:22">
      <c r="U2686">
        <v>2644</v>
      </c>
      <c r="V2686" s="197">
        <v>964.52379340639641</v>
      </c>
    </row>
    <row r="2687" spans="21:22">
      <c r="U2687">
        <v>2645</v>
      </c>
      <c r="V2687" s="197">
        <v>1523.7003234582178</v>
      </c>
    </row>
    <row r="2688" spans="21:22">
      <c r="U2688">
        <v>2646</v>
      </c>
      <c r="V2688" s="197">
        <v>-1180.2276734934962</v>
      </c>
    </row>
    <row r="2689" spans="21:22">
      <c r="U2689">
        <v>2647</v>
      </c>
      <c r="V2689" s="197">
        <v>-2606.4482831105729</v>
      </c>
    </row>
    <row r="2690" spans="21:22">
      <c r="U2690">
        <v>2648</v>
      </c>
      <c r="V2690" s="197">
        <v>1215.2890337168064</v>
      </c>
    </row>
    <row r="2691" spans="21:22">
      <c r="U2691">
        <v>2649</v>
      </c>
      <c r="V2691" s="197">
        <v>172.56687876599577</v>
      </c>
    </row>
    <row r="2692" spans="21:22">
      <c r="U2692">
        <v>2650</v>
      </c>
      <c r="V2692" s="197">
        <v>-594.62113305222601</v>
      </c>
    </row>
    <row r="2693" spans="21:22">
      <c r="U2693">
        <v>2651</v>
      </c>
      <c r="V2693" s="197">
        <v>-1586.7245174473105</v>
      </c>
    </row>
    <row r="2694" spans="21:22">
      <c r="U2694">
        <v>2652</v>
      </c>
      <c r="V2694" s="197">
        <v>-954.65592845007131</v>
      </c>
    </row>
    <row r="2695" spans="21:22">
      <c r="U2695">
        <v>2653</v>
      </c>
      <c r="V2695" s="197">
        <v>894.85351874967114</v>
      </c>
    </row>
    <row r="2696" spans="21:22">
      <c r="U2696">
        <v>2654</v>
      </c>
      <c r="V2696" s="197">
        <v>-190.55804687319852</v>
      </c>
    </row>
    <row r="2697" spans="21:22">
      <c r="U2697">
        <v>2655</v>
      </c>
      <c r="V2697" s="197">
        <v>-467.79300096742378</v>
      </c>
    </row>
    <row r="2698" spans="21:22">
      <c r="U2698">
        <v>2656</v>
      </c>
      <c r="V2698" s="197">
        <v>1038.3220458961889</v>
      </c>
    </row>
    <row r="2699" spans="21:22">
      <c r="U2699">
        <v>2657</v>
      </c>
      <c r="V2699" s="197">
        <v>225.92297699003757</v>
      </c>
    </row>
    <row r="2700" spans="21:22">
      <c r="U2700">
        <v>2658</v>
      </c>
      <c r="V2700" s="197">
        <v>639.58719025643313</v>
      </c>
    </row>
    <row r="2701" spans="21:22">
      <c r="U2701">
        <v>2659</v>
      </c>
      <c r="V2701" s="197">
        <v>-80.110313546319873</v>
      </c>
    </row>
    <row r="2702" spans="21:22">
      <c r="U2702">
        <v>2660</v>
      </c>
      <c r="V2702" s="197">
        <v>57.896676723100683</v>
      </c>
    </row>
    <row r="2703" spans="21:22">
      <c r="U2703">
        <v>2661</v>
      </c>
      <c r="V2703" s="197">
        <v>-2815.4106587215138</v>
      </c>
    </row>
    <row r="2704" spans="21:22">
      <c r="U2704">
        <v>2662</v>
      </c>
      <c r="V2704" s="197">
        <v>84.159673332349257</v>
      </c>
    </row>
    <row r="2705" spans="21:22">
      <c r="U2705">
        <v>2663</v>
      </c>
      <c r="V2705" s="197">
        <v>-163.46033989326025</v>
      </c>
    </row>
    <row r="2706" spans="21:22">
      <c r="U2706">
        <v>2664</v>
      </c>
      <c r="V2706" s="197">
        <v>-587.29172848736107</v>
      </c>
    </row>
    <row r="2707" spans="21:22">
      <c r="U2707">
        <v>2665</v>
      </c>
      <c r="V2707" s="197">
        <v>-1391.5081487531979</v>
      </c>
    </row>
    <row r="2708" spans="21:22">
      <c r="U2708">
        <v>2666</v>
      </c>
      <c r="V2708" s="197">
        <v>571.42371809551514</v>
      </c>
    </row>
    <row r="2709" spans="21:22">
      <c r="U2709">
        <v>2667</v>
      </c>
      <c r="V2709" s="197">
        <v>-1454.3386472175898</v>
      </c>
    </row>
    <row r="2710" spans="21:22">
      <c r="U2710">
        <v>2668</v>
      </c>
      <c r="V2710" s="197">
        <v>1905.8322995605768</v>
      </c>
    </row>
    <row r="2711" spans="21:22">
      <c r="U2711">
        <v>2669</v>
      </c>
      <c r="V2711" s="197">
        <v>-410.16018130904757</v>
      </c>
    </row>
    <row r="2712" spans="21:22">
      <c r="U2712">
        <v>2670</v>
      </c>
      <c r="V2712" s="197">
        <v>2277.9166439028772</v>
      </c>
    </row>
    <row r="2713" spans="21:22">
      <c r="U2713">
        <v>2671</v>
      </c>
      <c r="V2713" s="197">
        <v>532.02084117010884</v>
      </c>
    </row>
    <row r="2714" spans="21:22">
      <c r="U2714">
        <v>2672</v>
      </c>
      <c r="V2714" s="197">
        <v>414.22327202654242</v>
      </c>
    </row>
    <row r="2715" spans="21:22">
      <c r="U2715">
        <v>2673</v>
      </c>
      <c r="V2715" s="197">
        <v>61.537137250023505</v>
      </c>
    </row>
    <row r="2716" spans="21:22">
      <c r="U2716">
        <v>2674</v>
      </c>
      <c r="V2716" s="197">
        <v>493.36316893454932</v>
      </c>
    </row>
    <row r="2717" spans="21:22">
      <c r="U2717">
        <v>2675</v>
      </c>
      <c r="V2717" s="197">
        <v>-1191.7875258973447</v>
      </c>
    </row>
    <row r="2718" spans="21:22">
      <c r="U2718">
        <v>2676</v>
      </c>
      <c r="V2718" s="197">
        <v>892.35418334603105</v>
      </c>
    </row>
    <row r="2719" spans="21:22">
      <c r="U2719">
        <v>2677</v>
      </c>
      <c r="V2719" s="197">
        <v>-875.59757685184604</v>
      </c>
    </row>
    <row r="2720" spans="21:22">
      <c r="U2720">
        <v>2678</v>
      </c>
      <c r="V2720" s="197">
        <v>165.58573651226601</v>
      </c>
    </row>
    <row r="2721" spans="21:22">
      <c r="U2721">
        <v>2679</v>
      </c>
      <c r="V2721" s="197">
        <v>-447.31204301013889</v>
      </c>
    </row>
    <row r="2722" spans="21:22">
      <c r="U2722">
        <v>2680</v>
      </c>
      <c r="V2722" s="197">
        <v>-532.07434294896279</v>
      </c>
    </row>
    <row r="2723" spans="21:22">
      <c r="U2723">
        <v>2681</v>
      </c>
      <c r="V2723" s="197">
        <v>-333.80631140547143</v>
      </c>
    </row>
    <row r="2724" spans="21:22">
      <c r="U2724">
        <v>2682</v>
      </c>
      <c r="V2724" s="197">
        <v>372.65395453839056</v>
      </c>
    </row>
    <row r="2725" spans="21:22">
      <c r="U2725">
        <v>2683</v>
      </c>
      <c r="V2725" s="197">
        <v>162.01350592779369</v>
      </c>
    </row>
    <row r="2726" spans="21:22">
      <c r="U2726">
        <v>2684</v>
      </c>
      <c r="V2726" s="197">
        <v>499.98231970032651</v>
      </c>
    </row>
    <row r="2727" spans="21:22">
      <c r="U2727">
        <v>2685</v>
      </c>
      <c r="V2727" s="197">
        <v>985.24379832911382</v>
      </c>
    </row>
    <row r="2728" spans="21:22">
      <c r="U2728">
        <v>2686</v>
      </c>
      <c r="V2728" s="197">
        <v>243.03007272449912</v>
      </c>
    </row>
    <row r="2729" spans="21:22">
      <c r="U2729">
        <v>2687</v>
      </c>
      <c r="V2729" s="197">
        <v>-303.57066852957632</v>
      </c>
    </row>
    <row r="2730" spans="21:22">
      <c r="U2730">
        <v>2688</v>
      </c>
      <c r="V2730" s="197">
        <v>-227.42367909884354</v>
      </c>
    </row>
    <row r="2731" spans="21:22">
      <c r="U2731">
        <v>2689</v>
      </c>
      <c r="V2731" s="197">
        <v>-500.25970065677615</v>
      </c>
    </row>
    <row r="2732" spans="21:22">
      <c r="U2732">
        <v>2690</v>
      </c>
      <c r="V2732" s="197">
        <v>1463.1123085490003</v>
      </c>
    </row>
    <row r="2733" spans="21:22">
      <c r="U2733">
        <v>2691</v>
      </c>
      <c r="V2733" s="197">
        <v>-1577.5816990264516</v>
      </c>
    </row>
    <row r="2734" spans="21:22">
      <c r="U2734">
        <v>2692</v>
      </c>
      <c r="V2734" s="197">
        <v>-381.06606456889682</v>
      </c>
    </row>
    <row r="2735" spans="21:22">
      <c r="U2735">
        <v>2693</v>
      </c>
      <c r="V2735" s="197">
        <v>425.71674310395451</v>
      </c>
    </row>
    <row r="2736" spans="21:22">
      <c r="U2736">
        <v>2694</v>
      </c>
      <c r="V2736" s="197">
        <v>-480.3207187259548</v>
      </c>
    </row>
    <row r="2737" spans="21:22">
      <c r="U2737">
        <v>2695</v>
      </c>
      <c r="V2737" s="197">
        <v>687.27826662259645</v>
      </c>
    </row>
    <row r="2738" spans="21:22">
      <c r="U2738">
        <v>2696</v>
      </c>
      <c r="V2738" s="197">
        <v>-1322.2045047656372</v>
      </c>
    </row>
    <row r="2739" spans="21:22">
      <c r="U2739">
        <v>2697</v>
      </c>
      <c r="V2739" s="197">
        <v>-2241.2761103881016</v>
      </c>
    </row>
    <row r="2740" spans="21:22">
      <c r="U2740">
        <v>2698</v>
      </c>
      <c r="V2740" s="197">
        <v>-439.06026536952294</v>
      </c>
    </row>
    <row r="2741" spans="21:22">
      <c r="U2741">
        <v>2699</v>
      </c>
      <c r="V2741" s="197">
        <v>-78.749194716210297</v>
      </c>
    </row>
    <row r="2742" spans="21:22">
      <c r="U2742">
        <v>2700</v>
      </c>
      <c r="V2742" s="197">
        <v>-604.0145090615074</v>
      </c>
    </row>
    <row r="2743" spans="21:22">
      <c r="U2743">
        <v>2701</v>
      </c>
      <c r="V2743" s="197">
        <v>-969.91239993400495</v>
      </c>
    </row>
    <row r="2744" spans="21:22">
      <c r="U2744">
        <v>2702</v>
      </c>
      <c r="V2744" s="197">
        <v>249.54797714143282</v>
      </c>
    </row>
    <row r="2745" spans="21:22">
      <c r="U2745">
        <v>2703</v>
      </c>
      <c r="V2745" s="197">
        <v>-61.131229977311506</v>
      </c>
    </row>
    <row r="2746" spans="21:22">
      <c r="U2746">
        <v>2704</v>
      </c>
      <c r="V2746" s="197">
        <v>366.98150207918417</v>
      </c>
    </row>
    <row r="2747" spans="21:22">
      <c r="U2747">
        <v>2705</v>
      </c>
      <c r="V2747" s="197">
        <v>-123.78751697082819</v>
      </c>
    </row>
    <row r="2748" spans="21:22">
      <c r="U2748">
        <v>2706</v>
      </c>
      <c r="V2748" s="197">
        <v>1615.315466517357</v>
      </c>
    </row>
    <row r="2749" spans="21:22">
      <c r="U2749">
        <v>2707</v>
      </c>
      <c r="V2749" s="197">
        <v>143.14382358702198</v>
      </c>
    </row>
    <row r="2750" spans="21:22">
      <c r="U2750">
        <v>2708</v>
      </c>
      <c r="V2750" s="197">
        <v>-679.74348959110534</v>
      </c>
    </row>
    <row r="2751" spans="21:22">
      <c r="U2751">
        <v>2709</v>
      </c>
      <c r="V2751" s="197">
        <v>-436.72711266283073</v>
      </c>
    </row>
    <row r="2752" spans="21:22">
      <c r="U2752">
        <v>2710</v>
      </c>
      <c r="V2752" s="197">
        <v>-913.19324098295533</v>
      </c>
    </row>
    <row r="2753" spans="21:22">
      <c r="U2753">
        <v>2711</v>
      </c>
      <c r="V2753" s="197">
        <v>-301.5377431021048</v>
      </c>
    </row>
    <row r="2754" spans="21:22">
      <c r="U2754">
        <v>2712</v>
      </c>
      <c r="V2754" s="197">
        <v>-710.59091778208222</v>
      </c>
    </row>
    <row r="2755" spans="21:22">
      <c r="U2755">
        <v>2713</v>
      </c>
      <c r="V2755" s="197">
        <v>-89.925688033418879</v>
      </c>
    </row>
    <row r="2756" spans="21:22">
      <c r="U2756">
        <v>2714</v>
      </c>
      <c r="V2756" s="197">
        <v>173.94092727738735</v>
      </c>
    </row>
    <row r="2757" spans="21:22">
      <c r="U2757">
        <v>2715</v>
      </c>
      <c r="V2757" s="197">
        <v>913.69403532253978</v>
      </c>
    </row>
    <row r="2758" spans="21:22">
      <c r="U2758">
        <v>2716</v>
      </c>
      <c r="V2758" s="197">
        <v>-55.183420949615027</v>
      </c>
    </row>
    <row r="2759" spans="21:22">
      <c r="U2759">
        <v>2717</v>
      </c>
      <c r="V2759" s="197">
        <v>355.30269383208565</v>
      </c>
    </row>
    <row r="2760" spans="21:22">
      <c r="U2760">
        <v>2718</v>
      </c>
      <c r="V2760" s="197">
        <v>504.96042351980924</v>
      </c>
    </row>
    <row r="2761" spans="21:22">
      <c r="U2761">
        <v>2719</v>
      </c>
      <c r="V2761" s="197">
        <v>-714.98426976955966</v>
      </c>
    </row>
    <row r="2762" spans="21:22">
      <c r="U2762">
        <v>2720</v>
      </c>
      <c r="V2762" s="197">
        <v>-76.080890820135551</v>
      </c>
    </row>
    <row r="2763" spans="21:22">
      <c r="U2763">
        <v>2721</v>
      </c>
      <c r="V2763" s="197">
        <v>-712.5467116851089</v>
      </c>
    </row>
    <row r="2764" spans="21:22">
      <c r="U2764">
        <v>2722</v>
      </c>
      <c r="V2764" s="197">
        <v>228.61280213136101</v>
      </c>
    </row>
    <row r="2765" spans="21:22">
      <c r="U2765">
        <v>2723</v>
      </c>
      <c r="V2765" s="197">
        <v>-211.60624024530188</v>
      </c>
    </row>
    <row r="2766" spans="21:22">
      <c r="U2766">
        <v>2724</v>
      </c>
      <c r="V2766" s="197">
        <v>1354.0771626366129</v>
      </c>
    </row>
    <row r="2767" spans="21:22">
      <c r="U2767">
        <v>2725</v>
      </c>
      <c r="V2767" s="197">
        <v>-40.025527702823382</v>
      </c>
    </row>
    <row r="2768" spans="21:22">
      <c r="U2768">
        <v>2726</v>
      </c>
      <c r="V2768" s="197">
        <v>1241.7742369446476</v>
      </c>
    </row>
    <row r="2769" spans="21:22">
      <c r="U2769">
        <v>2727</v>
      </c>
      <c r="V2769" s="197">
        <v>531.2941156957761</v>
      </c>
    </row>
    <row r="2770" spans="21:22">
      <c r="U2770">
        <v>2728</v>
      </c>
      <c r="V2770" s="197">
        <v>-676.81209583214491</v>
      </c>
    </row>
    <row r="2771" spans="21:22">
      <c r="U2771">
        <v>2729</v>
      </c>
      <c r="V2771" s="197">
        <v>188.31163359237948</v>
      </c>
    </row>
    <row r="2772" spans="21:22">
      <c r="U2772">
        <v>2730</v>
      </c>
      <c r="V2772" s="197">
        <v>760.30157292507602</v>
      </c>
    </row>
    <row r="2773" spans="21:22">
      <c r="U2773">
        <v>2731</v>
      </c>
      <c r="V2773" s="197">
        <v>1687.1750455725148</v>
      </c>
    </row>
    <row r="2774" spans="21:22">
      <c r="U2774">
        <v>2732</v>
      </c>
      <c r="V2774" s="197">
        <v>932.99448743089442</v>
      </c>
    </row>
    <row r="2775" spans="21:22">
      <c r="U2775">
        <v>2733</v>
      </c>
      <c r="V2775" s="197">
        <v>-1243.7455689673775</v>
      </c>
    </row>
    <row r="2776" spans="21:22">
      <c r="U2776">
        <v>2734</v>
      </c>
      <c r="V2776" s="197">
        <v>-226.15003822703443</v>
      </c>
    </row>
    <row r="2777" spans="21:22">
      <c r="U2777">
        <v>2735</v>
      </c>
      <c r="V2777" s="197">
        <v>-484.39747784445552</v>
      </c>
    </row>
    <row r="2778" spans="21:22">
      <c r="U2778">
        <v>2736</v>
      </c>
      <c r="V2778" s="197">
        <v>-181.29235052714688</v>
      </c>
    </row>
    <row r="2779" spans="21:22">
      <c r="U2779">
        <v>2737</v>
      </c>
      <c r="V2779" s="197">
        <v>778.84033001452303</v>
      </c>
    </row>
    <row r="2780" spans="21:22">
      <c r="U2780">
        <v>2738</v>
      </c>
      <c r="V2780" s="197">
        <v>1136.3646824000998</v>
      </c>
    </row>
    <row r="2781" spans="21:22">
      <c r="U2781">
        <v>2739</v>
      </c>
      <c r="V2781" s="197">
        <v>54.996816374053765</v>
      </c>
    </row>
    <row r="2782" spans="21:22">
      <c r="U2782">
        <v>2740</v>
      </c>
      <c r="V2782" s="197">
        <v>-121.60543709323221</v>
      </c>
    </row>
    <row r="2783" spans="21:22">
      <c r="U2783">
        <v>2741</v>
      </c>
      <c r="V2783" s="197">
        <v>163.80930153962163</v>
      </c>
    </row>
    <row r="2784" spans="21:22">
      <c r="U2784">
        <v>2742</v>
      </c>
      <c r="V2784" s="197">
        <v>453.09483202918881</v>
      </c>
    </row>
    <row r="2785" spans="21:22">
      <c r="U2785">
        <v>2743</v>
      </c>
      <c r="V2785" s="197">
        <v>-611.41582505281167</v>
      </c>
    </row>
    <row r="2786" spans="21:22">
      <c r="U2786">
        <v>2744</v>
      </c>
      <c r="V2786" s="197">
        <v>-722.5404586437628</v>
      </c>
    </row>
    <row r="2787" spans="21:22">
      <c r="U2787">
        <v>2745</v>
      </c>
      <c r="V2787" s="197">
        <v>212.13713170475305</v>
      </c>
    </row>
    <row r="2788" spans="21:22">
      <c r="U2788">
        <v>2746</v>
      </c>
      <c r="V2788" s="197">
        <v>-428.16059316379057</v>
      </c>
    </row>
    <row r="2789" spans="21:22">
      <c r="U2789">
        <v>2747</v>
      </c>
      <c r="V2789" s="197">
        <v>911.78111726340217</v>
      </c>
    </row>
    <row r="2790" spans="21:22">
      <c r="U2790">
        <v>2748</v>
      </c>
      <c r="V2790" s="197">
        <v>-217.56708638354922</v>
      </c>
    </row>
    <row r="2791" spans="21:22">
      <c r="U2791">
        <v>2749</v>
      </c>
      <c r="V2791" s="197">
        <v>442.83791802011905</v>
      </c>
    </row>
    <row r="2792" spans="21:22">
      <c r="U2792">
        <v>2750</v>
      </c>
      <c r="V2792" s="197">
        <v>-954.18256638263506</v>
      </c>
    </row>
    <row r="2793" spans="21:22">
      <c r="U2793">
        <v>2751</v>
      </c>
      <c r="V2793" s="197">
        <v>1278.9494855571429</v>
      </c>
    </row>
    <row r="2794" spans="21:22">
      <c r="U2794">
        <v>2752</v>
      </c>
      <c r="V2794" s="197">
        <v>1325.676221515474</v>
      </c>
    </row>
    <row r="2795" spans="21:22">
      <c r="U2795">
        <v>2753</v>
      </c>
      <c r="V2795" s="197">
        <v>948.27401609059848</v>
      </c>
    </row>
    <row r="2796" spans="21:22">
      <c r="U2796">
        <v>2754</v>
      </c>
      <c r="V2796" s="197">
        <v>283.20982259416019</v>
      </c>
    </row>
    <row r="2797" spans="21:22">
      <c r="U2797">
        <v>2755</v>
      </c>
      <c r="V2797" s="197">
        <v>2034.0722204936878</v>
      </c>
    </row>
    <row r="2798" spans="21:22">
      <c r="U2798">
        <v>2756</v>
      </c>
      <c r="V2798" s="197">
        <v>1238.3479024446635</v>
      </c>
    </row>
    <row r="2799" spans="21:22">
      <c r="U2799">
        <v>2757</v>
      </c>
      <c r="V2799" s="197">
        <v>852.83054498534102</v>
      </c>
    </row>
    <row r="2800" spans="21:22">
      <c r="U2800">
        <v>2758</v>
      </c>
      <c r="V2800" s="197">
        <v>-713.12216977351613</v>
      </c>
    </row>
    <row r="2801" spans="21:22">
      <c r="U2801">
        <v>2759</v>
      </c>
      <c r="V2801" s="197">
        <v>-1358.3452210603982</v>
      </c>
    </row>
    <row r="2802" spans="21:22">
      <c r="U2802">
        <v>2760</v>
      </c>
      <c r="V2802" s="197">
        <v>-302.67540293919194</v>
      </c>
    </row>
    <row r="2803" spans="21:22">
      <c r="U2803">
        <v>2761</v>
      </c>
      <c r="V2803" s="197">
        <v>-1.2933555022343484</v>
      </c>
    </row>
    <row r="2804" spans="21:22">
      <c r="U2804">
        <v>2762</v>
      </c>
      <c r="V2804" s="197">
        <v>1558.9001762457556</v>
      </c>
    </row>
    <row r="2805" spans="21:22">
      <c r="U2805">
        <v>2763</v>
      </c>
      <c r="V2805" s="197">
        <v>89.633099416899825</v>
      </c>
    </row>
    <row r="2806" spans="21:22">
      <c r="U2806">
        <v>2764</v>
      </c>
      <c r="V2806" s="197">
        <v>-271.71768903302376</v>
      </c>
    </row>
    <row r="2807" spans="21:22">
      <c r="U2807">
        <v>2765</v>
      </c>
      <c r="V2807" s="197">
        <v>-1507.8131397835054</v>
      </c>
    </row>
    <row r="2808" spans="21:22">
      <c r="U2808">
        <v>2766</v>
      </c>
      <c r="V2808" s="197">
        <v>-1162.1414202872668</v>
      </c>
    </row>
    <row r="2809" spans="21:22">
      <c r="U2809">
        <v>2767</v>
      </c>
      <c r="V2809" s="197">
        <v>341.5116928722133</v>
      </c>
    </row>
    <row r="2810" spans="21:22">
      <c r="U2810">
        <v>2768</v>
      </c>
      <c r="V2810" s="197">
        <v>365.22544223832273</v>
      </c>
    </row>
    <row r="2811" spans="21:22">
      <c r="U2811">
        <v>2769</v>
      </c>
      <c r="V2811" s="197">
        <v>1008.2995265433617</v>
      </c>
    </row>
    <row r="2812" spans="21:22">
      <c r="U2812">
        <v>2770</v>
      </c>
      <c r="V2812" s="197">
        <v>238.13522972068287</v>
      </c>
    </row>
    <row r="2813" spans="21:22">
      <c r="U2813">
        <v>2771</v>
      </c>
      <c r="V2813" s="197">
        <v>-593.26903684962963</v>
      </c>
    </row>
    <row r="2814" spans="21:22">
      <c r="U2814">
        <v>2772</v>
      </c>
      <c r="V2814" s="197">
        <v>361.84032138262182</v>
      </c>
    </row>
    <row r="2815" spans="21:22">
      <c r="U2815">
        <v>2773</v>
      </c>
      <c r="V2815" s="197">
        <v>1486.8789308233179</v>
      </c>
    </row>
    <row r="2816" spans="21:22">
      <c r="U2816">
        <v>2774</v>
      </c>
      <c r="V2816" s="197">
        <v>1156.0901134162841</v>
      </c>
    </row>
    <row r="2817" spans="21:22">
      <c r="U2817">
        <v>2775</v>
      </c>
      <c r="V2817" s="197">
        <v>-652.03350103494586</v>
      </c>
    </row>
    <row r="2818" spans="21:22">
      <c r="U2818">
        <v>2776</v>
      </c>
      <c r="V2818" s="197">
        <v>121.41543149916814</v>
      </c>
    </row>
    <row r="2819" spans="21:22">
      <c r="U2819">
        <v>2777</v>
      </c>
      <c r="V2819" s="197">
        <v>2310.84904592465</v>
      </c>
    </row>
    <row r="2820" spans="21:22">
      <c r="U2820">
        <v>2778</v>
      </c>
      <c r="V2820" s="197">
        <v>766.52821571628442</v>
      </c>
    </row>
    <row r="2821" spans="21:22">
      <c r="U2821">
        <v>2779</v>
      </c>
      <c r="V2821" s="197">
        <v>-569.44810940962316</v>
      </c>
    </row>
    <row r="2822" spans="21:22">
      <c r="U2822">
        <v>2780</v>
      </c>
      <c r="V2822" s="197">
        <v>629.61768438725198</v>
      </c>
    </row>
    <row r="2823" spans="21:22">
      <c r="U2823">
        <v>2781</v>
      </c>
      <c r="V2823" s="197">
        <v>2349.6945548402232</v>
      </c>
    </row>
    <row r="2824" spans="21:22">
      <c r="U2824">
        <v>2782</v>
      </c>
      <c r="V2824" s="197">
        <v>1088.6830455844126</v>
      </c>
    </row>
    <row r="2825" spans="21:22">
      <c r="U2825">
        <v>2783</v>
      </c>
      <c r="V2825" s="197">
        <v>1181.7243883030078</v>
      </c>
    </row>
    <row r="2826" spans="21:22">
      <c r="U2826">
        <v>2784</v>
      </c>
      <c r="V2826" s="197">
        <v>-4.1831016638737708</v>
      </c>
    </row>
    <row r="2827" spans="21:22">
      <c r="U2827">
        <v>2785</v>
      </c>
      <c r="V2827" s="197">
        <v>-342.52961875711907</v>
      </c>
    </row>
    <row r="2828" spans="21:22">
      <c r="U2828">
        <v>2786</v>
      </c>
      <c r="V2828" s="197">
        <v>118.02115217080107</v>
      </c>
    </row>
    <row r="2829" spans="21:22">
      <c r="U2829">
        <v>2787</v>
      </c>
      <c r="V2829" s="197">
        <v>1193.5472393808063</v>
      </c>
    </row>
    <row r="2830" spans="21:22">
      <c r="U2830">
        <v>2788</v>
      </c>
      <c r="V2830" s="197">
        <v>-860.34690098580859</v>
      </c>
    </row>
    <row r="2831" spans="21:22">
      <c r="U2831">
        <v>2789</v>
      </c>
      <c r="V2831" s="197">
        <v>2095.728084935005</v>
      </c>
    </row>
    <row r="2832" spans="21:22">
      <c r="U2832">
        <v>2790</v>
      </c>
      <c r="V2832" s="197">
        <v>573.46497000658155</v>
      </c>
    </row>
    <row r="2833" spans="21:22">
      <c r="U2833">
        <v>2791</v>
      </c>
      <c r="V2833" s="197">
        <v>580.99968736000335</v>
      </c>
    </row>
    <row r="2834" spans="21:22">
      <c r="U2834">
        <v>2792</v>
      </c>
      <c r="V2834" s="197">
        <v>-533.86495593217523</v>
      </c>
    </row>
    <row r="2835" spans="21:22">
      <c r="U2835">
        <v>2793</v>
      </c>
      <c r="V2835" s="197">
        <v>653.82659326610656</v>
      </c>
    </row>
    <row r="2836" spans="21:22">
      <c r="U2836">
        <v>2794</v>
      </c>
      <c r="V2836" s="197">
        <v>-1397.9808969600783</v>
      </c>
    </row>
    <row r="2837" spans="21:22">
      <c r="U2837">
        <v>2795</v>
      </c>
      <c r="V2837" s="197">
        <v>431.31614825646886</v>
      </c>
    </row>
    <row r="2838" spans="21:22">
      <c r="U2838">
        <v>2796</v>
      </c>
      <c r="V2838" s="197">
        <v>-571.39541317071166</v>
      </c>
    </row>
    <row r="2839" spans="21:22">
      <c r="U2839">
        <v>2797</v>
      </c>
      <c r="V2839" s="197">
        <v>-1933.8252659129716</v>
      </c>
    </row>
    <row r="2840" spans="21:22">
      <c r="U2840">
        <v>2798</v>
      </c>
      <c r="V2840" s="197">
        <v>1946.5063490021969</v>
      </c>
    </row>
    <row r="2841" spans="21:22">
      <c r="U2841">
        <v>2799</v>
      </c>
      <c r="V2841" s="197">
        <v>-1152.4154658816508</v>
      </c>
    </row>
    <row r="2842" spans="21:22">
      <c r="U2842">
        <v>2800</v>
      </c>
      <c r="V2842" s="197">
        <v>-748.71237887918278</v>
      </c>
    </row>
    <row r="2843" spans="21:22">
      <c r="U2843">
        <v>2801</v>
      </c>
      <c r="V2843" s="197">
        <v>-405.23204333201096</v>
      </c>
    </row>
    <row r="2844" spans="21:22">
      <c r="U2844">
        <v>2802</v>
      </c>
      <c r="V2844" s="197">
        <v>-381.78890042275515</v>
      </c>
    </row>
    <row r="2845" spans="21:22">
      <c r="U2845">
        <v>2803</v>
      </c>
      <c r="V2845" s="197">
        <v>103.8451062509488</v>
      </c>
    </row>
    <row r="2846" spans="21:22">
      <c r="U2846">
        <v>2804</v>
      </c>
      <c r="V2846" s="197">
        <v>1640.1750612327664</v>
      </c>
    </row>
    <row r="2847" spans="21:22">
      <c r="U2847">
        <v>2805</v>
      </c>
      <c r="V2847" s="197">
        <v>42.780025490196792</v>
      </c>
    </row>
    <row r="2848" spans="21:22">
      <c r="U2848">
        <v>2806</v>
      </c>
      <c r="V2848" s="197">
        <v>-837.6105225296169</v>
      </c>
    </row>
    <row r="2849" spans="21:22">
      <c r="U2849">
        <v>2807</v>
      </c>
      <c r="V2849" s="197">
        <v>-378.2819336334901</v>
      </c>
    </row>
    <row r="2850" spans="21:22">
      <c r="U2850">
        <v>2808</v>
      </c>
      <c r="V2850" s="197">
        <v>2226.9389816239659</v>
      </c>
    </row>
    <row r="2851" spans="21:22">
      <c r="U2851">
        <v>2809</v>
      </c>
      <c r="V2851" s="197">
        <v>703.28361631534563</v>
      </c>
    </row>
    <row r="2852" spans="21:22">
      <c r="U2852">
        <v>2810</v>
      </c>
      <c r="V2852" s="197">
        <v>-654.08113596624867</v>
      </c>
    </row>
    <row r="2853" spans="21:22">
      <c r="U2853">
        <v>2811</v>
      </c>
      <c r="V2853" s="197">
        <v>-11.985583097164138</v>
      </c>
    </row>
    <row r="2854" spans="21:22">
      <c r="U2854">
        <v>2812</v>
      </c>
      <c r="V2854" s="197">
        <v>-252.95769345627957</v>
      </c>
    </row>
    <row r="2855" spans="21:22">
      <c r="U2855">
        <v>2813</v>
      </c>
      <c r="V2855" s="197">
        <v>-1333.8885368736519</v>
      </c>
    </row>
    <row r="2856" spans="21:22">
      <c r="U2856">
        <v>2814</v>
      </c>
      <c r="V2856" s="197">
        <v>1310.8813023655762</v>
      </c>
    </row>
    <row r="2857" spans="21:22">
      <c r="U2857">
        <v>2815</v>
      </c>
      <c r="V2857" s="197">
        <v>2288.5919648226995</v>
      </c>
    </row>
    <row r="2858" spans="21:22">
      <c r="U2858">
        <v>2816</v>
      </c>
      <c r="V2858" s="197">
        <v>-1586.9185847034296</v>
      </c>
    </row>
    <row r="2859" spans="21:22">
      <c r="U2859">
        <v>2817</v>
      </c>
      <c r="V2859" s="197">
        <v>-1367.6857296347878</v>
      </c>
    </row>
    <row r="2860" spans="21:22">
      <c r="U2860">
        <v>2818</v>
      </c>
      <c r="V2860" s="197">
        <v>-1320.2642083188116</v>
      </c>
    </row>
    <row r="2861" spans="21:22">
      <c r="U2861">
        <v>2819</v>
      </c>
      <c r="V2861" s="197">
        <v>1242.1993963993093</v>
      </c>
    </row>
    <row r="2862" spans="21:22">
      <c r="U2862">
        <v>2820</v>
      </c>
      <c r="V2862" s="197">
        <v>-683.2210970494998</v>
      </c>
    </row>
    <row r="2863" spans="21:22">
      <c r="U2863">
        <v>2821</v>
      </c>
      <c r="V2863" s="197">
        <v>1396.9643517816764</v>
      </c>
    </row>
    <row r="2864" spans="21:22">
      <c r="U2864">
        <v>2822</v>
      </c>
      <c r="V2864" s="197">
        <v>327.35672253068662</v>
      </c>
    </row>
    <row r="2865" spans="21:22">
      <c r="U2865">
        <v>2823</v>
      </c>
      <c r="V2865" s="197">
        <v>216.5645698470459</v>
      </c>
    </row>
    <row r="2866" spans="21:22">
      <c r="U2866">
        <v>2824</v>
      </c>
      <c r="V2866" s="197">
        <v>-125.75599321667482</v>
      </c>
    </row>
    <row r="2867" spans="21:22">
      <c r="U2867">
        <v>2825</v>
      </c>
      <c r="V2867" s="197">
        <v>-30.778445264710797</v>
      </c>
    </row>
    <row r="2868" spans="21:22">
      <c r="U2868">
        <v>2826</v>
      </c>
      <c r="V2868" s="197">
        <v>1604.7027863492619</v>
      </c>
    </row>
    <row r="2869" spans="21:22">
      <c r="U2869">
        <v>2827</v>
      </c>
      <c r="V2869" s="197">
        <v>-1419.7378900725937</v>
      </c>
    </row>
    <row r="2870" spans="21:22">
      <c r="U2870">
        <v>2828</v>
      </c>
      <c r="V2870" s="197">
        <v>-58.455242030386501</v>
      </c>
    </row>
    <row r="2871" spans="21:22">
      <c r="U2871">
        <v>2829</v>
      </c>
      <c r="V2871" s="197">
        <v>830.43115162620234</v>
      </c>
    </row>
    <row r="2872" spans="21:22">
      <c r="U2872">
        <v>2830</v>
      </c>
      <c r="V2872" s="197">
        <v>-807.03977574047531</v>
      </c>
    </row>
    <row r="2873" spans="21:22">
      <c r="U2873">
        <v>2831</v>
      </c>
      <c r="V2873" s="197">
        <v>552.35902026216036</v>
      </c>
    </row>
    <row r="2874" spans="21:22">
      <c r="U2874">
        <v>2832</v>
      </c>
      <c r="V2874" s="197">
        <v>-2.2830463761549282</v>
      </c>
    </row>
    <row r="2875" spans="21:22">
      <c r="U2875">
        <v>2833</v>
      </c>
      <c r="V2875" s="197">
        <v>297.68543530967582</v>
      </c>
    </row>
    <row r="2876" spans="21:22">
      <c r="U2876">
        <v>2834</v>
      </c>
      <c r="V2876" s="197">
        <v>595.99185814320958</v>
      </c>
    </row>
    <row r="2877" spans="21:22">
      <c r="U2877">
        <v>2835</v>
      </c>
      <c r="V2877" s="197">
        <v>-403.43124058309843</v>
      </c>
    </row>
    <row r="2878" spans="21:22">
      <c r="U2878">
        <v>2836</v>
      </c>
      <c r="V2878" s="197">
        <v>55.89642719675836</v>
      </c>
    </row>
    <row r="2879" spans="21:22">
      <c r="U2879">
        <v>2837</v>
      </c>
      <c r="V2879" s="197">
        <v>-2041.3939328363774</v>
      </c>
    </row>
    <row r="2880" spans="21:22">
      <c r="U2880">
        <v>2838</v>
      </c>
      <c r="V2880" s="197">
        <v>-821.4922205837679</v>
      </c>
    </row>
    <row r="2881" spans="21:22">
      <c r="U2881">
        <v>2839</v>
      </c>
      <c r="V2881" s="197">
        <v>734.19801662761961</v>
      </c>
    </row>
    <row r="2882" spans="21:22">
      <c r="U2882">
        <v>2840</v>
      </c>
      <c r="V2882" s="197">
        <v>-1175.9249808304689</v>
      </c>
    </row>
    <row r="2883" spans="21:22">
      <c r="U2883">
        <v>2841</v>
      </c>
      <c r="V2883" s="197">
        <v>1580.1986005477968</v>
      </c>
    </row>
    <row r="2884" spans="21:22">
      <c r="U2884">
        <v>2842</v>
      </c>
      <c r="V2884" s="197">
        <v>-29.746093254655477</v>
      </c>
    </row>
    <row r="2885" spans="21:22">
      <c r="U2885">
        <v>2843</v>
      </c>
      <c r="V2885" s="197">
        <v>875.10031947620587</v>
      </c>
    </row>
    <row r="2886" spans="21:22">
      <c r="U2886">
        <v>2844</v>
      </c>
      <c r="V2886" s="197">
        <v>1153.5782931858464</v>
      </c>
    </row>
    <row r="2887" spans="21:22">
      <c r="U2887">
        <v>2845</v>
      </c>
      <c r="V2887" s="197">
        <v>1933.3106318609603</v>
      </c>
    </row>
    <row r="2888" spans="21:22">
      <c r="U2888">
        <v>2846</v>
      </c>
      <c r="V2888" s="197">
        <v>-10.499358576073959</v>
      </c>
    </row>
    <row r="2889" spans="21:22">
      <c r="U2889">
        <v>2847</v>
      </c>
      <c r="V2889" s="197">
        <v>-1460.1051694455803</v>
      </c>
    </row>
    <row r="2890" spans="21:22">
      <c r="U2890">
        <v>2848</v>
      </c>
      <c r="V2890" s="197">
        <v>87.508078331955005</v>
      </c>
    </row>
    <row r="2891" spans="21:22">
      <c r="U2891">
        <v>2849</v>
      </c>
      <c r="V2891" s="197">
        <v>335.5226890697528</v>
      </c>
    </row>
    <row r="2892" spans="21:22">
      <c r="U2892">
        <v>2850</v>
      </c>
      <c r="V2892" s="197">
        <v>-1068.1857165015936</v>
      </c>
    </row>
    <row r="2893" spans="21:22">
      <c r="U2893">
        <v>2851</v>
      </c>
      <c r="V2893" s="197">
        <v>779.82438005707536</v>
      </c>
    </row>
    <row r="2894" spans="21:22">
      <c r="U2894">
        <v>2852</v>
      </c>
      <c r="V2894" s="197">
        <v>1219.6821968211193</v>
      </c>
    </row>
    <row r="2895" spans="21:22">
      <c r="U2895">
        <v>2853</v>
      </c>
      <c r="V2895" s="197">
        <v>207.03387021992742</v>
      </c>
    </row>
    <row r="2896" spans="21:22">
      <c r="U2896">
        <v>2854</v>
      </c>
      <c r="V2896" s="197">
        <v>1225.2348787637527</v>
      </c>
    </row>
    <row r="2897" spans="21:22">
      <c r="U2897">
        <v>2855</v>
      </c>
      <c r="V2897" s="197">
        <v>298.67650977671616</v>
      </c>
    </row>
    <row r="2898" spans="21:22">
      <c r="U2898">
        <v>2856</v>
      </c>
      <c r="V2898" s="197">
        <v>1041.845741838607</v>
      </c>
    </row>
    <row r="2899" spans="21:22">
      <c r="U2899">
        <v>2857</v>
      </c>
      <c r="V2899" s="197">
        <v>1464.001043632715</v>
      </c>
    </row>
    <row r="2900" spans="21:22">
      <c r="U2900">
        <v>2858</v>
      </c>
      <c r="V2900" s="197">
        <v>2523.9933476507254</v>
      </c>
    </row>
    <row r="2901" spans="21:22">
      <c r="U2901">
        <v>2859</v>
      </c>
      <c r="V2901" s="197">
        <v>1905.5965815436568</v>
      </c>
    </row>
    <row r="2902" spans="21:22">
      <c r="U2902">
        <v>2860</v>
      </c>
      <c r="V2902" s="197">
        <v>2043.4701900769487</v>
      </c>
    </row>
    <row r="2903" spans="21:22">
      <c r="U2903">
        <v>2861</v>
      </c>
      <c r="V2903" s="197">
        <v>-64.856406464712563</v>
      </c>
    </row>
    <row r="2904" spans="21:22">
      <c r="U2904">
        <v>2862</v>
      </c>
      <c r="V2904" s="197">
        <v>-1315.558721742208</v>
      </c>
    </row>
    <row r="2905" spans="21:22">
      <c r="U2905">
        <v>2863</v>
      </c>
      <c r="V2905" s="197">
        <v>-1696.2487426838759</v>
      </c>
    </row>
    <row r="2906" spans="21:22">
      <c r="U2906">
        <v>2864</v>
      </c>
      <c r="V2906" s="197">
        <v>-1162.1707814997358</v>
      </c>
    </row>
    <row r="2907" spans="21:22">
      <c r="U2907">
        <v>2865</v>
      </c>
      <c r="V2907" s="197">
        <v>1407.933623605122</v>
      </c>
    </row>
    <row r="2908" spans="21:22">
      <c r="U2908">
        <v>2866</v>
      </c>
      <c r="V2908" s="197">
        <v>-674.40814797833218</v>
      </c>
    </row>
    <row r="2909" spans="21:22">
      <c r="U2909">
        <v>2867</v>
      </c>
      <c r="V2909" s="197">
        <v>-326.59156487955556</v>
      </c>
    </row>
    <row r="2910" spans="21:22">
      <c r="U2910">
        <v>2868</v>
      </c>
      <c r="V2910" s="197">
        <v>-863.78166934723185</v>
      </c>
    </row>
    <row r="2911" spans="21:22">
      <c r="U2911">
        <v>2869</v>
      </c>
      <c r="V2911" s="197">
        <v>235.08156325268769</v>
      </c>
    </row>
    <row r="2912" spans="21:22">
      <c r="U2912">
        <v>2870</v>
      </c>
      <c r="V2912" s="197">
        <v>1203.2698880848332</v>
      </c>
    </row>
    <row r="2913" spans="21:22">
      <c r="U2913">
        <v>2871</v>
      </c>
      <c r="V2913" s="197">
        <v>224.67089424994884</v>
      </c>
    </row>
    <row r="2914" spans="21:22">
      <c r="U2914">
        <v>2872</v>
      </c>
      <c r="V2914" s="197">
        <v>750.51614387958853</v>
      </c>
    </row>
    <row r="2915" spans="21:22">
      <c r="U2915">
        <v>2873</v>
      </c>
      <c r="V2915" s="197">
        <v>1577.1314086224963</v>
      </c>
    </row>
    <row r="2916" spans="21:22">
      <c r="U2916">
        <v>2874</v>
      </c>
      <c r="V2916" s="197">
        <v>1312.1365991146561</v>
      </c>
    </row>
    <row r="2917" spans="21:22">
      <c r="U2917">
        <v>2875</v>
      </c>
      <c r="V2917" s="197">
        <v>1182.6383756506996</v>
      </c>
    </row>
    <row r="2918" spans="21:22">
      <c r="U2918">
        <v>2876</v>
      </c>
      <c r="V2918" s="197">
        <v>313.17306671124641</v>
      </c>
    </row>
    <row r="2919" spans="21:22">
      <c r="U2919">
        <v>2877</v>
      </c>
      <c r="V2919" s="197">
        <v>1947.6945186560092</v>
      </c>
    </row>
    <row r="2920" spans="21:22">
      <c r="U2920">
        <v>2878</v>
      </c>
      <c r="V2920" s="197">
        <v>968.74559527335668</v>
      </c>
    </row>
    <row r="2921" spans="21:22">
      <c r="U2921">
        <v>2879</v>
      </c>
      <c r="V2921" s="197">
        <v>2334.7474262927644</v>
      </c>
    </row>
    <row r="2922" spans="21:22">
      <c r="U2922">
        <v>2880</v>
      </c>
      <c r="V2922" s="197">
        <v>-1069.3642200676975</v>
      </c>
    </row>
    <row r="2923" spans="21:22">
      <c r="U2923">
        <v>2881</v>
      </c>
      <c r="V2923" s="197">
        <v>-597.17443263864948</v>
      </c>
    </row>
    <row r="2924" spans="21:22">
      <c r="U2924">
        <v>2882</v>
      </c>
      <c r="V2924" s="197">
        <v>-1068.5768043339729</v>
      </c>
    </row>
    <row r="2925" spans="21:22">
      <c r="U2925">
        <v>2883</v>
      </c>
      <c r="V2925" s="197">
        <v>-910.40188322145696</v>
      </c>
    </row>
    <row r="2926" spans="21:22">
      <c r="U2926">
        <v>2884</v>
      </c>
      <c r="V2926" s="197">
        <v>-410.26433799242528</v>
      </c>
    </row>
    <row r="2927" spans="21:22">
      <c r="U2927">
        <v>2885</v>
      </c>
      <c r="V2927" s="197">
        <v>597.75530676908147</v>
      </c>
    </row>
    <row r="2928" spans="21:22">
      <c r="U2928">
        <v>2886</v>
      </c>
      <c r="V2928" s="197">
        <v>-131.19819527560955</v>
      </c>
    </row>
    <row r="2929" spans="21:22">
      <c r="U2929">
        <v>2887</v>
      </c>
      <c r="V2929" s="197">
        <v>-297.47176227077756</v>
      </c>
    </row>
    <row r="2930" spans="21:22">
      <c r="U2930">
        <v>2888</v>
      </c>
      <c r="V2930" s="197">
        <v>-403.1150453051178</v>
      </c>
    </row>
    <row r="2931" spans="21:22">
      <c r="U2931">
        <v>2889</v>
      </c>
      <c r="V2931" s="197">
        <v>923.77247166446682</v>
      </c>
    </row>
    <row r="2932" spans="21:22">
      <c r="U2932">
        <v>2890</v>
      </c>
      <c r="V2932" s="197">
        <v>-2384.1197722731708</v>
      </c>
    </row>
    <row r="2933" spans="21:22">
      <c r="U2933">
        <v>2891</v>
      </c>
      <c r="V2933" s="197">
        <v>1471.8366771154219</v>
      </c>
    </row>
    <row r="2934" spans="21:22">
      <c r="U2934">
        <v>2892</v>
      </c>
      <c r="V2934" s="197">
        <v>-1643.5414829912725</v>
      </c>
    </row>
    <row r="2935" spans="21:22">
      <c r="U2935">
        <v>2893</v>
      </c>
      <c r="V2935" s="197">
        <v>-141.96130858105525</v>
      </c>
    </row>
    <row r="2936" spans="21:22">
      <c r="U2936">
        <v>2894</v>
      </c>
      <c r="V2936" s="197">
        <v>-278.04489208699943</v>
      </c>
    </row>
    <row r="2937" spans="21:22">
      <c r="U2937">
        <v>2895</v>
      </c>
      <c r="V2937" s="197">
        <v>821.3479692479641</v>
      </c>
    </row>
    <row r="2938" spans="21:22">
      <c r="U2938">
        <v>2896</v>
      </c>
      <c r="V2938" s="197">
        <v>-1910.9151412760266</v>
      </c>
    </row>
    <row r="2939" spans="21:22">
      <c r="U2939">
        <v>2897</v>
      </c>
      <c r="V2939" s="197">
        <v>498.2739074188222</v>
      </c>
    </row>
    <row r="2940" spans="21:22">
      <c r="U2940">
        <v>2898</v>
      </c>
      <c r="V2940" s="197">
        <v>2835.5422185954676</v>
      </c>
    </row>
    <row r="2941" spans="21:22">
      <c r="U2941">
        <v>2899</v>
      </c>
      <c r="V2941" s="197">
        <v>1238.1942850766072</v>
      </c>
    </row>
    <row r="2942" spans="21:22">
      <c r="U2942">
        <v>2900</v>
      </c>
      <c r="V2942" s="197">
        <v>-333.23559282498832</v>
      </c>
    </row>
    <row r="2943" spans="21:22">
      <c r="U2943">
        <v>2901</v>
      </c>
      <c r="V2943" s="197">
        <v>419.37287546385511</v>
      </c>
    </row>
    <row r="2944" spans="21:22">
      <c r="U2944">
        <v>2902</v>
      </c>
      <c r="V2944" s="197">
        <v>509.50134533458703</v>
      </c>
    </row>
    <row r="2945" spans="21:22">
      <c r="U2945">
        <v>2903</v>
      </c>
      <c r="V2945" s="197">
        <v>-303.83530176719012</v>
      </c>
    </row>
    <row r="2946" spans="21:22">
      <c r="U2946">
        <v>2904</v>
      </c>
      <c r="V2946" s="197">
        <v>-298.49302952879282</v>
      </c>
    </row>
    <row r="2947" spans="21:22">
      <c r="U2947">
        <v>2905</v>
      </c>
      <c r="V2947" s="197">
        <v>-991.39375303858583</v>
      </c>
    </row>
    <row r="2948" spans="21:22">
      <c r="U2948">
        <v>2906</v>
      </c>
      <c r="V2948" s="197">
        <v>-179.16374656339309</v>
      </c>
    </row>
    <row r="2949" spans="21:22">
      <c r="U2949">
        <v>2907</v>
      </c>
      <c r="V2949" s="197">
        <v>1033.8902003398068</v>
      </c>
    </row>
    <row r="2950" spans="21:22">
      <c r="U2950">
        <v>2908</v>
      </c>
      <c r="V2950" s="197">
        <v>-634.50198188135573</v>
      </c>
    </row>
    <row r="2951" spans="21:22">
      <c r="U2951">
        <v>2909</v>
      </c>
      <c r="V2951" s="197">
        <v>-325.64073416046529</v>
      </c>
    </row>
    <row r="2952" spans="21:22">
      <c r="U2952">
        <v>2910</v>
      </c>
      <c r="V2952" s="197">
        <v>2303.7820245769099</v>
      </c>
    </row>
    <row r="2953" spans="21:22">
      <c r="U2953">
        <v>2911</v>
      </c>
      <c r="V2953" s="197">
        <v>-642.2851828187197</v>
      </c>
    </row>
    <row r="2954" spans="21:22">
      <c r="U2954">
        <v>2912</v>
      </c>
      <c r="V2954" s="197">
        <v>1274.3823993139249</v>
      </c>
    </row>
    <row r="2955" spans="21:22">
      <c r="U2955">
        <v>2913</v>
      </c>
      <c r="V2955" s="197">
        <v>240.84921712766862</v>
      </c>
    </row>
    <row r="2956" spans="21:22">
      <c r="U2956">
        <v>2914</v>
      </c>
      <c r="V2956" s="197">
        <v>2356.676801823533</v>
      </c>
    </row>
    <row r="2957" spans="21:22">
      <c r="U2957">
        <v>2915</v>
      </c>
      <c r="V2957" s="197">
        <v>-150.51827942080283</v>
      </c>
    </row>
    <row r="2958" spans="21:22">
      <c r="U2958">
        <v>2916</v>
      </c>
      <c r="V2958" s="197">
        <v>672.96108429523611</v>
      </c>
    </row>
    <row r="2959" spans="21:22">
      <c r="U2959">
        <v>2917</v>
      </c>
      <c r="V2959" s="197">
        <v>-113.32240055688575</v>
      </c>
    </row>
    <row r="2960" spans="21:22">
      <c r="U2960">
        <v>2918</v>
      </c>
      <c r="V2960" s="197">
        <v>1040.7545722935151</v>
      </c>
    </row>
    <row r="2961" spans="21:22">
      <c r="U2961">
        <v>2919</v>
      </c>
      <c r="V2961" s="197">
        <v>-107.6463978546995</v>
      </c>
    </row>
    <row r="2962" spans="21:22">
      <c r="U2962">
        <v>2920</v>
      </c>
      <c r="V2962" s="197">
        <v>1386.5380194200663</v>
      </c>
    </row>
    <row r="2963" spans="21:22">
      <c r="U2963">
        <v>2921</v>
      </c>
      <c r="V2963" s="197">
        <v>-383.24297329759338</v>
      </c>
    </row>
    <row r="2964" spans="21:22">
      <c r="U2964">
        <v>2922</v>
      </c>
      <c r="V2964" s="197">
        <v>93.50421449544271</v>
      </c>
    </row>
    <row r="2965" spans="21:22">
      <c r="U2965">
        <v>2923</v>
      </c>
      <c r="V2965" s="197">
        <v>449.39072127723779</v>
      </c>
    </row>
    <row r="2966" spans="21:22">
      <c r="U2966">
        <v>2924</v>
      </c>
      <c r="V2966" s="197">
        <v>-154.33698996071897</v>
      </c>
    </row>
    <row r="2967" spans="21:22">
      <c r="U2967">
        <v>2925</v>
      </c>
      <c r="V2967" s="197">
        <v>466.22746455667618</v>
      </c>
    </row>
    <row r="2968" spans="21:22">
      <c r="U2968">
        <v>2926</v>
      </c>
      <c r="V2968" s="197">
        <v>911.09239144508365</v>
      </c>
    </row>
    <row r="2969" spans="21:22">
      <c r="U2969">
        <v>2927</v>
      </c>
      <c r="V2969" s="197">
        <v>1021.3886235571697</v>
      </c>
    </row>
    <row r="2970" spans="21:22">
      <c r="U2970">
        <v>2928</v>
      </c>
      <c r="V2970" s="197">
        <v>-1526.3007213755777</v>
      </c>
    </row>
    <row r="2971" spans="21:22">
      <c r="U2971">
        <v>2929</v>
      </c>
      <c r="V2971" s="197">
        <v>-794.69108943273636</v>
      </c>
    </row>
    <row r="2972" spans="21:22">
      <c r="U2972">
        <v>2930</v>
      </c>
      <c r="V2972" s="197">
        <v>1137.7560513751562</v>
      </c>
    </row>
    <row r="2973" spans="21:22">
      <c r="U2973">
        <v>2931</v>
      </c>
      <c r="V2973" s="197">
        <v>275.35345647458314</v>
      </c>
    </row>
    <row r="2974" spans="21:22">
      <c r="U2974">
        <v>2932</v>
      </c>
      <c r="V2974" s="197">
        <v>590.57196673663657</v>
      </c>
    </row>
    <row r="2975" spans="21:22">
      <c r="U2975">
        <v>2933</v>
      </c>
      <c r="V2975" s="197">
        <v>1462.1189190152279</v>
      </c>
    </row>
    <row r="2976" spans="21:22">
      <c r="U2976">
        <v>2934</v>
      </c>
      <c r="V2976" s="197">
        <v>1891.2216277754499</v>
      </c>
    </row>
    <row r="2977" spans="21:22">
      <c r="U2977">
        <v>2935</v>
      </c>
      <c r="V2977" s="197">
        <v>144.74045957049745</v>
      </c>
    </row>
    <row r="2978" spans="21:22">
      <c r="U2978">
        <v>2936</v>
      </c>
      <c r="V2978" s="197">
        <v>-704.63904858360979</v>
      </c>
    </row>
    <row r="2979" spans="21:22">
      <c r="U2979">
        <v>2937</v>
      </c>
      <c r="V2979" s="197">
        <v>1457.0292282804376</v>
      </c>
    </row>
    <row r="2980" spans="21:22">
      <c r="U2980">
        <v>2938</v>
      </c>
      <c r="V2980" s="197">
        <v>-330.77611875073319</v>
      </c>
    </row>
    <row r="2981" spans="21:22">
      <c r="U2981">
        <v>2939</v>
      </c>
      <c r="V2981" s="197">
        <v>1197.6426871154883</v>
      </c>
    </row>
    <row r="2982" spans="21:22">
      <c r="U2982">
        <v>2940</v>
      </c>
      <c r="V2982" s="197">
        <v>743.56666969274852</v>
      </c>
    </row>
    <row r="2983" spans="21:22">
      <c r="U2983">
        <v>2941</v>
      </c>
      <c r="V2983" s="197">
        <v>-252.56262778732565</v>
      </c>
    </row>
    <row r="2984" spans="21:22">
      <c r="U2984">
        <v>2942</v>
      </c>
      <c r="V2984" s="197">
        <v>-380.23733781541603</v>
      </c>
    </row>
    <row r="2985" spans="21:22">
      <c r="U2985">
        <v>2943</v>
      </c>
      <c r="V2985" s="197">
        <v>-331.06245502063098</v>
      </c>
    </row>
    <row r="2986" spans="21:22">
      <c r="U2986">
        <v>2944</v>
      </c>
      <c r="V2986" s="197">
        <v>-716.93505613872662</v>
      </c>
    </row>
    <row r="2987" spans="21:22">
      <c r="U2987">
        <v>2945</v>
      </c>
      <c r="V2987" s="197">
        <v>1886.6504058502207</v>
      </c>
    </row>
    <row r="2988" spans="21:22">
      <c r="U2988">
        <v>2946</v>
      </c>
      <c r="V2988" s="197">
        <v>447.20436543571412</v>
      </c>
    </row>
    <row r="2989" spans="21:22">
      <c r="U2989">
        <v>2947</v>
      </c>
      <c r="V2989" s="197">
        <v>1759.7905729639997</v>
      </c>
    </row>
    <row r="2990" spans="21:22">
      <c r="U2990">
        <v>2948</v>
      </c>
      <c r="V2990" s="197">
        <v>-1612.7685496452832</v>
      </c>
    </row>
    <row r="2991" spans="21:22">
      <c r="U2991">
        <v>2949</v>
      </c>
      <c r="V2991" s="197">
        <v>-1756.3967250480525</v>
      </c>
    </row>
    <row r="2992" spans="21:22">
      <c r="U2992">
        <v>2950</v>
      </c>
      <c r="V2992" s="197">
        <v>-876.11411183384917</v>
      </c>
    </row>
    <row r="2993" spans="21:22">
      <c r="U2993">
        <v>2951</v>
      </c>
      <c r="V2993" s="197">
        <v>-2131.5483167988054</v>
      </c>
    </row>
    <row r="2994" spans="21:22">
      <c r="U2994">
        <v>2952</v>
      </c>
      <c r="V2994" s="197">
        <v>-609.77841701378406</v>
      </c>
    </row>
    <row r="2995" spans="21:22">
      <c r="U2995">
        <v>2953</v>
      </c>
      <c r="V2995" s="197">
        <v>798.51794954031243</v>
      </c>
    </row>
    <row r="2996" spans="21:22">
      <c r="U2996">
        <v>2954</v>
      </c>
      <c r="V2996" s="197">
        <v>-1155.7535544764762</v>
      </c>
    </row>
    <row r="2997" spans="21:22">
      <c r="U2997">
        <v>2955</v>
      </c>
      <c r="V2997" s="197">
        <v>843.50722669356105</v>
      </c>
    </row>
    <row r="2998" spans="21:22">
      <c r="U2998">
        <v>2956</v>
      </c>
      <c r="V2998" s="197">
        <v>-0.61941479485092543</v>
      </c>
    </row>
    <row r="2999" spans="21:22">
      <c r="U2999">
        <v>2957</v>
      </c>
      <c r="V2999" s="197">
        <v>-476.95492311360596</v>
      </c>
    </row>
    <row r="3000" spans="21:22">
      <c r="U3000">
        <v>2958</v>
      </c>
      <c r="V3000" s="197">
        <v>1174.3089870205856</v>
      </c>
    </row>
    <row r="3001" spans="21:22">
      <c r="U3001">
        <v>2959</v>
      </c>
      <c r="V3001" s="197">
        <v>1021.1686364387813</v>
      </c>
    </row>
    <row r="3002" spans="21:22">
      <c r="U3002">
        <v>2960</v>
      </c>
      <c r="V3002" s="197">
        <v>259.3813290981675</v>
      </c>
    </row>
    <row r="3003" spans="21:22">
      <c r="U3003">
        <v>2961</v>
      </c>
      <c r="V3003" s="197">
        <v>191.90190056680296</v>
      </c>
    </row>
    <row r="3004" spans="21:22">
      <c r="U3004">
        <v>2962</v>
      </c>
      <c r="V3004" s="197">
        <v>644.35045431251797</v>
      </c>
    </row>
    <row r="3005" spans="21:22">
      <c r="U3005">
        <v>2963</v>
      </c>
      <c r="V3005" s="197">
        <v>-2142.7825297516033</v>
      </c>
    </row>
    <row r="3006" spans="21:22">
      <c r="U3006">
        <v>2964</v>
      </c>
      <c r="V3006" s="197">
        <v>1133.0683366055407</v>
      </c>
    </row>
    <row r="3007" spans="21:22">
      <c r="U3007">
        <v>2965</v>
      </c>
      <c r="V3007" s="197">
        <v>1050.0908498098593</v>
      </c>
    </row>
    <row r="3008" spans="21:22">
      <c r="U3008">
        <v>2966</v>
      </c>
      <c r="V3008" s="197">
        <v>842.08649948991183</v>
      </c>
    </row>
    <row r="3009" spans="21:22">
      <c r="U3009">
        <v>2967</v>
      </c>
      <c r="V3009" s="197">
        <v>2086.0052513628466</v>
      </c>
    </row>
    <row r="3010" spans="21:22">
      <c r="U3010">
        <v>2968</v>
      </c>
      <c r="V3010" s="197">
        <v>-426.93086025743327</v>
      </c>
    </row>
    <row r="3011" spans="21:22">
      <c r="U3011">
        <v>2969</v>
      </c>
      <c r="V3011" s="197">
        <v>-312.66007629336292</v>
      </c>
    </row>
    <row r="3012" spans="21:22">
      <c r="U3012">
        <v>2970</v>
      </c>
      <c r="V3012" s="197">
        <v>1183.4564280500047</v>
      </c>
    </row>
    <row r="3013" spans="21:22">
      <c r="U3013">
        <v>2971</v>
      </c>
      <c r="V3013" s="197">
        <v>-1270.3982351890338</v>
      </c>
    </row>
    <row r="3014" spans="21:22">
      <c r="U3014">
        <v>2972</v>
      </c>
      <c r="V3014" s="197">
        <v>-31.696826971182105</v>
      </c>
    </row>
    <row r="3015" spans="21:22">
      <c r="U3015">
        <v>2973</v>
      </c>
      <c r="V3015" s="197">
        <v>73.809507294128011</v>
      </c>
    </row>
    <row r="3016" spans="21:22">
      <c r="U3016">
        <v>2974</v>
      </c>
      <c r="V3016" s="197">
        <v>904.08916767599453</v>
      </c>
    </row>
    <row r="3017" spans="21:22">
      <c r="U3017">
        <v>2975</v>
      </c>
      <c r="V3017" s="197">
        <v>1054.1068178554526</v>
      </c>
    </row>
    <row r="3018" spans="21:22">
      <c r="U3018">
        <v>2976</v>
      </c>
      <c r="V3018" s="197">
        <v>556.8246185730743</v>
      </c>
    </row>
    <row r="3019" spans="21:22">
      <c r="U3019">
        <v>2977</v>
      </c>
      <c r="V3019" s="197">
        <v>-11.063691388768135</v>
      </c>
    </row>
    <row r="3020" spans="21:22">
      <c r="U3020">
        <v>2978</v>
      </c>
      <c r="V3020" s="197">
        <v>-270.76368150019061</v>
      </c>
    </row>
    <row r="3021" spans="21:22">
      <c r="U3021">
        <v>2979</v>
      </c>
      <c r="V3021" s="197">
        <v>1813.9071797498593</v>
      </c>
    </row>
    <row r="3022" spans="21:22">
      <c r="U3022">
        <v>2980</v>
      </c>
      <c r="V3022" s="197">
        <v>-1567.2992403666342</v>
      </c>
    </row>
    <row r="3023" spans="21:22">
      <c r="U3023">
        <v>2981</v>
      </c>
      <c r="V3023" s="197">
        <v>456.45772316569503</v>
      </c>
    </row>
    <row r="3024" spans="21:22">
      <c r="U3024">
        <v>2982</v>
      </c>
      <c r="V3024" s="197">
        <v>-452.13272405515028</v>
      </c>
    </row>
    <row r="3025" spans="21:22">
      <c r="U3025">
        <v>2983</v>
      </c>
      <c r="V3025" s="197">
        <v>330.53575146245362</v>
      </c>
    </row>
    <row r="3026" spans="21:22">
      <c r="U3026">
        <v>2984</v>
      </c>
      <c r="V3026" s="197">
        <v>-620.40704007770637</v>
      </c>
    </row>
    <row r="3027" spans="21:22">
      <c r="U3027">
        <v>2985</v>
      </c>
      <c r="V3027" s="197">
        <v>515.874862295399</v>
      </c>
    </row>
    <row r="3028" spans="21:22">
      <c r="U3028">
        <v>2986</v>
      </c>
      <c r="V3028" s="197">
        <v>69.65902212581436</v>
      </c>
    </row>
    <row r="3029" spans="21:22">
      <c r="U3029">
        <v>2987</v>
      </c>
      <c r="V3029" s="197">
        <v>-1.1123133902140125</v>
      </c>
    </row>
    <row r="3030" spans="21:22">
      <c r="U3030">
        <v>2988</v>
      </c>
      <c r="V3030" s="197">
        <v>1049.9479136952393</v>
      </c>
    </row>
    <row r="3031" spans="21:22">
      <c r="U3031">
        <v>2989</v>
      </c>
      <c r="V3031" s="197">
        <v>295.29757464557048</v>
      </c>
    </row>
    <row r="3032" spans="21:22">
      <c r="U3032">
        <v>2990</v>
      </c>
      <c r="V3032" s="197">
        <v>104.51274022342696</v>
      </c>
    </row>
    <row r="3033" spans="21:22">
      <c r="U3033">
        <v>2991</v>
      </c>
      <c r="V3033" s="197">
        <v>-478.58715979056348</v>
      </c>
    </row>
    <row r="3034" spans="21:22">
      <c r="U3034">
        <v>2992</v>
      </c>
      <c r="V3034" s="197">
        <v>303.2877443703951</v>
      </c>
    </row>
    <row r="3035" spans="21:22">
      <c r="U3035">
        <v>2993</v>
      </c>
      <c r="V3035" s="197">
        <v>126.69851525228435</v>
      </c>
    </row>
    <row r="3036" spans="21:22">
      <c r="U3036">
        <v>2994</v>
      </c>
      <c r="V3036" s="197">
        <v>-868.67457517390335</v>
      </c>
    </row>
    <row r="3037" spans="21:22">
      <c r="U3037">
        <v>2995</v>
      </c>
      <c r="V3037" s="197">
        <v>582.90859591005324</v>
      </c>
    </row>
    <row r="3038" spans="21:22">
      <c r="U3038">
        <v>2996</v>
      </c>
      <c r="V3038" s="197">
        <v>87.116724098986822</v>
      </c>
    </row>
    <row r="3039" spans="21:22">
      <c r="U3039">
        <v>2997</v>
      </c>
      <c r="V3039" s="197">
        <v>185.98225307608723</v>
      </c>
    </row>
    <row r="3040" spans="21:22">
      <c r="U3040">
        <v>2998</v>
      </c>
      <c r="V3040" s="197">
        <v>1500.7077355221995</v>
      </c>
    </row>
    <row r="3041" spans="21:22">
      <c r="U3041">
        <v>2999</v>
      </c>
      <c r="V3041" s="197">
        <v>-549.51927645101387</v>
      </c>
    </row>
    <row r="3042" spans="21:22">
      <c r="U3042">
        <v>3000</v>
      </c>
      <c r="V3042" s="197">
        <v>641.96462577896204</v>
      </c>
    </row>
    <row r="3043" spans="21:22">
      <c r="U3043">
        <v>3001</v>
      </c>
      <c r="V3043" s="197">
        <v>-309.27239912080495</v>
      </c>
    </row>
    <row r="3044" spans="21:22">
      <c r="U3044">
        <v>3002</v>
      </c>
      <c r="V3044" s="197">
        <v>-1689.2132324138108</v>
      </c>
    </row>
    <row r="3045" spans="21:22">
      <c r="U3045">
        <v>3003</v>
      </c>
      <c r="V3045" s="197">
        <v>-1306.2192842616644</v>
      </c>
    </row>
    <row r="3046" spans="21:22">
      <c r="U3046">
        <v>3004</v>
      </c>
      <c r="V3046" s="197">
        <v>903.39136038460992</v>
      </c>
    </row>
    <row r="3047" spans="21:22">
      <c r="U3047">
        <v>3005</v>
      </c>
      <c r="V3047" s="197">
        <v>278.95439380668449</v>
      </c>
    </row>
    <row r="3048" spans="21:22">
      <c r="U3048">
        <v>3006</v>
      </c>
      <c r="V3048" s="197">
        <v>-1885.7318176907684</v>
      </c>
    </row>
    <row r="3049" spans="21:22">
      <c r="U3049">
        <v>3007</v>
      </c>
      <c r="V3049" s="197">
        <v>392.45181690463454</v>
      </c>
    </row>
    <row r="3050" spans="21:22">
      <c r="U3050">
        <v>3008</v>
      </c>
      <c r="V3050" s="197">
        <v>-725.64453215895583</v>
      </c>
    </row>
    <row r="3051" spans="21:22">
      <c r="U3051">
        <v>3009</v>
      </c>
      <c r="V3051" s="197">
        <v>277.53552160717118</v>
      </c>
    </row>
    <row r="3052" spans="21:22">
      <c r="U3052">
        <v>3010</v>
      </c>
      <c r="V3052" s="197">
        <v>737.33775608909605</v>
      </c>
    </row>
    <row r="3053" spans="21:22">
      <c r="U3053">
        <v>3011</v>
      </c>
      <c r="V3053" s="197">
        <v>437.2584429962219</v>
      </c>
    </row>
    <row r="3054" spans="21:22">
      <c r="U3054">
        <v>3012</v>
      </c>
      <c r="V3054" s="197">
        <v>557.2564588709206</v>
      </c>
    </row>
    <row r="3055" spans="21:22">
      <c r="U3055">
        <v>3013</v>
      </c>
      <c r="V3055" s="197">
        <v>921.16654138617605</v>
      </c>
    </row>
    <row r="3056" spans="21:22">
      <c r="U3056">
        <v>3014</v>
      </c>
      <c r="V3056" s="197">
        <v>933.64990826638973</v>
      </c>
    </row>
    <row r="3057" spans="21:22">
      <c r="U3057">
        <v>3015</v>
      </c>
      <c r="V3057" s="197">
        <v>-285.85479565174643</v>
      </c>
    </row>
    <row r="3058" spans="21:22">
      <c r="U3058">
        <v>3016</v>
      </c>
      <c r="V3058" s="197">
        <v>249.60100231827988</v>
      </c>
    </row>
    <row r="3059" spans="21:22">
      <c r="U3059">
        <v>3017</v>
      </c>
      <c r="V3059" s="197">
        <v>-311.4566127599918</v>
      </c>
    </row>
    <row r="3060" spans="21:22">
      <c r="U3060">
        <v>3018</v>
      </c>
      <c r="V3060" s="197">
        <v>309.76636630176995</v>
      </c>
    </row>
    <row r="3061" spans="21:22">
      <c r="U3061">
        <v>3019</v>
      </c>
      <c r="V3061" s="197">
        <v>1968.7651423344043</v>
      </c>
    </row>
    <row r="3062" spans="21:22">
      <c r="U3062">
        <v>3020</v>
      </c>
      <c r="V3062" s="197">
        <v>965.5395490987446</v>
      </c>
    </row>
    <row r="3063" spans="21:22">
      <c r="U3063">
        <v>3021</v>
      </c>
      <c r="V3063" s="197">
        <v>899.22281419693036</v>
      </c>
    </row>
    <row r="3064" spans="21:22">
      <c r="U3064">
        <v>3022</v>
      </c>
      <c r="V3064" s="197">
        <v>550.18205763956621</v>
      </c>
    </row>
    <row r="3065" spans="21:22">
      <c r="U3065">
        <v>3023</v>
      </c>
      <c r="V3065" s="197">
        <v>-952.97368418055908</v>
      </c>
    </row>
    <row r="3066" spans="21:22">
      <c r="U3066">
        <v>3024</v>
      </c>
      <c r="V3066" s="197">
        <v>39.179712930400498</v>
      </c>
    </row>
    <row r="3067" spans="21:22">
      <c r="U3067">
        <v>3025</v>
      </c>
      <c r="V3067" s="197">
        <v>-70.181874638681052</v>
      </c>
    </row>
    <row r="3068" spans="21:22">
      <c r="U3068">
        <v>3026</v>
      </c>
      <c r="V3068" s="197">
        <v>-332.85226164253157</v>
      </c>
    </row>
    <row r="3069" spans="21:22">
      <c r="U3069">
        <v>3027</v>
      </c>
      <c r="V3069" s="197">
        <v>-99.198343378594302</v>
      </c>
    </row>
    <row r="3070" spans="21:22">
      <c r="U3070">
        <v>3028</v>
      </c>
      <c r="V3070" s="197">
        <v>152.35824066722444</v>
      </c>
    </row>
    <row r="3071" spans="21:22">
      <c r="U3071">
        <v>3029</v>
      </c>
      <c r="V3071" s="197">
        <v>158.37602389527561</v>
      </c>
    </row>
    <row r="3072" spans="21:22">
      <c r="U3072">
        <v>3030</v>
      </c>
      <c r="V3072" s="197">
        <v>1580.0776120658934</v>
      </c>
    </row>
    <row r="3073" spans="21:22">
      <c r="U3073">
        <v>3031</v>
      </c>
      <c r="V3073" s="197">
        <v>-186.17843655336736</v>
      </c>
    </row>
    <row r="3074" spans="21:22">
      <c r="U3074">
        <v>3032</v>
      </c>
      <c r="V3074" s="197">
        <v>1136.0929800514696</v>
      </c>
    </row>
    <row r="3075" spans="21:22">
      <c r="U3075">
        <v>3033</v>
      </c>
      <c r="V3075" s="197">
        <v>-565.31849379563073</v>
      </c>
    </row>
    <row r="3076" spans="21:22">
      <c r="U3076">
        <v>3034</v>
      </c>
      <c r="V3076" s="197">
        <v>-1381.9243612906982</v>
      </c>
    </row>
    <row r="3077" spans="21:22">
      <c r="U3077">
        <v>3035</v>
      </c>
      <c r="V3077" s="197">
        <v>393.62632717104532</v>
      </c>
    </row>
    <row r="3078" spans="21:22">
      <c r="U3078">
        <v>3036</v>
      </c>
      <c r="V3078" s="197">
        <v>-1380.0646718498749</v>
      </c>
    </row>
    <row r="3079" spans="21:22">
      <c r="U3079">
        <v>3037</v>
      </c>
      <c r="V3079" s="197">
        <v>1326.6820448363028</v>
      </c>
    </row>
    <row r="3080" spans="21:22">
      <c r="U3080">
        <v>3038</v>
      </c>
      <c r="V3080" s="197">
        <v>1017.6103179443148</v>
      </c>
    </row>
    <row r="3081" spans="21:22">
      <c r="U3081">
        <v>3039</v>
      </c>
      <c r="V3081" s="197">
        <v>1307.5016555481641</v>
      </c>
    </row>
    <row r="3082" spans="21:22">
      <c r="U3082">
        <v>3040</v>
      </c>
      <c r="V3082" s="197">
        <v>695.89785191428018</v>
      </c>
    </row>
    <row r="3083" spans="21:22">
      <c r="U3083">
        <v>3041</v>
      </c>
      <c r="V3083" s="197">
        <v>-33.893933205581106</v>
      </c>
    </row>
    <row r="3084" spans="21:22">
      <c r="U3084">
        <v>3042</v>
      </c>
      <c r="V3084" s="197">
        <v>-196.56194305217366</v>
      </c>
    </row>
    <row r="3085" spans="21:22">
      <c r="U3085">
        <v>3043</v>
      </c>
      <c r="V3085" s="197">
        <v>-752.14883424392588</v>
      </c>
    </row>
    <row r="3086" spans="21:22">
      <c r="U3086">
        <v>3044</v>
      </c>
      <c r="V3086" s="197">
        <v>-334.22062710185202</v>
      </c>
    </row>
    <row r="3087" spans="21:22">
      <c r="U3087">
        <v>3045</v>
      </c>
      <c r="V3087" s="197">
        <v>1113.3233747467102</v>
      </c>
    </row>
    <row r="3088" spans="21:22">
      <c r="U3088">
        <v>3046</v>
      </c>
      <c r="V3088" s="197">
        <v>-908.79264948347236</v>
      </c>
    </row>
    <row r="3089" spans="21:22">
      <c r="U3089">
        <v>3047</v>
      </c>
      <c r="V3089" s="197">
        <v>336.59953302990488</v>
      </c>
    </row>
    <row r="3090" spans="21:22">
      <c r="U3090">
        <v>3048</v>
      </c>
      <c r="V3090" s="197">
        <v>1934.6412663404833</v>
      </c>
    </row>
    <row r="3091" spans="21:22">
      <c r="U3091">
        <v>3049</v>
      </c>
      <c r="V3091" s="197">
        <v>-461.10800443094621</v>
      </c>
    </row>
    <row r="3092" spans="21:22">
      <c r="U3092">
        <v>3050</v>
      </c>
      <c r="V3092" s="197">
        <v>-472.34055154604886</v>
      </c>
    </row>
    <row r="3093" spans="21:22">
      <c r="U3093">
        <v>3051</v>
      </c>
      <c r="V3093" s="197">
        <v>1861.3196510919147</v>
      </c>
    </row>
    <row r="3094" spans="21:22">
      <c r="U3094">
        <v>3052</v>
      </c>
      <c r="V3094" s="197">
        <v>97.269498187144421</v>
      </c>
    </row>
    <row r="3095" spans="21:22">
      <c r="U3095">
        <v>3053</v>
      </c>
      <c r="V3095" s="197">
        <v>465.76500704840112</v>
      </c>
    </row>
    <row r="3096" spans="21:22">
      <c r="U3096">
        <v>3054</v>
      </c>
      <c r="V3096" s="197">
        <v>649.25089761355275</v>
      </c>
    </row>
    <row r="3097" spans="21:22">
      <c r="U3097">
        <v>3055</v>
      </c>
      <c r="V3097" s="197">
        <v>-926.96895197080244</v>
      </c>
    </row>
    <row r="3098" spans="21:22">
      <c r="U3098">
        <v>3056</v>
      </c>
      <c r="V3098" s="197">
        <v>41.566044351152669</v>
      </c>
    </row>
    <row r="3099" spans="21:22">
      <c r="U3099">
        <v>3057</v>
      </c>
      <c r="V3099" s="197">
        <v>-959.18824213542075</v>
      </c>
    </row>
    <row r="3100" spans="21:22">
      <c r="U3100">
        <v>3058</v>
      </c>
      <c r="V3100" s="197">
        <v>870.20858056888119</v>
      </c>
    </row>
    <row r="3101" spans="21:22">
      <c r="U3101">
        <v>3059</v>
      </c>
      <c r="V3101" s="197">
        <v>-2364.3184048768358</v>
      </c>
    </row>
    <row r="3102" spans="21:22">
      <c r="U3102">
        <v>3060</v>
      </c>
      <c r="V3102" s="197">
        <v>-1706.2709463343331</v>
      </c>
    </row>
    <row r="3103" spans="21:22">
      <c r="U3103">
        <v>3061</v>
      </c>
      <c r="V3103" s="197">
        <v>-441.62916726039015</v>
      </c>
    </row>
    <row r="3104" spans="21:22">
      <c r="U3104">
        <v>3062</v>
      </c>
      <c r="V3104" s="197">
        <v>991.9667707892113</v>
      </c>
    </row>
    <row r="3105" spans="21:22">
      <c r="U3105">
        <v>3063</v>
      </c>
      <c r="V3105" s="197">
        <v>-1140.9886986241324</v>
      </c>
    </row>
    <row r="3106" spans="21:22">
      <c r="U3106">
        <v>3064</v>
      </c>
      <c r="V3106" s="197">
        <v>-1139.3720872736103</v>
      </c>
    </row>
    <row r="3107" spans="21:22">
      <c r="U3107">
        <v>3065</v>
      </c>
      <c r="V3107" s="197">
        <v>-368.2407327212282</v>
      </c>
    </row>
    <row r="3108" spans="21:22">
      <c r="U3108">
        <v>3066</v>
      </c>
      <c r="V3108" s="197">
        <v>-682.13316046452633</v>
      </c>
    </row>
    <row r="3109" spans="21:22">
      <c r="U3109">
        <v>3067</v>
      </c>
      <c r="V3109" s="197">
        <v>311.14604223423777</v>
      </c>
    </row>
    <row r="3110" spans="21:22">
      <c r="U3110">
        <v>3068</v>
      </c>
      <c r="V3110" s="197">
        <v>96.036800002303551</v>
      </c>
    </row>
    <row r="3111" spans="21:22">
      <c r="U3111">
        <v>3069</v>
      </c>
      <c r="V3111" s="197">
        <v>651.40053019961579</v>
      </c>
    </row>
    <row r="3112" spans="21:22">
      <c r="U3112">
        <v>3070</v>
      </c>
      <c r="V3112" s="197">
        <v>73.834276044987746</v>
      </c>
    </row>
    <row r="3113" spans="21:22">
      <c r="U3113">
        <v>3071</v>
      </c>
      <c r="V3113" s="197">
        <v>912.99915510873052</v>
      </c>
    </row>
    <row r="3114" spans="21:22">
      <c r="U3114">
        <v>3072</v>
      </c>
      <c r="V3114" s="197">
        <v>641.02297682773587</v>
      </c>
    </row>
    <row r="3115" spans="21:22">
      <c r="U3115">
        <v>3073</v>
      </c>
      <c r="V3115" s="197">
        <v>657.14420684141214</v>
      </c>
    </row>
    <row r="3116" spans="21:22">
      <c r="U3116">
        <v>3074</v>
      </c>
      <c r="V3116" s="197">
        <v>-1544.4268881776359</v>
      </c>
    </row>
    <row r="3117" spans="21:22">
      <c r="U3117">
        <v>3075</v>
      </c>
      <c r="V3117" s="197">
        <v>-1142.3199975378554</v>
      </c>
    </row>
    <row r="3118" spans="21:22">
      <c r="U3118">
        <v>3076</v>
      </c>
      <c r="V3118" s="197">
        <v>-844.80816099731373</v>
      </c>
    </row>
    <row r="3119" spans="21:22">
      <c r="U3119">
        <v>3077</v>
      </c>
      <c r="V3119" s="197">
        <v>-114.62044069134083</v>
      </c>
    </row>
    <row r="3120" spans="21:22">
      <c r="U3120">
        <v>3078</v>
      </c>
      <c r="V3120" s="197">
        <v>-465.57729845218631</v>
      </c>
    </row>
    <row r="3121" spans="21:22">
      <c r="U3121">
        <v>3079</v>
      </c>
      <c r="V3121" s="197">
        <v>-86.122563803772834</v>
      </c>
    </row>
    <row r="3122" spans="21:22">
      <c r="U3122">
        <v>3080</v>
      </c>
      <c r="V3122" s="197">
        <v>-73.438218078465923</v>
      </c>
    </row>
    <row r="3123" spans="21:22">
      <c r="U3123">
        <v>3081</v>
      </c>
      <c r="V3123" s="197">
        <v>2294.1682741889203</v>
      </c>
    </row>
    <row r="3124" spans="21:22">
      <c r="U3124">
        <v>3082</v>
      </c>
      <c r="V3124" s="197">
        <v>-349.51936987391929</v>
      </c>
    </row>
    <row r="3125" spans="21:22">
      <c r="U3125">
        <v>3083</v>
      </c>
      <c r="V3125" s="197">
        <v>-440.03658228507783</v>
      </c>
    </row>
    <row r="3126" spans="21:22">
      <c r="U3126">
        <v>3084</v>
      </c>
      <c r="V3126" s="197">
        <v>216.9810746028902</v>
      </c>
    </row>
    <row r="3127" spans="21:22">
      <c r="U3127">
        <v>3085</v>
      </c>
      <c r="V3127" s="197">
        <v>652.70206035557021</v>
      </c>
    </row>
    <row r="3128" spans="21:22">
      <c r="U3128">
        <v>3086</v>
      </c>
      <c r="V3128" s="197">
        <v>1008.2696102439163</v>
      </c>
    </row>
    <row r="3129" spans="21:22">
      <c r="U3129">
        <v>3087</v>
      </c>
      <c r="V3129" s="197">
        <v>-74.083853197205229</v>
      </c>
    </row>
    <row r="3130" spans="21:22">
      <c r="U3130">
        <v>3088</v>
      </c>
      <c r="V3130" s="197">
        <v>1054.949765119627</v>
      </c>
    </row>
    <row r="3131" spans="21:22">
      <c r="U3131">
        <v>3089</v>
      </c>
      <c r="V3131" s="197">
        <v>3014.4188590972558</v>
      </c>
    </row>
    <row r="3132" spans="21:22">
      <c r="U3132">
        <v>3090</v>
      </c>
      <c r="V3132" s="197">
        <v>-493.23014800728089</v>
      </c>
    </row>
    <row r="3133" spans="21:22">
      <c r="U3133">
        <v>3091</v>
      </c>
      <c r="V3133" s="197">
        <v>-471.8943315968649</v>
      </c>
    </row>
    <row r="3134" spans="21:22">
      <c r="U3134">
        <v>3092</v>
      </c>
      <c r="V3134" s="197">
        <v>491.5165654224146</v>
      </c>
    </row>
    <row r="3135" spans="21:22">
      <c r="U3135">
        <v>3093</v>
      </c>
      <c r="V3135" s="197">
        <v>-645.46418168042487</v>
      </c>
    </row>
    <row r="3136" spans="21:22">
      <c r="U3136">
        <v>3094</v>
      </c>
      <c r="V3136" s="197">
        <v>-691.10522578100972</v>
      </c>
    </row>
    <row r="3137" spans="21:22">
      <c r="U3137">
        <v>3095</v>
      </c>
      <c r="V3137" s="197">
        <v>-262.42230171215994</v>
      </c>
    </row>
    <row r="3138" spans="21:22">
      <c r="U3138">
        <v>3096</v>
      </c>
      <c r="V3138" s="197">
        <v>-31.325778011556338</v>
      </c>
    </row>
    <row r="3139" spans="21:22">
      <c r="U3139">
        <v>3097</v>
      </c>
      <c r="V3139" s="197">
        <v>1143.084836450581</v>
      </c>
    </row>
    <row r="3140" spans="21:22">
      <c r="U3140">
        <v>3098</v>
      </c>
      <c r="V3140" s="197">
        <v>-1494.1594195811365</v>
      </c>
    </row>
    <row r="3141" spans="21:22">
      <c r="U3141">
        <v>3099</v>
      </c>
      <c r="V3141" s="197">
        <v>981.96058821841689</v>
      </c>
    </row>
    <row r="3142" spans="21:22">
      <c r="U3142">
        <v>3100</v>
      </c>
      <c r="V3142" s="197">
        <v>1047.3094811902567</v>
      </c>
    </row>
    <row r="3143" spans="21:22">
      <c r="U3143">
        <v>3101</v>
      </c>
      <c r="V3143" s="197">
        <v>646.40273296591317</v>
      </c>
    </row>
    <row r="3144" spans="21:22">
      <c r="U3144">
        <v>3102</v>
      </c>
      <c r="V3144" s="197">
        <v>1134.9574953429744</v>
      </c>
    </row>
    <row r="3145" spans="21:22">
      <c r="U3145">
        <v>3103</v>
      </c>
      <c r="V3145" s="197">
        <v>1009.4935450047722</v>
      </c>
    </row>
    <row r="3146" spans="21:22">
      <c r="U3146">
        <v>3104</v>
      </c>
      <c r="V3146" s="197">
        <v>480.21063372940381</v>
      </c>
    </row>
    <row r="3147" spans="21:22">
      <c r="U3147">
        <v>3105</v>
      </c>
      <c r="V3147" s="197">
        <v>1232.7315785274332</v>
      </c>
    </row>
    <row r="3148" spans="21:22">
      <c r="U3148">
        <v>3106</v>
      </c>
      <c r="V3148" s="197">
        <v>560.91129216761715</v>
      </c>
    </row>
    <row r="3149" spans="21:22">
      <c r="U3149">
        <v>3107</v>
      </c>
      <c r="V3149" s="197">
        <v>447.87500224922633</v>
      </c>
    </row>
    <row r="3150" spans="21:22">
      <c r="U3150">
        <v>3108</v>
      </c>
      <c r="V3150" s="197">
        <v>-82.6817608015715</v>
      </c>
    </row>
    <row r="3151" spans="21:22">
      <c r="U3151">
        <v>3109</v>
      </c>
      <c r="V3151" s="197">
        <v>227.45529506703792</v>
      </c>
    </row>
    <row r="3152" spans="21:22">
      <c r="U3152">
        <v>3110</v>
      </c>
      <c r="V3152" s="197">
        <v>220.42019198688499</v>
      </c>
    </row>
    <row r="3153" spans="21:22">
      <c r="U3153">
        <v>3111</v>
      </c>
      <c r="V3153" s="197">
        <v>666.04001069435776</v>
      </c>
    </row>
    <row r="3154" spans="21:22">
      <c r="U3154">
        <v>3112</v>
      </c>
      <c r="V3154" s="197">
        <v>1394.6334413695472</v>
      </c>
    </row>
    <row r="3155" spans="21:22">
      <c r="U3155">
        <v>3113</v>
      </c>
      <c r="V3155" s="197">
        <v>-1926.198755345328</v>
      </c>
    </row>
    <row r="3156" spans="21:22">
      <c r="U3156">
        <v>3114</v>
      </c>
      <c r="V3156" s="197">
        <v>-1364.5850292477244</v>
      </c>
    </row>
    <row r="3157" spans="21:22">
      <c r="U3157">
        <v>3115</v>
      </c>
      <c r="V3157" s="197">
        <v>443.07447080966028</v>
      </c>
    </row>
    <row r="3158" spans="21:22">
      <c r="U3158">
        <v>3116</v>
      </c>
      <c r="V3158" s="197">
        <v>2372.9206895385473</v>
      </c>
    </row>
    <row r="3159" spans="21:22">
      <c r="U3159">
        <v>3117</v>
      </c>
      <c r="V3159" s="197">
        <v>392.96137970755973</v>
      </c>
    </row>
    <row r="3160" spans="21:22">
      <c r="U3160">
        <v>3118</v>
      </c>
      <c r="V3160" s="197">
        <v>874.15487623777221</v>
      </c>
    </row>
    <row r="3161" spans="21:22">
      <c r="U3161">
        <v>3119</v>
      </c>
      <c r="V3161" s="197">
        <v>-973.45214706260867</v>
      </c>
    </row>
    <row r="3162" spans="21:22">
      <c r="U3162">
        <v>3120</v>
      </c>
      <c r="V3162" s="197">
        <v>-804.65424888515145</v>
      </c>
    </row>
    <row r="3163" spans="21:22">
      <c r="U3163">
        <v>3121</v>
      </c>
      <c r="V3163" s="197">
        <v>-1595.483385187986</v>
      </c>
    </row>
    <row r="3164" spans="21:22">
      <c r="U3164">
        <v>3122</v>
      </c>
      <c r="V3164" s="197">
        <v>-1577.9116410885583</v>
      </c>
    </row>
    <row r="3165" spans="21:22">
      <c r="U3165">
        <v>3123</v>
      </c>
      <c r="V3165" s="197">
        <v>-1609.3306394369281</v>
      </c>
    </row>
    <row r="3166" spans="21:22">
      <c r="U3166">
        <v>3124</v>
      </c>
      <c r="V3166" s="197">
        <v>800.97127795166648</v>
      </c>
    </row>
    <row r="3167" spans="21:22">
      <c r="U3167">
        <v>3125</v>
      </c>
      <c r="V3167" s="197">
        <v>1172.5399201061987</v>
      </c>
    </row>
    <row r="3168" spans="21:22">
      <c r="U3168">
        <v>3126</v>
      </c>
      <c r="V3168" s="197">
        <v>-193.10102367818973</v>
      </c>
    </row>
    <row r="3169" spans="21:22">
      <c r="U3169">
        <v>3127</v>
      </c>
      <c r="V3169" s="197">
        <v>269.88263397252081</v>
      </c>
    </row>
    <row r="3170" spans="21:22">
      <c r="U3170">
        <v>3128</v>
      </c>
      <c r="V3170" s="197">
        <v>-1762.6200706881125</v>
      </c>
    </row>
    <row r="3171" spans="21:22">
      <c r="U3171">
        <v>3129</v>
      </c>
      <c r="V3171" s="197">
        <v>772.74675447553</v>
      </c>
    </row>
    <row r="3172" spans="21:22">
      <c r="U3172">
        <v>3130</v>
      </c>
      <c r="V3172" s="197">
        <v>-333.23792685566553</v>
      </c>
    </row>
    <row r="3173" spans="21:22">
      <c r="U3173">
        <v>3131</v>
      </c>
      <c r="V3173" s="197">
        <v>-181.67192487601193</v>
      </c>
    </row>
    <row r="3174" spans="21:22">
      <c r="U3174">
        <v>3132</v>
      </c>
      <c r="V3174" s="197">
        <v>-945.73513897052817</v>
      </c>
    </row>
    <row r="3175" spans="21:22">
      <c r="U3175">
        <v>3133</v>
      </c>
      <c r="V3175" s="197">
        <v>-310.22046583344564</v>
      </c>
    </row>
    <row r="3176" spans="21:22">
      <c r="U3176">
        <v>3134</v>
      </c>
      <c r="V3176" s="197">
        <v>-574.86320228913019</v>
      </c>
    </row>
    <row r="3177" spans="21:22">
      <c r="U3177">
        <v>3135</v>
      </c>
      <c r="V3177" s="197">
        <v>1235.1317046438164</v>
      </c>
    </row>
    <row r="3178" spans="21:22">
      <c r="U3178">
        <v>3136</v>
      </c>
      <c r="V3178" s="197">
        <v>-1440.6996577159234</v>
      </c>
    </row>
    <row r="3179" spans="21:22">
      <c r="U3179">
        <v>3137</v>
      </c>
      <c r="V3179" s="197">
        <v>-1025.9003387100104</v>
      </c>
    </row>
    <row r="3180" spans="21:22">
      <c r="U3180">
        <v>3138</v>
      </c>
      <c r="V3180" s="197">
        <v>-322.17250666231456</v>
      </c>
    </row>
    <row r="3181" spans="21:22">
      <c r="U3181">
        <v>3139</v>
      </c>
      <c r="V3181" s="197">
        <v>-349.91503659452985</v>
      </c>
    </row>
    <row r="3182" spans="21:22">
      <c r="U3182">
        <v>3140</v>
      </c>
      <c r="V3182" s="197">
        <v>374.04631199512357</v>
      </c>
    </row>
    <row r="3183" spans="21:22">
      <c r="U3183">
        <v>3141</v>
      </c>
      <c r="V3183" s="197">
        <v>1069.0414270833937</v>
      </c>
    </row>
    <row r="3184" spans="21:22">
      <c r="U3184">
        <v>3142</v>
      </c>
      <c r="V3184" s="197">
        <v>120.63476491126464</v>
      </c>
    </row>
    <row r="3185" spans="21:22">
      <c r="U3185">
        <v>3143</v>
      </c>
      <c r="V3185" s="197">
        <v>-1363.3563070387333</v>
      </c>
    </row>
    <row r="3186" spans="21:22">
      <c r="U3186">
        <v>3144</v>
      </c>
      <c r="V3186" s="197">
        <v>1095.1082336359893</v>
      </c>
    </row>
    <row r="3187" spans="21:22">
      <c r="U3187">
        <v>3145</v>
      </c>
      <c r="V3187" s="197">
        <v>1056.4685888051429</v>
      </c>
    </row>
    <row r="3188" spans="21:22">
      <c r="U3188">
        <v>3146</v>
      </c>
      <c r="V3188" s="197">
        <v>1185.8403444273638</v>
      </c>
    </row>
    <row r="3189" spans="21:22">
      <c r="U3189">
        <v>3147</v>
      </c>
      <c r="V3189" s="197">
        <v>1965.2924548400551</v>
      </c>
    </row>
    <row r="3190" spans="21:22">
      <c r="U3190">
        <v>3148</v>
      </c>
      <c r="V3190" s="197">
        <v>-857.75732663154895</v>
      </c>
    </row>
    <row r="3191" spans="21:22">
      <c r="U3191">
        <v>3149</v>
      </c>
      <c r="V3191" s="197">
        <v>-1888.0507782814223</v>
      </c>
    </row>
    <row r="3192" spans="21:22">
      <c r="U3192">
        <v>3150</v>
      </c>
      <c r="V3192" s="197">
        <v>-1480.5810326562992</v>
      </c>
    </row>
    <row r="3193" spans="21:22">
      <c r="U3193">
        <v>3151</v>
      </c>
      <c r="V3193" s="197">
        <v>276.99168245619421</v>
      </c>
    </row>
    <row r="3194" spans="21:22">
      <c r="U3194">
        <v>3152</v>
      </c>
      <c r="V3194" s="197">
        <v>1126.5667237462512</v>
      </c>
    </row>
    <row r="3195" spans="21:22">
      <c r="U3195">
        <v>3153</v>
      </c>
      <c r="V3195" s="197">
        <v>-148.90085955640953</v>
      </c>
    </row>
    <row r="3196" spans="21:22">
      <c r="U3196">
        <v>3154</v>
      </c>
      <c r="V3196" s="197">
        <v>1568.4349141755265</v>
      </c>
    </row>
    <row r="3197" spans="21:22">
      <c r="U3197">
        <v>3155</v>
      </c>
      <c r="V3197" s="197">
        <v>-1103.4793700988539</v>
      </c>
    </row>
    <row r="3198" spans="21:22">
      <c r="U3198">
        <v>3156</v>
      </c>
      <c r="V3198" s="197">
        <v>85.344614931871376</v>
      </c>
    </row>
    <row r="3199" spans="21:22">
      <c r="U3199">
        <v>3157</v>
      </c>
      <c r="V3199" s="197">
        <v>1265.2866053802504</v>
      </c>
    </row>
    <row r="3200" spans="21:22">
      <c r="U3200">
        <v>3158</v>
      </c>
      <c r="V3200" s="197">
        <v>827.05313807578455</v>
      </c>
    </row>
    <row r="3201" spans="21:22">
      <c r="U3201">
        <v>3159</v>
      </c>
      <c r="V3201" s="197">
        <v>-641.12750532128166</v>
      </c>
    </row>
    <row r="3202" spans="21:22">
      <c r="U3202">
        <v>3160</v>
      </c>
      <c r="V3202" s="197">
        <v>-920.81577748536961</v>
      </c>
    </row>
    <row r="3203" spans="21:22">
      <c r="U3203">
        <v>3161</v>
      </c>
      <c r="V3203" s="197">
        <v>79.105045541544683</v>
      </c>
    </row>
    <row r="3204" spans="21:22">
      <c r="U3204">
        <v>3162</v>
      </c>
      <c r="V3204" s="197">
        <v>-944.07766465891086</v>
      </c>
    </row>
    <row r="3205" spans="21:22">
      <c r="U3205">
        <v>3163</v>
      </c>
      <c r="V3205" s="197">
        <v>1303.0111679598606</v>
      </c>
    </row>
    <row r="3206" spans="21:22">
      <c r="U3206">
        <v>3164</v>
      </c>
      <c r="V3206" s="197">
        <v>61.237518534871214</v>
      </c>
    </row>
    <row r="3207" spans="21:22">
      <c r="U3207">
        <v>3165</v>
      </c>
      <c r="V3207" s="197">
        <v>45.32401197575841</v>
      </c>
    </row>
    <row r="3208" spans="21:22">
      <c r="U3208">
        <v>3166</v>
      </c>
      <c r="V3208" s="197">
        <v>1900.7103090635187</v>
      </c>
    </row>
    <row r="3209" spans="21:22">
      <c r="U3209">
        <v>3167</v>
      </c>
      <c r="V3209" s="197">
        <v>1855.3065864991338</v>
      </c>
    </row>
    <row r="3210" spans="21:22">
      <c r="U3210">
        <v>3168</v>
      </c>
      <c r="V3210" s="197">
        <v>-1107.1195552874226</v>
      </c>
    </row>
    <row r="3211" spans="21:22">
      <c r="U3211">
        <v>3169</v>
      </c>
      <c r="V3211" s="197">
        <v>-2263.4947190365278</v>
      </c>
    </row>
    <row r="3212" spans="21:22">
      <c r="U3212">
        <v>3170</v>
      </c>
      <c r="V3212" s="197">
        <v>50.035679388195604</v>
      </c>
    </row>
    <row r="3213" spans="21:22">
      <c r="U3213">
        <v>3171</v>
      </c>
      <c r="V3213" s="197">
        <v>969.67958347896592</v>
      </c>
    </row>
    <row r="3214" spans="21:22">
      <c r="U3214">
        <v>3172</v>
      </c>
      <c r="V3214" s="197">
        <v>-311.40877998899896</v>
      </c>
    </row>
    <row r="3215" spans="21:22">
      <c r="U3215">
        <v>3173</v>
      </c>
      <c r="V3215" s="197">
        <v>-210.36031417802872</v>
      </c>
    </row>
    <row r="3216" spans="21:22">
      <c r="U3216">
        <v>3174</v>
      </c>
      <c r="V3216" s="197">
        <v>1057.834012534184</v>
      </c>
    </row>
    <row r="3217" spans="21:22">
      <c r="U3217">
        <v>3175</v>
      </c>
      <c r="V3217" s="197">
        <v>-1110.8821712214828</v>
      </c>
    </row>
    <row r="3218" spans="21:22">
      <c r="U3218">
        <v>3176</v>
      </c>
      <c r="V3218" s="197">
        <v>-24.251433211397028</v>
      </c>
    </row>
    <row r="3219" spans="21:22">
      <c r="U3219">
        <v>3177</v>
      </c>
      <c r="V3219" s="197">
        <v>-401.81212428600099</v>
      </c>
    </row>
    <row r="3220" spans="21:22">
      <c r="U3220">
        <v>3178</v>
      </c>
      <c r="V3220" s="197">
        <v>95.481551953378599</v>
      </c>
    </row>
    <row r="3221" spans="21:22">
      <c r="U3221">
        <v>3179</v>
      </c>
      <c r="V3221" s="197">
        <v>-889.1209436721756</v>
      </c>
    </row>
    <row r="3222" spans="21:22">
      <c r="U3222">
        <v>3180</v>
      </c>
      <c r="V3222" s="197">
        <v>1010.5344748722632</v>
      </c>
    </row>
    <row r="3223" spans="21:22">
      <c r="U3223">
        <v>3181</v>
      </c>
      <c r="V3223" s="197">
        <v>966.10797411026169</v>
      </c>
    </row>
    <row r="3224" spans="21:22">
      <c r="U3224">
        <v>3182</v>
      </c>
      <c r="V3224" s="197">
        <v>1114.9257028715176</v>
      </c>
    </row>
    <row r="3225" spans="21:22">
      <c r="U3225">
        <v>3183</v>
      </c>
      <c r="V3225" s="197">
        <v>1037.281201394158</v>
      </c>
    </row>
    <row r="3226" spans="21:22">
      <c r="U3226">
        <v>3184</v>
      </c>
      <c r="V3226" s="197">
        <v>555.11414680949088</v>
      </c>
    </row>
    <row r="3227" spans="21:22">
      <c r="U3227">
        <v>3185</v>
      </c>
      <c r="V3227" s="197">
        <v>-1407.507803122219</v>
      </c>
    </row>
    <row r="3228" spans="21:22">
      <c r="U3228">
        <v>3186</v>
      </c>
      <c r="V3228" s="197">
        <v>-473.36483457224057</v>
      </c>
    </row>
    <row r="3229" spans="21:22">
      <c r="U3229">
        <v>3187</v>
      </c>
      <c r="V3229" s="197">
        <v>920.39079754325417</v>
      </c>
    </row>
    <row r="3230" spans="21:22">
      <c r="U3230">
        <v>3188</v>
      </c>
      <c r="V3230" s="197">
        <v>-318.02586438867775</v>
      </c>
    </row>
    <row r="3231" spans="21:22">
      <c r="U3231">
        <v>3189</v>
      </c>
      <c r="V3231" s="197">
        <v>683.93453906962168</v>
      </c>
    </row>
    <row r="3232" spans="21:22">
      <c r="U3232">
        <v>3190</v>
      </c>
      <c r="V3232" s="197">
        <v>287.449215753717</v>
      </c>
    </row>
    <row r="3233" spans="21:22">
      <c r="U3233">
        <v>3191</v>
      </c>
      <c r="V3233" s="197">
        <v>571.99466691047348</v>
      </c>
    </row>
    <row r="3234" spans="21:22">
      <c r="U3234">
        <v>3192</v>
      </c>
      <c r="V3234" s="197">
        <v>-181.42346176607316</v>
      </c>
    </row>
    <row r="3235" spans="21:22">
      <c r="U3235">
        <v>3193</v>
      </c>
      <c r="V3235" s="197">
        <v>1462.7023416518068</v>
      </c>
    </row>
    <row r="3236" spans="21:22">
      <c r="U3236">
        <v>3194</v>
      </c>
      <c r="V3236" s="197">
        <v>544.80326407529378</v>
      </c>
    </row>
    <row r="3237" spans="21:22">
      <c r="U3237">
        <v>3195</v>
      </c>
      <c r="V3237" s="197">
        <v>1095.3893522087599</v>
      </c>
    </row>
    <row r="3238" spans="21:22">
      <c r="U3238">
        <v>3196</v>
      </c>
      <c r="V3238" s="197">
        <v>-795.52348880603608</v>
      </c>
    </row>
    <row r="3239" spans="21:22">
      <c r="U3239">
        <v>3197</v>
      </c>
      <c r="V3239" s="197">
        <v>542.70796959176505</v>
      </c>
    </row>
    <row r="3240" spans="21:22">
      <c r="U3240">
        <v>3198</v>
      </c>
      <c r="V3240" s="197">
        <v>282.01338053385223</v>
      </c>
    </row>
    <row r="3241" spans="21:22">
      <c r="U3241">
        <v>3199</v>
      </c>
      <c r="V3241" s="197">
        <v>-822.33961385385442</v>
      </c>
    </row>
    <row r="3242" spans="21:22">
      <c r="U3242">
        <v>3200</v>
      </c>
      <c r="V3242" s="197">
        <v>-881.94951218920482</v>
      </c>
    </row>
    <row r="3243" spans="21:22">
      <c r="U3243">
        <v>3201</v>
      </c>
      <c r="V3243" s="197">
        <v>-1119.3319009545794</v>
      </c>
    </row>
    <row r="3244" spans="21:22">
      <c r="U3244">
        <v>3202</v>
      </c>
      <c r="V3244" s="197">
        <v>-1107.4788149396352</v>
      </c>
    </row>
    <row r="3245" spans="21:22">
      <c r="U3245">
        <v>3203</v>
      </c>
      <c r="V3245" s="197">
        <v>-534.55455453454692</v>
      </c>
    </row>
    <row r="3246" spans="21:22">
      <c r="U3246">
        <v>3204</v>
      </c>
      <c r="V3246" s="197">
        <v>1003.5410220928309</v>
      </c>
    </row>
    <row r="3247" spans="21:22">
      <c r="U3247">
        <v>3205</v>
      </c>
      <c r="V3247" s="197">
        <v>157.54170176449992</v>
      </c>
    </row>
    <row r="3248" spans="21:22">
      <c r="U3248">
        <v>3206</v>
      </c>
      <c r="V3248" s="197">
        <v>319.16084574280836</v>
      </c>
    </row>
    <row r="3249" spans="21:22">
      <c r="U3249">
        <v>3207</v>
      </c>
      <c r="V3249" s="197">
        <v>-78.511021178677851</v>
      </c>
    </row>
    <row r="3250" spans="21:22">
      <c r="U3250">
        <v>3208</v>
      </c>
      <c r="V3250" s="197">
        <v>137.5894658839309</v>
      </c>
    </row>
    <row r="3251" spans="21:22">
      <c r="U3251">
        <v>3209</v>
      </c>
      <c r="V3251" s="197">
        <v>1524.2735269302091</v>
      </c>
    </row>
    <row r="3252" spans="21:22">
      <c r="U3252">
        <v>3210</v>
      </c>
      <c r="V3252" s="197">
        <v>-1235.0445440456651</v>
      </c>
    </row>
    <row r="3253" spans="21:22">
      <c r="U3253">
        <v>3211</v>
      </c>
      <c r="V3253" s="197">
        <v>1186.9379329266137</v>
      </c>
    </row>
    <row r="3254" spans="21:22">
      <c r="U3254">
        <v>3212</v>
      </c>
      <c r="V3254" s="197">
        <v>676.96867480654714</v>
      </c>
    </row>
    <row r="3255" spans="21:22">
      <c r="U3255">
        <v>3213</v>
      </c>
      <c r="V3255" s="197">
        <v>905.03102766238294</v>
      </c>
    </row>
    <row r="3256" spans="21:22">
      <c r="U3256">
        <v>3214</v>
      </c>
      <c r="V3256" s="197">
        <v>-246.74802514189179</v>
      </c>
    </row>
    <row r="3257" spans="21:22">
      <c r="U3257">
        <v>3215</v>
      </c>
      <c r="V3257" s="197">
        <v>-882.39117276605771</v>
      </c>
    </row>
    <row r="3258" spans="21:22">
      <c r="U3258">
        <v>3216</v>
      </c>
      <c r="V3258" s="197">
        <v>93.775078938065775</v>
      </c>
    </row>
    <row r="3259" spans="21:22">
      <c r="U3259">
        <v>3217</v>
      </c>
      <c r="V3259" s="197">
        <v>0.72765796540589633</v>
      </c>
    </row>
    <row r="3260" spans="21:22">
      <c r="U3260">
        <v>3218</v>
      </c>
      <c r="V3260" s="197">
        <v>861.50043498827358</v>
      </c>
    </row>
    <row r="3261" spans="21:22">
      <c r="U3261">
        <v>3219</v>
      </c>
      <c r="V3261" s="197">
        <v>413.7893027860523</v>
      </c>
    </row>
    <row r="3262" spans="21:22">
      <c r="U3262">
        <v>3220</v>
      </c>
      <c r="V3262" s="197">
        <v>624.57004294840181</v>
      </c>
    </row>
    <row r="3263" spans="21:22">
      <c r="U3263">
        <v>3221</v>
      </c>
      <c r="V3263" s="197">
        <v>602.63524800577352</v>
      </c>
    </row>
    <row r="3264" spans="21:22">
      <c r="U3264">
        <v>3222</v>
      </c>
      <c r="V3264" s="197">
        <v>-361.69149422609775</v>
      </c>
    </row>
    <row r="3265" spans="21:22">
      <c r="U3265">
        <v>3223</v>
      </c>
      <c r="V3265" s="197">
        <v>1171.4366087019498</v>
      </c>
    </row>
    <row r="3266" spans="21:22">
      <c r="U3266">
        <v>3224</v>
      </c>
      <c r="V3266" s="197">
        <v>641.83722282344615</v>
      </c>
    </row>
    <row r="3267" spans="21:22">
      <c r="U3267">
        <v>3225</v>
      </c>
      <c r="V3267" s="197">
        <v>-190.31653203171675</v>
      </c>
    </row>
    <row r="3268" spans="21:22">
      <c r="U3268">
        <v>3226</v>
      </c>
      <c r="V3268" s="197">
        <v>-367.19746588612264</v>
      </c>
    </row>
    <row r="3269" spans="21:22">
      <c r="U3269">
        <v>3227</v>
      </c>
      <c r="V3269" s="197">
        <v>-528.74077330452246</v>
      </c>
    </row>
    <row r="3270" spans="21:22">
      <c r="U3270">
        <v>3228</v>
      </c>
      <c r="V3270" s="197">
        <v>568.6826592162904</v>
      </c>
    </row>
    <row r="3271" spans="21:22">
      <c r="U3271">
        <v>3229</v>
      </c>
      <c r="V3271" s="197">
        <v>-1213.2523319619802</v>
      </c>
    </row>
    <row r="3272" spans="21:22">
      <c r="U3272">
        <v>3230</v>
      </c>
      <c r="V3272" s="197">
        <v>-328.93554030822872</v>
      </c>
    </row>
    <row r="3273" spans="21:22">
      <c r="U3273">
        <v>3231</v>
      </c>
      <c r="V3273" s="197">
        <v>644.3299533035854</v>
      </c>
    </row>
    <row r="3274" spans="21:22">
      <c r="U3274">
        <v>3232</v>
      </c>
      <c r="V3274" s="197">
        <v>-55.943758708963401</v>
      </c>
    </row>
    <row r="3275" spans="21:22">
      <c r="U3275">
        <v>3233</v>
      </c>
      <c r="V3275" s="197">
        <v>-706.05539007005882</v>
      </c>
    </row>
    <row r="3276" spans="21:22">
      <c r="U3276">
        <v>3234</v>
      </c>
      <c r="V3276" s="197">
        <v>644.91834750933367</v>
      </c>
    </row>
    <row r="3277" spans="21:22">
      <c r="U3277">
        <v>3235</v>
      </c>
      <c r="V3277" s="197">
        <v>734.80936295418746</v>
      </c>
    </row>
    <row r="3278" spans="21:22">
      <c r="U3278">
        <v>3236</v>
      </c>
      <c r="V3278" s="197">
        <v>-1828.384676154257</v>
      </c>
    </row>
    <row r="3279" spans="21:22">
      <c r="U3279">
        <v>3237</v>
      </c>
      <c r="V3279" s="197">
        <v>346.66816966582644</v>
      </c>
    </row>
    <row r="3280" spans="21:22">
      <c r="U3280">
        <v>3238</v>
      </c>
      <c r="V3280" s="197">
        <v>1056.2729560651253</v>
      </c>
    </row>
    <row r="3281" spans="21:22">
      <c r="U3281">
        <v>3239</v>
      </c>
      <c r="V3281" s="197">
        <v>695.14182125674188</v>
      </c>
    </row>
    <row r="3282" spans="21:22">
      <c r="U3282">
        <v>3240</v>
      </c>
      <c r="V3282" s="197">
        <v>945.52120882862596</v>
      </c>
    </row>
    <row r="3283" spans="21:22">
      <c r="U3283">
        <v>3241</v>
      </c>
      <c r="V3283" s="197">
        <v>281.68324728468718</v>
      </c>
    </row>
    <row r="3284" spans="21:22">
      <c r="U3284">
        <v>3242</v>
      </c>
      <c r="V3284" s="197">
        <v>-35.692926378194869</v>
      </c>
    </row>
    <row r="3285" spans="21:22">
      <c r="U3285">
        <v>3243</v>
      </c>
      <c r="V3285" s="197">
        <v>434.8138660111411</v>
      </c>
    </row>
    <row r="3286" spans="21:22">
      <c r="U3286">
        <v>3244</v>
      </c>
      <c r="V3286" s="197">
        <v>-17.414430632897506</v>
      </c>
    </row>
    <row r="3287" spans="21:22">
      <c r="U3287">
        <v>3245</v>
      </c>
      <c r="V3287" s="197">
        <v>143.12933805459215</v>
      </c>
    </row>
    <row r="3288" spans="21:22">
      <c r="U3288">
        <v>3246</v>
      </c>
      <c r="V3288" s="197">
        <v>-1511.493884752213</v>
      </c>
    </row>
    <row r="3289" spans="21:22">
      <c r="U3289">
        <v>3247</v>
      </c>
      <c r="V3289" s="197">
        <v>427.05884251092067</v>
      </c>
    </row>
    <row r="3290" spans="21:22">
      <c r="U3290">
        <v>3248</v>
      </c>
      <c r="V3290" s="197">
        <v>-835.51514068434653</v>
      </c>
    </row>
    <row r="3291" spans="21:22">
      <c r="U3291">
        <v>3249</v>
      </c>
      <c r="V3291" s="197">
        <v>181.61454699422865</v>
      </c>
    </row>
    <row r="3292" spans="21:22">
      <c r="U3292">
        <v>3250</v>
      </c>
      <c r="V3292" s="197">
        <v>395.38979848148352</v>
      </c>
    </row>
    <row r="3293" spans="21:22">
      <c r="U3293">
        <v>3251</v>
      </c>
      <c r="V3293" s="197">
        <v>1475.0052630695623</v>
      </c>
    </row>
    <row r="3294" spans="21:22">
      <c r="U3294">
        <v>3252</v>
      </c>
      <c r="V3294" s="197">
        <v>-364.09395037542492</v>
      </c>
    </row>
    <row r="3295" spans="21:22">
      <c r="U3295">
        <v>3253</v>
      </c>
      <c r="V3295" s="197">
        <v>1082.6585857014024</v>
      </c>
    </row>
    <row r="3296" spans="21:22">
      <c r="U3296">
        <v>3254</v>
      </c>
      <c r="V3296" s="197">
        <v>-158.57641974786691</v>
      </c>
    </row>
    <row r="3297" spans="21:22">
      <c r="U3297">
        <v>3255</v>
      </c>
      <c r="V3297" s="197">
        <v>-1047.3114889752203</v>
      </c>
    </row>
    <row r="3298" spans="21:22">
      <c r="U3298">
        <v>3256</v>
      </c>
      <c r="V3298" s="197">
        <v>-1033.9719474887038</v>
      </c>
    </row>
    <row r="3299" spans="21:22">
      <c r="U3299">
        <v>3257</v>
      </c>
      <c r="V3299" s="197">
        <v>345.23753510368419</v>
      </c>
    </row>
    <row r="3300" spans="21:22">
      <c r="U3300">
        <v>3258</v>
      </c>
      <c r="V3300" s="197">
        <v>-1515.5953449892847</v>
      </c>
    </row>
    <row r="3301" spans="21:22">
      <c r="U3301">
        <v>3259</v>
      </c>
      <c r="V3301" s="197">
        <v>245.75649084838909</v>
      </c>
    </row>
    <row r="3302" spans="21:22">
      <c r="U3302">
        <v>3260</v>
      </c>
      <c r="V3302" s="197">
        <v>574.58868186587142</v>
      </c>
    </row>
    <row r="3303" spans="21:22">
      <c r="U3303">
        <v>3261</v>
      </c>
      <c r="V3303" s="197">
        <v>401.56124876916232</v>
      </c>
    </row>
    <row r="3304" spans="21:22">
      <c r="U3304">
        <v>3262</v>
      </c>
      <c r="V3304" s="197">
        <v>840.73409179998021</v>
      </c>
    </row>
    <row r="3305" spans="21:22">
      <c r="U3305">
        <v>3263</v>
      </c>
      <c r="V3305" s="197">
        <v>899.93955818380891</v>
      </c>
    </row>
    <row r="3306" spans="21:22">
      <c r="U3306">
        <v>3264</v>
      </c>
      <c r="V3306" s="197">
        <v>452.68180484673763</v>
      </c>
    </row>
    <row r="3307" spans="21:22">
      <c r="U3307">
        <v>3265</v>
      </c>
      <c r="V3307" s="197">
        <v>862.12817332545546</v>
      </c>
    </row>
    <row r="3308" spans="21:22">
      <c r="U3308">
        <v>3266</v>
      </c>
      <c r="V3308" s="197">
        <v>1157.8365050784942</v>
      </c>
    </row>
    <row r="3309" spans="21:22">
      <c r="U3309">
        <v>3267</v>
      </c>
      <c r="V3309" s="197">
        <v>-579.66027693533715</v>
      </c>
    </row>
    <row r="3310" spans="21:22">
      <c r="U3310">
        <v>3268</v>
      </c>
      <c r="V3310" s="197">
        <v>-807.39932336276888</v>
      </c>
    </row>
    <row r="3311" spans="21:22">
      <c r="U3311">
        <v>3269</v>
      </c>
      <c r="V3311" s="197">
        <v>148.7703239462474</v>
      </c>
    </row>
    <row r="3312" spans="21:22">
      <c r="U3312">
        <v>3270</v>
      </c>
      <c r="V3312" s="197">
        <v>-117.25556863107232</v>
      </c>
    </row>
    <row r="3313" spans="21:22">
      <c r="U3313">
        <v>3271</v>
      </c>
      <c r="V3313" s="197">
        <v>-1455.9372611503691</v>
      </c>
    </row>
    <row r="3314" spans="21:22">
      <c r="U3314">
        <v>3272</v>
      </c>
      <c r="V3314" s="197">
        <v>177.57459192429849</v>
      </c>
    </row>
    <row r="3315" spans="21:22">
      <c r="U3315">
        <v>3273</v>
      </c>
      <c r="V3315" s="197">
        <v>2163.0926869491468</v>
      </c>
    </row>
    <row r="3316" spans="21:22">
      <c r="U3316">
        <v>3274</v>
      </c>
      <c r="V3316" s="197">
        <v>564.59575196192304</v>
      </c>
    </row>
    <row r="3317" spans="21:22">
      <c r="U3317">
        <v>3275</v>
      </c>
      <c r="V3317" s="197">
        <v>1111.2630915482737</v>
      </c>
    </row>
    <row r="3318" spans="21:22">
      <c r="U3318">
        <v>3276</v>
      </c>
      <c r="V3318" s="197">
        <v>1261.9959600652353</v>
      </c>
    </row>
    <row r="3319" spans="21:22">
      <c r="U3319">
        <v>3277</v>
      </c>
      <c r="V3319" s="197">
        <v>-286.93688925194328</v>
      </c>
    </row>
    <row r="3320" spans="21:22">
      <c r="U3320">
        <v>3278</v>
      </c>
      <c r="V3320" s="197">
        <v>447.05918297661265</v>
      </c>
    </row>
    <row r="3321" spans="21:22">
      <c r="U3321">
        <v>3279</v>
      </c>
      <c r="V3321" s="197">
        <v>119.62649939498584</v>
      </c>
    </row>
    <row r="3322" spans="21:22">
      <c r="U3322">
        <v>3280</v>
      </c>
      <c r="V3322" s="197">
        <v>418.93988343771639</v>
      </c>
    </row>
    <row r="3323" spans="21:22">
      <c r="U3323">
        <v>3281</v>
      </c>
      <c r="V3323" s="197">
        <v>279.44867809442223</v>
      </c>
    </row>
    <row r="3324" spans="21:22">
      <c r="U3324">
        <v>3282</v>
      </c>
      <c r="V3324" s="197">
        <v>1023.7208111064922</v>
      </c>
    </row>
    <row r="3325" spans="21:22">
      <c r="U3325">
        <v>3283</v>
      </c>
      <c r="V3325" s="197">
        <v>1076.2706703234405</v>
      </c>
    </row>
    <row r="3326" spans="21:22">
      <c r="U3326">
        <v>3284</v>
      </c>
      <c r="V3326" s="197">
        <v>122.59865655555167</v>
      </c>
    </row>
    <row r="3327" spans="21:22">
      <c r="U3327">
        <v>3285</v>
      </c>
      <c r="V3327" s="197">
        <v>-904.98919496083226</v>
      </c>
    </row>
    <row r="3328" spans="21:22">
      <c r="U3328">
        <v>3286</v>
      </c>
      <c r="V3328" s="197">
        <v>-2346.5756882867713</v>
      </c>
    </row>
    <row r="3329" spans="21:22">
      <c r="U3329">
        <v>3287</v>
      </c>
      <c r="V3329" s="197">
        <v>719.38124551844635</v>
      </c>
    </row>
    <row r="3330" spans="21:22">
      <c r="U3330">
        <v>3288</v>
      </c>
      <c r="V3330" s="197">
        <v>-603.37679058729464</v>
      </c>
    </row>
    <row r="3331" spans="21:22">
      <c r="U3331">
        <v>3289</v>
      </c>
      <c r="V3331" s="197">
        <v>-1641.9433787420846</v>
      </c>
    </row>
    <row r="3332" spans="21:22">
      <c r="U3332">
        <v>3290</v>
      </c>
      <c r="V3332" s="197">
        <v>-127.68690422763694</v>
      </c>
    </row>
    <row r="3333" spans="21:22">
      <c r="U3333">
        <v>3291</v>
      </c>
      <c r="V3333" s="197">
        <v>462.20280610852637</v>
      </c>
    </row>
    <row r="3334" spans="21:22">
      <c r="U3334">
        <v>3292</v>
      </c>
      <c r="V3334" s="197">
        <v>518.80026639427115</v>
      </c>
    </row>
    <row r="3335" spans="21:22">
      <c r="U3335">
        <v>3293</v>
      </c>
      <c r="V3335" s="197">
        <v>74.874754621613022</v>
      </c>
    </row>
    <row r="3336" spans="21:22">
      <c r="U3336">
        <v>3294</v>
      </c>
      <c r="V3336" s="197">
        <v>244.11986904569059</v>
      </c>
    </row>
    <row r="3337" spans="21:22">
      <c r="U3337">
        <v>3295</v>
      </c>
      <c r="V3337" s="197">
        <v>-1043.31549559478</v>
      </c>
    </row>
    <row r="3338" spans="21:22">
      <c r="U3338">
        <v>3296</v>
      </c>
      <c r="V3338" s="197">
        <v>614.50346334440019</v>
      </c>
    </row>
    <row r="3339" spans="21:22">
      <c r="U3339">
        <v>3297</v>
      </c>
      <c r="V3339" s="197">
        <v>-44.885539640971274</v>
      </c>
    </row>
    <row r="3340" spans="21:22">
      <c r="U3340">
        <v>3298</v>
      </c>
      <c r="V3340" s="197">
        <v>-952.83797089795075</v>
      </c>
    </row>
    <row r="3341" spans="21:22">
      <c r="U3341">
        <v>3299</v>
      </c>
      <c r="V3341" s="197">
        <v>-1316.8065176145167</v>
      </c>
    </row>
    <row r="3342" spans="21:22">
      <c r="U3342">
        <v>3300</v>
      </c>
      <c r="V3342" s="197">
        <v>679.24684866045664</v>
      </c>
    </row>
    <row r="3343" spans="21:22">
      <c r="U3343">
        <v>3301</v>
      </c>
      <c r="V3343" s="197">
        <v>331.71762687624539</v>
      </c>
    </row>
    <row r="3344" spans="21:22">
      <c r="U3344">
        <v>3302</v>
      </c>
      <c r="V3344" s="197">
        <v>1532.3647657758715</v>
      </c>
    </row>
    <row r="3345" spans="21:22">
      <c r="U3345">
        <v>3303</v>
      </c>
      <c r="V3345" s="197">
        <v>697.28966306318807</v>
      </c>
    </row>
    <row r="3346" spans="21:22">
      <c r="U3346">
        <v>3304</v>
      </c>
      <c r="V3346" s="197">
        <v>-608.85464858220598</v>
      </c>
    </row>
    <row r="3347" spans="21:22">
      <c r="U3347">
        <v>3305</v>
      </c>
      <c r="V3347" s="197">
        <v>109.2159518335269</v>
      </c>
    </row>
    <row r="3348" spans="21:22">
      <c r="U3348">
        <v>3306</v>
      </c>
      <c r="V3348" s="197">
        <v>1905.588633190778</v>
      </c>
    </row>
    <row r="3349" spans="21:22">
      <c r="U3349">
        <v>3307</v>
      </c>
      <c r="V3349" s="197">
        <v>1559.4360956323585</v>
      </c>
    </row>
    <row r="3350" spans="21:22">
      <c r="U3350">
        <v>3308</v>
      </c>
      <c r="V3350" s="197">
        <v>-34.185981663087176</v>
      </c>
    </row>
    <row r="3351" spans="21:22">
      <c r="U3351">
        <v>3309</v>
      </c>
      <c r="V3351" s="197">
        <v>-1741.390516452373</v>
      </c>
    </row>
    <row r="3352" spans="21:22">
      <c r="U3352">
        <v>3310</v>
      </c>
      <c r="V3352" s="197">
        <v>704.87188280996133</v>
      </c>
    </row>
    <row r="3353" spans="21:22">
      <c r="U3353">
        <v>3311</v>
      </c>
      <c r="V3353" s="197">
        <v>-139.14101733343176</v>
      </c>
    </row>
    <row r="3354" spans="21:22">
      <c r="U3354">
        <v>3312</v>
      </c>
      <c r="V3354" s="197">
        <v>-114.59003442370562</v>
      </c>
    </row>
    <row r="3355" spans="21:22">
      <c r="U3355">
        <v>3313</v>
      </c>
      <c r="V3355" s="197">
        <v>-1040.6646868758558</v>
      </c>
    </row>
    <row r="3356" spans="21:22">
      <c r="U3356">
        <v>3314</v>
      </c>
      <c r="V3356" s="197">
        <v>-18.298989153363124</v>
      </c>
    </row>
    <row r="3357" spans="21:22">
      <c r="U3357">
        <v>3315</v>
      </c>
      <c r="V3357" s="197">
        <v>-1316.5236133721266</v>
      </c>
    </row>
    <row r="3358" spans="21:22">
      <c r="U3358">
        <v>3316</v>
      </c>
      <c r="V3358" s="197">
        <v>-113.75437618830998</v>
      </c>
    </row>
    <row r="3359" spans="21:22">
      <c r="U3359">
        <v>3317</v>
      </c>
      <c r="V3359" s="197">
        <v>444.98786256242209</v>
      </c>
    </row>
    <row r="3360" spans="21:22">
      <c r="U3360">
        <v>3318</v>
      </c>
      <c r="V3360" s="197">
        <v>1135.9700767374793</v>
      </c>
    </row>
    <row r="3361" spans="21:22">
      <c r="U3361">
        <v>3319</v>
      </c>
      <c r="V3361" s="197">
        <v>1369.3289090081405</v>
      </c>
    </row>
    <row r="3362" spans="21:22">
      <c r="U3362">
        <v>3320</v>
      </c>
      <c r="V3362" s="197">
        <v>1475.6759487696168</v>
      </c>
    </row>
    <row r="3363" spans="21:22">
      <c r="U3363">
        <v>3321</v>
      </c>
      <c r="V3363" s="197">
        <v>1000.9249401213106</v>
      </c>
    </row>
    <row r="3364" spans="21:22">
      <c r="U3364">
        <v>3322</v>
      </c>
      <c r="V3364" s="197">
        <v>1475.3087455129205</v>
      </c>
    </row>
    <row r="3365" spans="21:22">
      <c r="U3365">
        <v>3323</v>
      </c>
      <c r="V3365" s="197">
        <v>719.12857945661654</v>
      </c>
    </row>
    <row r="3366" spans="21:22">
      <c r="U3366">
        <v>3324</v>
      </c>
      <c r="V3366" s="197">
        <v>-644.66476682951588</v>
      </c>
    </row>
    <row r="3367" spans="21:22">
      <c r="U3367">
        <v>3325</v>
      </c>
      <c r="V3367" s="197">
        <v>1527.5690508803764</v>
      </c>
    </row>
    <row r="3368" spans="21:22">
      <c r="U3368">
        <v>3326</v>
      </c>
      <c r="V3368" s="197">
        <v>358.5711950821696</v>
      </c>
    </row>
    <row r="3369" spans="21:22">
      <c r="U3369">
        <v>3327</v>
      </c>
      <c r="V3369" s="197">
        <v>-495.26891181290028</v>
      </c>
    </row>
    <row r="3370" spans="21:22">
      <c r="U3370">
        <v>3328</v>
      </c>
      <c r="V3370" s="197">
        <v>249.2827235956307</v>
      </c>
    </row>
    <row r="3371" spans="21:22">
      <c r="U3371">
        <v>3329</v>
      </c>
      <c r="V3371" s="197">
        <v>-1102.2445539561331</v>
      </c>
    </row>
    <row r="3372" spans="21:22">
      <c r="U3372">
        <v>3330</v>
      </c>
      <c r="V3372" s="197">
        <v>-170.11942981575464</v>
      </c>
    </row>
    <row r="3373" spans="21:22">
      <c r="U3373">
        <v>3331</v>
      </c>
      <c r="V3373" s="197">
        <v>-1232.2673399441637</v>
      </c>
    </row>
    <row r="3374" spans="21:22">
      <c r="U3374">
        <v>3332</v>
      </c>
      <c r="V3374" s="197">
        <v>-627.10473632214007</v>
      </c>
    </row>
    <row r="3375" spans="21:22">
      <c r="U3375">
        <v>3333</v>
      </c>
      <c r="V3375" s="197">
        <v>1345.4273659084297</v>
      </c>
    </row>
    <row r="3376" spans="21:22">
      <c r="U3376">
        <v>3334</v>
      </c>
      <c r="V3376" s="197">
        <v>201.43969747396881</v>
      </c>
    </row>
    <row r="3377" spans="21:22">
      <c r="U3377">
        <v>3335</v>
      </c>
      <c r="V3377" s="197">
        <v>800.44550980680469</v>
      </c>
    </row>
    <row r="3378" spans="21:22">
      <c r="U3378">
        <v>3336</v>
      </c>
      <c r="V3378" s="197">
        <v>341.23525200977866</v>
      </c>
    </row>
    <row r="3379" spans="21:22">
      <c r="U3379">
        <v>3337</v>
      </c>
      <c r="V3379" s="197">
        <v>1121.0144258559399</v>
      </c>
    </row>
    <row r="3380" spans="21:22">
      <c r="U3380">
        <v>3338</v>
      </c>
      <c r="V3380" s="197">
        <v>-407.70270067850788</v>
      </c>
    </row>
    <row r="3381" spans="21:22">
      <c r="U3381">
        <v>3339</v>
      </c>
      <c r="V3381" s="197">
        <v>-3136.5202049949994</v>
      </c>
    </row>
    <row r="3382" spans="21:22">
      <c r="U3382">
        <v>3340</v>
      </c>
      <c r="V3382" s="197">
        <v>-708.62949960489186</v>
      </c>
    </row>
    <row r="3383" spans="21:22">
      <c r="U3383">
        <v>3341</v>
      </c>
      <c r="V3383" s="197">
        <v>-43.254451975279153</v>
      </c>
    </row>
    <row r="3384" spans="21:22">
      <c r="U3384">
        <v>3342</v>
      </c>
      <c r="V3384" s="197">
        <v>1159.7348498410938</v>
      </c>
    </row>
    <row r="3385" spans="21:22">
      <c r="U3385">
        <v>3343</v>
      </c>
      <c r="V3385" s="197">
        <v>1340.5741200128464</v>
      </c>
    </row>
    <row r="3386" spans="21:22">
      <c r="U3386">
        <v>3344</v>
      </c>
      <c r="V3386" s="197">
        <v>-748.55178404472622</v>
      </c>
    </row>
    <row r="3387" spans="21:22">
      <c r="U3387">
        <v>3345</v>
      </c>
      <c r="V3387" s="197">
        <v>1289.5628673492163</v>
      </c>
    </row>
    <row r="3388" spans="21:22">
      <c r="U3388">
        <v>3346</v>
      </c>
      <c r="V3388" s="197">
        <v>1305.885735521276</v>
      </c>
    </row>
    <row r="3389" spans="21:22">
      <c r="U3389">
        <v>3347</v>
      </c>
      <c r="V3389" s="197">
        <v>191.24209022301795</v>
      </c>
    </row>
    <row r="3390" spans="21:22">
      <c r="U3390">
        <v>3348</v>
      </c>
      <c r="V3390" s="197">
        <v>-437.98240586972628</v>
      </c>
    </row>
    <row r="3391" spans="21:22">
      <c r="U3391">
        <v>3349</v>
      </c>
      <c r="V3391" s="197">
        <v>-338.32068724442507</v>
      </c>
    </row>
    <row r="3392" spans="21:22">
      <c r="U3392">
        <v>3350</v>
      </c>
      <c r="V3392" s="197">
        <v>618.86420067757535</v>
      </c>
    </row>
    <row r="3393" spans="21:22">
      <c r="U3393">
        <v>3351</v>
      </c>
      <c r="V3393" s="197">
        <v>-178.20811863627063</v>
      </c>
    </row>
    <row r="3394" spans="21:22">
      <c r="U3394">
        <v>3352</v>
      </c>
      <c r="V3394" s="197">
        <v>1408.7690767981851</v>
      </c>
    </row>
    <row r="3395" spans="21:22">
      <c r="U3395">
        <v>3353</v>
      </c>
      <c r="V3395" s="197">
        <v>-28.729188132042609</v>
      </c>
    </row>
    <row r="3396" spans="21:22">
      <c r="U3396">
        <v>3354</v>
      </c>
      <c r="V3396" s="197">
        <v>-38.991312045711794</v>
      </c>
    </row>
    <row r="3397" spans="21:22">
      <c r="U3397">
        <v>3355</v>
      </c>
      <c r="V3397" s="197">
        <v>-836.65880473553102</v>
      </c>
    </row>
    <row r="3398" spans="21:22">
      <c r="U3398">
        <v>3356</v>
      </c>
      <c r="V3398" s="197">
        <v>875.70486759882942</v>
      </c>
    </row>
    <row r="3399" spans="21:22">
      <c r="U3399">
        <v>3357</v>
      </c>
      <c r="V3399" s="197">
        <v>169.73267522614049</v>
      </c>
    </row>
    <row r="3400" spans="21:22">
      <c r="U3400">
        <v>3358</v>
      </c>
      <c r="V3400" s="197">
        <v>869.6634760694501</v>
      </c>
    </row>
    <row r="3401" spans="21:22">
      <c r="U3401">
        <v>3359</v>
      </c>
      <c r="V3401" s="197">
        <v>336.05225345792701</v>
      </c>
    </row>
    <row r="3402" spans="21:22">
      <c r="U3402">
        <v>3360</v>
      </c>
      <c r="V3402" s="197">
        <v>-1270.9499011408391</v>
      </c>
    </row>
    <row r="3403" spans="21:22">
      <c r="U3403">
        <v>3361</v>
      </c>
      <c r="V3403" s="197">
        <v>-341.45932583844348</v>
      </c>
    </row>
    <row r="3404" spans="21:22">
      <c r="U3404">
        <v>3362</v>
      </c>
      <c r="V3404" s="197">
        <v>-892.49611764518113</v>
      </c>
    </row>
    <row r="3405" spans="21:22">
      <c r="U3405">
        <v>3363</v>
      </c>
      <c r="V3405" s="197">
        <v>1204.5991015112591</v>
      </c>
    </row>
    <row r="3406" spans="21:22">
      <c r="U3406">
        <v>3364</v>
      </c>
      <c r="V3406" s="197">
        <v>-770.93397286693562</v>
      </c>
    </row>
    <row r="3407" spans="21:22">
      <c r="U3407">
        <v>3365</v>
      </c>
      <c r="V3407" s="197">
        <v>-267.96498915195963</v>
      </c>
    </row>
    <row r="3408" spans="21:22">
      <c r="U3408">
        <v>3366</v>
      </c>
      <c r="V3408" s="197">
        <v>-524.86051930315261</v>
      </c>
    </row>
    <row r="3409" spans="21:22">
      <c r="U3409">
        <v>3367</v>
      </c>
      <c r="V3409" s="197">
        <v>998.72680706035362</v>
      </c>
    </row>
    <row r="3410" spans="21:22">
      <c r="U3410">
        <v>3368</v>
      </c>
      <c r="V3410" s="197">
        <v>-1255.2519965035924</v>
      </c>
    </row>
    <row r="3411" spans="21:22">
      <c r="U3411">
        <v>3369</v>
      </c>
      <c r="V3411" s="197">
        <v>-821.71647682723415</v>
      </c>
    </row>
    <row r="3412" spans="21:22">
      <c r="U3412">
        <v>3370</v>
      </c>
      <c r="V3412" s="197">
        <v>689.16480295325073</v>
      </c>
    </row>
    <row r="3413" spans="21:22">
      <c r="U3413">
        <v>3371</v>
      </c>
      <c r="V3413" s="197">
        <v>506.47982445556374</v>
      </c>
    </row>
    <row r="3414" spans="21:22">
      <c r="U3414">
        <v>3372</v>
      </c>
      <c r="V3414" s="197">
        <v>44.479181531012614</v>
      </c>
    </row>
    <row r="3415" spans="21:22">
      <c r="U3415">
        <v>3373</v>
      </c>
      <c r="V3415" s="197">
        <v>-1147.8256790368657</v>
      </c>
    </row>
    <row r="3416" spans="21:22">
      <c r="U3416">
        <v>3374</v>
      </c>
      <c r="V3416" s="197">
        <v>1022.7676203743538</v>
      </c>
    </row>
    <row r="3417" spans="21:22">
      <c r="U3417">
        <v>3375</v>
      </c>
      <c r="V3417" s="197">
        <v>-220.19501577503991</v>
      </c>
    </row>
    <row r="3418" spans="21:22">
      <c r="U3418">
        <v>3376</v>
      </c>
      <c r="V3418" s="197">
        <v>-1314.2623970822613</v>
      </c>
    </row>
    <row r="3419" spans="21:22">
      <c r="U3419">
        <v>3377</v>
      </c>
      <c r="V3419" s="197">
        <v>932.19801217418694</v>
      </c>
    </row>
    <row r="3420" spans="21:22">
      <c r="U3420">
        <v>3378</v>
      </c>
      <c r="V3420" s="197">
        <v>366.36302478299035</v>
      </c>
    </row>
    <row r="3421" spans="21:22">
      <c r="U3421">
        <v>3379</v>
      </c>
      <c r="V3421" s="197">
        <v>-488.79797559064349</v>
      </c>
    </row>
    <row r="3422" spans="21:22">
      <c r="U3422">
        <v>3380</v>
      </c>
      <c r="V3422" s="197">
        <v>835.55329021471744</v>
      </c>
    </row>
    <row r="3423" spans="21:22">
      <c r="U3423">
        <v>3381</v>
      </c>
      <c r="V3423" s="197">
        <v>1924.8354367970617</v>
      </c>
    </row>
    <row r="3424" spans="21:22">
      <c r="U3424">
        <v>3382</v>
      </c>
      <c r="V3424" s="197">
        <v>-55.780998518951606</v>
      </c>
    </row>
    <row r="3425" spans="21:22">
      <c r="U3425">
        <v>3383</v>
      </c>
      <c r="V3425" s="197">
        <v>366.19953048783282</v>
      </c>
    </row>
    <row r="3426" spans="21:22">
      <c r="U3426">
        <v>3384</v>
      </c>
      <c r="V3426" s="197">
        <v>1540.9264033944191</v>
      </c>
    </row>
    <row r="3427" spans="21:22">
      <c r="U3427">
        <v>3385</v>
      </c>
      <c r="V3427" s="197">
        <v>-1507.2517202178751</v>
      </c>
    </row>
    <row r="3428" spans="21:22">
      <c r="U3428">
        <v>3386</v>
      </c>
      <c r="V3428" s="197">
        <v>550.16669815454395</v>
      </c>
    </row>
    <row r="3429" spans="21:22">
      <c r="U3429">
        <v>3387</v>
      </c>
      <c r="V3429" s="197">
        <v>1767.0540440051095</v>
      </c>
    </row>
    <row r="3430" spans="21:22">
      <c r="U3430">
        <v>3388</v>
      </c>
      <c r="V3430" s="197">
        <v>656.71562508467309</v>
      </c>
    </row>
    <row r="3431" spans="21:22">
      <c r="U3431">
        <v>3389</v>
      </c>
      <c r="V3431" s="197">
        <v>638.62489265343447</v>
      </c>
    </row>
    <row r="3432" spans="21:22">
      <c r="U3432">
        <v>3390</v>
      </c>
      <c r="V3432" s="197">
        <v>601.65751686070826</v>
      </c>
    </row>
    <row r="3433" spans="21:22">
      <c r="U3433">
        <v>3391</v>
      </c>
      <c r="V3433" s="197">
        <v>628.77210874616708</v>
      </c>
    </row>
    <row r="3434" spans="21:22">
      <c r="U3434">
        <v>3392</v>
      </c>
      <c r="V3434" s="197">
        <v>183.13467426556383</v>
      </c>
    </row>
    <row r="3435" spans="21:22">
      <c r="U3435">
        <v>3393</v>
      </c>
      <c r="V3435" s="197">
        <v>283.03435695310429</v>
      </c>
    </row>
    <row r="3436" spans="21:22">
      <c r="U3436">
        <v>3394</v>
      </c>
      <c r="V3436" s="197">
        <v>787.89354213405932</v>
      </c>
    </row>
    <row r="3437" spans="21:22">
      <c r="U3437">
        <v>3395</v>
      </c>
      <c r="V3437" s="197">
        <v>137.27777710950923</v>
      </c>
    </row>
    <row r="3438" spans="21:22">
      <c r="U3438">
        <v>3396</v>
      </c>
      <c r="V3438" s="197">
        <v>-1357.1109896228229</v>
      </c>
    </row>
    <row r="3439" spans="21:22">
      <c r="U3439">
        <v>3397</v>
      </c>
      <c r="V3439" s="197">
        <v>1955.6990048878292</v>
      </c>
    </row>
    <row r="3440" spans="21:22">
      <c r="U3440">
        <v>3398</v>
      </c>
      <c r="V3440" s="197">
        <v>1834.7787141064764</v>
      </c>
    </row>
    <row r="3441" spans="21:22">
      <c r="U3441">
        <v>3399</v>
      </c>
      <c r="V3441" s="197">
        <v>1066.088419458735</v>
      </c>
    </row>
    <row r="3442" spans="21:22">
      <c r="U3442">
        <v>3400</v>
      </c>
      <c r="V3442" s="197">
        <v>163.18745746703499</v>
      </c>
    </row>
    <row r="3443" spans="21:22">
      <c r="U3443">
        <v>3401</v>
      </c>
      <c r="V3443" s="197">
        <v>-327.56084819738106</v>
      </c>
    </row>
    <row r="3444" spans="21:22">
      <c r="U3444">
        <v>3402</v>
      </c>
      <c r="V3444" s="197">
        <v>-813.25970628378377</v>
      </c>
    </row>
    <row r="3445" spans="21:22">
      <c r="U3445">
        <v>3403</v>
      </c>
      <c r="V3445" s="197">
        <v>-187.91957400437263</v>
      </c>
    </row>
    <row r="3446" spans="21:22">
      <c r="U3446">
        <v>3404</v>
      </c>
      <c r="V3446" s="197">
        <v>1056.983498609058</v>
      </c>
    </row>
    <row r="3447" spans="21:22">
      <c r="U3447">
        <v>3405</v>
      </c>
      <c r="V3447" s="197">
        <v>-906.80376713251985</v>
      </c>
    </row>
    <row r="3448" spans="21:22">
      <c r="U3448">
        <v>3406</v>
      </c>
      <c r="V3448" s="197">
        <v>588.66098320078152</v>
      </c>
    </row>
    <row r="3449" spans="21:22">
      <c r="U3449">
        <v>3407</v>
      </c>
      <c r="V3449" s="197">
        <v>-734.90322856971625</v>
      </c>
    </row>
    <row r="3450" spans="21:22">
      <c r="U3450">
        <v>3408</v>
      </c>
      <c r="V3450" s="197">
        <v>303.283983266809</v>
      </c>
    </row>
    <row r="3451" spans="21:22">
      <c r="U3451">
        <v>3409</v>
      </c>
      <c r="V3451" s="197">
        <v>5.788543574902036</v>
      </c>
    </row>
    <row r="3452" spans="21:22">
      <c r="U3452">
        <v>3410</v>
      </c>
      <c r="V3452" s="197">
        <v>-1207.3457642714011</v>
      </c>
    </row>
    <row r="3453" spans="21:22">
      <c r="U3453">
        <v>3411</v>
      </c>
      <c r="V3453" s="197">
        <v>443.51752084847612</v>
      </c>
    </row>
    <row r="3454" spans="21:22">
      <c r="U3454">
        <v>3412</v>
      </c>
      <c r="V3454" s="197">
        <v>-2881.1883217601412</v>
      </c>
    </row>
    <row r="3455" spans="21:22">
      <c r="U3455">
        <v>3413</v>
      </c>
      <c r="V3455" s="197">
        <v>-649.44289484339811</v>
      </c>
    </row>
    <row r="3456" spans="21:22">
      <c r="U3456">
        <v>3414</v>
      </c>
      <c r="V3456" s="197">
        <v>1086.3736679683709</v>
      </c>
    </row>
    <row r="3457" spans="21:22">
      <c r="U3457">
        <v>3415</v>
      </c>
      <c r="V3457" s="197">
        <v>103.8646250780744</v>
      </c>
    </row>
    <row r="3458" spans="21:22">
      <c r="U3458">
        <v>3416</v>
      </c>
      <c r="V3458" s="197">
        <v>391.61609683417817</v>
      </c>
    </row>
    <row r="3459" spans="21:22">
      <c r="U3459">
        <v>3417</v>
      </c>
      <c r="V3459" s="197">
        <v>1771.3856756442647</v>
      </c>
    </row>
    <row r="3460" spans="21:22">
      <c r="U3460">
        <v>3418</v>
      </c>
      <c r="V3460" s="197">
        <v>-558.16237546697721</v>
      </c>
    </row>
    <row r="3461" spans="21:22">
      <c r="U3461">
        <v>3419</v>
      </c>
      <c r="V3461" s="197">
        <v>-702.61746067651211</v>
      </c>
    </row>
    <row r="3462" spans="21:22">
      <c r="U3462">
        <v>3420</v>
      </c>
      <c r="V3462" s="197">
        <v>1249.5424219758436</v>
      </c>
    </row>
    <row r="3463" spans="21:22">
      <c r="U3463">
        <v>3421</v>
      </c>
      <c r="V3463" s="197">
        <v>-640.96198814724016</v>
      </c>
    </row>
    <row r="3464" spans="21:22">
      <c r="U3464">
        <v>3422</v>
      </c>
      <c r="V3464" s="197">
        <v>-46.332933701976458</v>
      </c>
    </row>
    <row r="3465" spans="21:22">
      <c r="U3465">
        <v>3423</v>
      </c>
      <c r="V3465" s="197">
        <v>1008.5556308324894</v>
      </c>
    </row>
    <row r="3466" spans="21:22">
      <c r="U3466">
        <v>3424</v>
      </c>
      <c r="V3466" s="197">
        <v>197.55053640866649</v>
      </c>
    </row>
    <row r="3467" spans="21:22">
      <c r="U3467">
        <v>3425</v>
      </c>
      <c r="V3467" s="197">
        <v>991.57300257401334</v>
      </c>
    </row>
    <row r="3468" spans="21:22">
      <c r="U3468">
        <v>3426</v>
      </c>
      <c r="V3468" s="197">
        <v>171.20907806198636</v>
      </c>
    </row>
    <row r="3469" spans="21:22">
      <c r="U3469">
        <v>3427</v>
      </c>
      <c r="V3469" s="197">
        <v>287.10375892784828</v>
      </c>
    </row>
    <row r="3470" spans="21:22">
      <c r="U3470">
        <v>3428</v>
      </c>
      <c r="V3470" s="197">
        <v>-963.8607353423447</v>
      </c>
    </row>
    <row r="3471" spans="21:22">
      <c r="U3471">
        <v>3429</v>
      </c>
      <c r="V3471" s="197">
        <v>-301.41589071967866</v>
      </c>
    </row>
    <row r="3472" spans="21:22">
      <c r="U3472">
        <v>3430</v>
      </c>
      <c r="V3472" s="197">
        <v>641.67735519090843</v>
      </c>
    </row>
    <row r="3473" spans="21:22">
      <c r="U3473">
        <v>3431</v>
      </c>
      <c r="V3473" s="197">
        <v>-1316.787600555431</v>
      </c>
    </row>
    <row r="3474" spans="21:22">
      <c r="U3474">
        <v>3432</v>
      </c>
      <c r="V3474" s="197">
        <v>-104.68218029248558</v>
      </c>
    </row>
    <row r="3475" spans="21:22">
      <c r="U3475">
        <v>3433</v>
      </c>
      <c r="V3475" s="197">
        <v>1394.9474223287789</v>
      </c>
    </row>
    <row r="3476" spans="21:22">
      <c r="U3476">
        <v>3434</v>
      </c>
      <c r="V3476" s="197">
        <v>-650.94934399424574</v>
      </c>
    </row>
    <row r="3477" spans="21:22">
      <c r="U3477">
        <v>3435</v>
      </c>
      <c r="V3477" s="197">
        <v>-291.39098578819335</v>
      </c>
    </row>
    <row r="3478" spans="21:22">
      <c r="U3478">
        <v>3436</v>
      </c>
      <c r="V3478" s="197">
        <v>-1961.0505205259149</v>
      </c>
    </row>
    <row r="3479" spans="21:22">
      <c r="U3479">
        <v>3437</v>
      </c>
      <c r="V3479" s="197">
        <v>693.53069540999445</v>
      </c>
    </row>
    <row r="3480" spans="21:22">
      <c r="U3480">
        <v>3438</v>
      </c>
      <c r="V3480" s="197">
        <v>101.61154018665721</v>
      </c>
    </row>
    <row r="3481" spans="21:22">
      <c r="U3481">
        <v>3439</v>
      </c>
      <c r="V3481" s="197">
        <v>-2207.2112894304455</v>
      </c>
    </row>
    <row r="3482" spans="21:22">
      <c r="U3482">
        <v>3440</v>
      </c>
      <c r="V3482" s="197">
        <v>-207.75532787684404</v>
      </c>
    </row>
    <row r="3483" spans="21:22">
      <c r="U3483">
        <v>3441</v>
      </c>
      <c r="V3483" s="197">
        <v>628.60085558928267</v>
      </c>
    </row>
    <row r="3484" spans="21:22">
      <c r="U3484">
        <v>3442</v>
      </c>
      <c r="V3484" s="197">
        <v>703.62289473340911</v>
      </c>
    </row>
    <row r="3485" spans="21:22">
      <c r="U3485">
        <v>3443</v>
      </c>
      <c r="V3485" s="197">
        <v>-299.49942766882253</v>
      </c>
    </row>
    <row r="3486" spans="21:22">
      <c r="U3486">
        <v>3444</v>
      </c>
      <c r="V3486" s="197">
        <v>-1088.0209428945238</v>
      </c>
    </row>
    <row r="3487" spans="21:22">
      <c r="U3487">
        <v>3445</v>
      </c>
      <c r="V3487" s="197">
        <v>-1046.5983573258807</v>
      </c>
    </row>
    <row r="3488" spans="21:22">
      <c r="U3488">
        <v>3446</v>
      </c>
      <c r="V3488" s="197">
        <v>-2028.2311305689602</v>
      </c>
    </row>
    <row r="3489" spans="21:22">
      <c r="U3489">
        <v>3447</v>
      </c>
      <c r="V3489" s="197">
        <v>197.64947182788345</v>
      </c>
    </row>
    <row r="3490" spans="21:22">
      <c r="U3490">
        <v>3448</v>
      </c>
      <c r="V3490" s="197">
        <v>88.922735654711758</v>
      </c>
    </row>
    <row r="3491" spans="21:22">
      <c r="U3491">
        <v>3449</v>
      </c>
      <c r="V3491" s="197">
        <v>-199.46814438321383</v>
      </c>
    </row>
    <row r="3492" spans="21:22">
      <c r="U3492">
        <v>3450</v>
      </c>
      <c r="V3492" s="197">
        <v>-736.2440346301712</v>
      </c>
    </row>
    <row r="3493" spans="21:22">
      <c r="U3493">
        <v>3451</v>
      </c>
      <c r="V3493" s="197">
        <v>242.87377949947754</v>
      </c>
    </row>
    <row r="3494" spans="21:22">
      <c r="U3494">
        <v>3452</v>
      </c>
      <c r="V3494" s="197">
        <v>475.91385185270741</v>
      </c>
    </row>
    <row r="3495" spans="21:22">
      <c r="U3495">
        <v>3453</v>
      </c>
      <c r="V3495" s="197">
        <v>-58.122884798478651</v>
      </c>
    </row>
    <row r="3496" spans="21:22">
      <c r="U3496">
        <v>3454</v>
      </c>
      <c r="V3496" s="197">
        <v>1017.8089947454901</v>
      </c>
    </row>
    <row r="3497" spans="21:22">
      <c r="U3497">
        <v>3455</v>
      </c>
      <c r="V3497" s="197">
        <v>-31.331111057113134</v>
      </c>
    </row>
    <row r="3498" spans="21:22">
      <c r="U3498">
        <v>3456</v>
      </c>
      <c r="V3498" s="197">
        <v>1371.3345159034259</v>
      </c>
    </row>
    <row r="3499" spans="21:22">
      <c r="U3499">
        <v>3457</v>
      </c>
      <c r="V3499" s="197">
        <v>-169.57543206516397</v>
      </c>
    </row>
    <row r="3500" spans="21:22">
      <c r="U3500">
        <v>3458</v>
      </c>
      <c r="V3500" s="197">
        <v>2611.8846497244813</v>
      </c>
    </row>
    <row r="3501" spans="21:22">
      <c r="U3501">
        <v>3459</v>
      </c>
      <c r="V3501" s="197">
        <v>-683.87112380170652</v>
      </c>
    </row>
    <row r="3502" spans="21:22">
      <c r="U3502">
        <v>3460</v>
      </c>
      <c r="V3502" s="197">
        <v>-680.50343501696466</v>
      </c>
    </row>
    <row r="3503" spans="21:22">
      <c r="U3503">
        <v>3461</v>
      </c>
      <c r="V3503" s="197">
        <v>1372.461195064689</v>
      </c>
    </row>
    <row r="3504" spans="21:22">
      <c r="U3504">
        <v>3462</v>
      </c>
      <c r="V3504" s="197">
        <v>610.15263672414437</v>
      </c>
    </row>
    <row r="3505" spans="21:22">
      <c r="U3505">
        <v>3463</v>
      </c>
      <c r="V3505" s="197">
        <v>1313.243536563217</v>
      </c>
    </row>
    <row r="3506" spans="21:22">
      <c r="U3506">
        <v>3464</v>
      </c>
      <c r="V3506" s="197">
        <v>513.05334948871268</v>
      </c>
    </row>
    <row r="3507" spans="21:22">
      <c r="U3507">
        <v>3465</v>
      </c>
      <c r="V3507" s="197">
        <v>199.90829124789056</v>
      </c>
    </row>
    <row r="3508" spans="21:22">
      <c r="U3508">
        <v>3466</v>
      </c>
      <c r="V3508" s="197">
        <v>431.82127508866836</v>
      </c>
    </row>
    <row r="3509" spans="21:22">
      <c r="U3509">
        <v>3467</v>
      </c>
      <c r="V3509" s="197">
        <v>1033.1696766474117</v>
      </c>
    </row>
    <row r="3510" spans="21:22">
      <c r="U3510">
        <v>3468</v>
      </c>
      <c r="V3510" s="197">
        <v>-209.31421469770027</v>
      </c>
    </row>
    <row r="3511" spans="21:22">
      <c r="U3511">
        <v>3469</v>
      </c>
      <c r="V3511" s="197">
        <v>84.524025219058913</v>
      </c>
    </row>
    <row r="3512" spans="21:22">
      <c r="U3512">
        <v>3470</v>
      </c>
      <c r="V3512" s="197">
        <v>-2233.5722946720543</v>
      </c>
    </row>
    <row r="3513" spans="21:22">
      <c r="U3513">
        <v>3471</v>
      </c>
      <c r="V3513" s="197">
        <v>2340.6531066197476</v>
      </c>
    </row>
    <row r="3514" spans="21:22">
      <c r="U3514">
        <v>3472</v>
      </c>
      <c r="V3514" s="197">
        <v>-998.54299319045094</v>
      </c>
    </row>
    <row r="3515" spans="21:22">
      <c r="U3515">
        <v>3473</v>
      </c>
      <c r="V3515" s="197">
        <v>167.4258550993888</v>
      </c>
    </row>
    <row r="3516" spans="21:22">
      <c r="U3516">
        <v>3474</v>
      </c>
      <c r="V3516" s="197">
        <v>20.624195156149966</v>
      </c>
    </row>
    <row r="3517" spans="21:22">
      <c r="U3517">
        <v>3475</v>
      </c>
      <c r="V3517" s="197">
        <v>-1243.4343968858941</v>
      </c>
    </row>
    <row r="3518" spans="21:22">
      <c r="U3518">
        <v>3476</v>
      </c>
      <c r="V3518" s="197">
        <v>-55.215482234998802</v>
      </c>
    </row>
    <row r="3519" spans="21:22">
      <c r="U3519">
        <v>3477</v>
      </c>
      <c r="V3519" s="197">
        <v>626.18450981695491</v>
      </c>
    </row>
    <row r="3520" spans="21:22">
      <c r="U3520">
        <v>3478</v>
      </c>
      <c r="V3520" s="197">
        <v>-895.51901959718975</v>
      </c>
    </row>
    <row r="3521" spans="21:22">
      <c r="U3521">
        <v>3479</v>
      </c>
      <c r="V3521" s="197">
        <v>-135.49688280411203</v>
      </c>
    </row>
    <row r="3522" spans="21:22">
      <c r="U3522">
        <v>3480</v>
      </c>
      <c r="V3522" s="197">
        <v>-1110.3303648632027</v>
      </c>
    </row>
    <row r="3523" spans="21:22">
      <c r="U3523">
        <v>3481</v>
      </c>
      <c r="V3523" s="197">
        <v>-940.03545414346968</v>
      </c>
    </row>
    <row r="3524" spans="21:22">
      <c r="U3524">
        <v>3482</v>
      </c>
      <c r="V3524" s="197">
        <v>1365.0894520669096</v>
      </c>
    </row>
    <row r="3525" spans="21:22">
      <c r="U3525">
        <v>3483</v>
      </c>
      <c r="V3525" s="197">
        <v>202.94155050855477</v>
      </c>
    </row>
    <row r="3526" spans="21:22">
      <c r="U3526">
        <v>3484</v>
      </c>
      <c r="V3526" s="197">
        <v>1137.038353629689</v>
      </c>
    </row>
    <row r="3527" spans="21:22">
      <c r="U3527">
        <v>3485</v>
      </c>
      <c r="V3527" s="197">
        <v>442.88917455150772</v>
      </c>
    </row>
    <row r="3528" spans="21:22">
      <c r="U3528">
        <v>3486</v>
      </c>
      <c r="V3528" s="197">
        <v>-841.38545189158754</v>
      </c>
    </row>
    <row r="3529" spans="21:22">
      <c r="U3529">
        <v>3487</v>
      </c>
      <c r="V3529" s="197">
        <v>-685.65886203096943</v>
      </c>
    </row>
    <row r="3530" spans="21:22">
      <c r="U3530">
        <v>3488</v>
      </c>
      <c r="V3530" s="197">
        <v>472.19020816970891</v>
      </c>
    </row>
    <row r="3531" spans="21:22">
      <c r="U3531">
        <v>3489</v>
      </c>
      <c r="V3531" s="197">
        <v>-300.56130452260436</v>
      </c>
    </row>
    <row r="3532" spans="21:22">
      <c r="U3532">
        <v>3490</v>
      </c>
      <c r="V3532" s="197">
        <v>226.82466825115003</v>
      </c>
    </row>
    <row r="3533" spans="21:22">
      <c r="U3533">
        <v>3491</v>
      </c>
      <c r="V3533" s="197">
        <v>-17.137117758830357</v>
      </c>
    </row>
    <row r="3534" spans="21:22">
      <c r="U3534">
        <v>3492</v>
      </c>
      <c r="V3534" s="197">
        <v>446.29827287017594</v>
      </c>
    </row>
    <row r="3535" spans="21:22">
      <c r="U3535">
        <v>3493</v>
      </c>
      <c r="V3535" s="197">
        <v>211.1188958690052</v>
      </c>
    </row>
    <row r="3536" spans="21:22">
      <c r="U3536">
        <v>3494</v>
      </c>
      <c r="V3536" s="197">
        <v>144.11218112282262</v>
      </c>
    </row>
    <row r="3537" spans="21:22">
      <c r="U3537">
        <v>3495</v>
      </c>
      <c r="V3537" s="197">
        <v>754.71855735206236</v>
      </c>
    </row>
    <row r="3538" spans="21:22">
      <c r="U3538">
        <v>3496</v>
      </c>
      <c r="V3538" s="197">
        <v>-175.461419608536</v>
      </c>
    </row>
    <row r="3539" spans="21:22">
      <c r="U3539">
        <v>3497</v>
      </c>
      <c r="V3539" s="197">
        <v>187.10496786759447</v>
      </c>
    </row>
    <row r="3540" spans="21:22">
      <c r="U3540">
        <v>3498</v>
      </c>
      <c r="V3540" s="197">
        <v>2325.5192945287263</v>
      </c>
    </row>
    <row r="3541" spans="21:22">
      <c r="U3541">
        <v>3499</v>
      </c>
      <c r="V3541" s="197">
        <v>-1349.9746003662569</v>
      </c>
    </row>
    <row r="3542" spans="21:22">
      <c r="U3542">
        <v>3500</v>
      </c>
      <c r="V3542" s="197">
        <v>93.190623203106298</v>
      </c>
    </row>
    <row r="3543" spans="21:22">
      <c r="U3543">
        <v>3501</v>
      </c>
      <c r="V3543" s="197">
        <v>443.85996383279104</v>
      </c>
    </row>
    <row r="3544" spans="21:22">
      <c r="U3544">
        <v>3502</v>
      </c>
      <c r="V3544" s="197">
        <v>276.07023490749305</v>
      </c>
    </row>
    <row r="3545" spans="21:22">
      <c r="U3545">
        <v>3503</v>
      </c>
      <c r="V3545" s="197">
        <v>829.55105703271738</v>
      </c>
    </row>
    <row r="3546" spans="21:22">
      <c r="U3546">
        <v>3504</v>
      </c>
      <c r="V3546" s="197">
        <v>-332.62360480738209</v>
      </c>
    </row>
    <row r="3547" spans="21:22">
      <c r="U3547">
        <v>3505</v>
      </c>
      <c r="V3547" s="197">
        <v>-162.35433641874226</v>
      </c>
    </row>
    <row r="3548" spans="21:22">
      <c r="U3548">
        <v>3506</v>
      </c>
      <c r="V3548" s="197">
        <v>-698.4083712769484</v>
      </c>
    </row>
    <row r="3549" spans="21:22">
      <c r="U3549">
        <v>3507</v>
      </c>
      <c r="V3549" s="197">
        <v>1705.9737337263678</v>
      </c>
    </row>
    <row r="3550" spans="21:22">
      <c r="U3550">
        <v>3508</v>
      </c>
      <c r="V3550" s="197">
        <v>2329.9164605269789</v>
      </c>
    </row>
    <row r="3551" spans="21:22">
      <c r="U3551">
        <v>3509</v>
      </c>
      <c r="V3551" s="197">
        <v>835.08828174947234</v>
      </c>
    </row>
    <row r="3552" spans="21:22">
      <c r="U3552">
        <v>3510</v>
      </c>
      <c r="V3552" s="197">
        <v>392.12939678766406</v>
      </c>
    </row>
    <row r="3553" spans="21:22">
      <c r="U3553">
        <v>3511</v>
      </c>
      <c r="V3553" s="197">
        <v>895.60170346068276</v>
      </c>
    </row>
    <row r="3554" spans="21:22">
      <c r="U3554">
        <v>3512</v>
      </c>
      <c r="V3554" s="197">
        <v>-391.08025504249986</v>
      </c>
    </row>
    <row r="3555" spans="21:22">
      <c r="U3555">
        <v>3513</v>
      </c>
      <c r="V3555" s="197">
        <v>439.69371064470914</v>
      </c>
    </row>
    <row r="3556" spans="21:22">
      <c r="U3556">
        <v>3514</v>
      </c>
      <c r="V3556" s="197">
        <v>904.52769098954923</v>
      </c>
    </row>
    <row r="3557" spans="21:22">
      <c r="U3557">
        <v>3515</v>
      </c>
      <c r="V3557" s="197">
        <v>-295.65898868621701</v>
      </c>
    </row>
    <row r="3558" spans="21:22">
      <c r="U3558">
        <v>3516</v>
      </c>
      <c r="V3558" s="197">
        <v>-767.23889316313534</v>
      </c>
    </row>
    <row r="3559" spans="21:22">
      <c r="U3559">
        <v>3517</v>
      </c>
      <c r="V3559" s="197">
        <v>353.68365298392132</v>
      </c>
    </row>
    <row r="3560" spans="21:22">
      <c r="U3560">
        <v>3518</v>
      </c>
      <c r="V3560" s="197">
        <v>-42.273669684195852</v>
      </c>
    </row>
    <row r="3561" spans="21:22">
      <c r="U3561">
        <v>3519</v>
      </c>
      <c r="V3561" s="197">
        <v>2513.0552419806186</v>
      </c>
    </row>
    <row r="3562" spans="21:22">
      <c r="U3562">
        <v>3520</v>
      </c>
      <c r="V3562" s="197">
        <v>-6.6188810605329422</v>
      </c>
    </row>
    <row r="3563" spans="21:22">
      <c r="U3563">
        <v>3521</v>
      </c>
      <c r="V3563" s="197">
        <v>-36.903309502822026</v>
      </c>
    </row>
    <row r="3564" spans="21:22">
      <c r="U3564">
        <v>3522</v>
      </c>
      <c r="V3564" s="197">
        <v>-209.49373982140986</v>
      </c>
    </row>
    <row r="3565" spans="21:22">
      <c r="U3565">
        <v>3523</v>
      </c>
      <c r="V3565" s="197">
        <v>-175.05995035911644</v>
      </c>
    </row>
    <row r="3566" spans="21:22">
      <c r="U3566">
        <v>3524</v>
      </c>
      <c r="V3566" s="197">
        <v>-641.85569079910124</v>
      </c>
    </row>
    <row r="3567" spans="21:22">
      <c r="U3567">
        <v>3525</v>
      </c>
      <c r="V3567" s="197">
        <v>-814.61652681639112</v>
      </c>
    </row>
    <row r="3568" spans="21:22">
      <c r="U3568">
        <v>3526</v>
      </c>
      <c r="V3568" s="197">
        <v>-336.52999058006526</v>
      </c>
    </row>
    <row r="3569" spans="21:22">
      <c r="U3569">
        <v>3527</v>
      </c>
      <c r="V3569" s="197">
        <v>-359.1572004589259</v>
      </c>
    </row>
    <row r="3570" spans="21:22">
      <c r="U3570">
        <v>3528</v>
      </c>
      <c r="V3570" s="197">
        <v>499.04432904057944</v>
      </c>
    </row>
    <row r="3571" spans="21:22">
      <c r="U3571">
        <v>3529</v>
      </c>
      <c r="V3571" s="197">
        <v>870.89396041635837</v>
      </c>
    </row>
    <row r="3572" spans="21:22">
      <c r="U3572">
        <v>3530</v>
      </c>
      <c r="V3572" s="197">
        <v>1.6657378278140555</v>
      </c>
    </row>
    <row r="3573" spans="21:22">
      <c r="U3573">
        <v>3531</v>
      </c>
      <c r="V3573" s="197">
        <v>-1174.6006536781983</v>
      </c>
    </row>
    <row r="3574" spans="21:22">
      <c r="U3574">
        <v>3532</v>
      </c>
      <c r="V3574" s="197">
        <v>892.73882396649856</v>
      </c>
    </row>
    <row r="3575" spans="21:22">
      <c r="U3575">
        <v>3533</v>
      </c>
      <c r="V3575" s="197">
        <v>-442.84960696305149</v>
      </c>
    </row>
    <row r="3576" spans="21:22">
      <c r="U3576">
        <v>3534</v>
      </c>
      <c r="V3576" s="197">
        <v>481.7002060937869</v>
      </c>
    </row>
    <row r="3577" spans="21:22">
      <c r="U3577">
        <v>3535</v>
      </c>
      <c r="V3577" s="197">
        <v>398.7809033495322</v>
      </c>
    </row>
    <row r="3578" spans="21:22">
      <c r="U3578">
        <v>3536</v>
      </c>
      <c r="V3578" s="197">
        <v>-414.4596434972272</v>
      </c>
    </row>
    <row r="3579" spans="21:22">
      <c r="U3579">
        <v>3537</v>
      </c>
      <c r="V3579" s="197">
        <v>337.2855346683607</v>
      </c>
    </row>
    <row r="3580" spans="21:22">
      <c r="U3580">
        <v>3538</v>
      </c>
      <c r="V3580" s="197">
        <v>934.28723337161864</v>
      </c>
    </row>
    <row r="3581" spans="21:22">
      <c r="U3581">
        <v>3539</v>
      </c>
      <c r="V3581" s="197">
        <v>148.16541745419579</v>
      </c>
    </row>
    <row r="3582" spans="21:22">
      <c r="U3582">
        <v>3540</v>
      </c>
      <c r="V3582" s="197">
        <v>691.77967732867387</v>
      </c>
    </row>
    <row r="3583" spans="21:22">
      <c r="U3583">
        <v>3541</v>
      </c>
      <c r="V3583" s="197">
        <v>555.79799436770736</v>
      </c>
    </row>
    <row r="3584" spans="21:22">
      <c r="U3584">
        <v>3542</v>
      </c>
      <c r="V3584" s="197">
        <v>497.87044998450114</v>
      </c>
    </row>
    <row r="3585" spans="21:22">
      <c r="U3585">
        <v>3543</v>
      </c>
      <c r="V3585" s="197">
        <v>-865.17944278341315</v>
      </c>
    </row>
    <row r="3586" spans="21:22">
      <c r="U3586">
        <v>3544</v>
      </c>
      <c r="V3586" s="197">
        <v>682.63008876823665</v>
      </c>
    </row>
    <row r="3587" spans="21:22">
      <c r="U3587">
        <v>3545</v>
      </c>
      <c r="V3587" s="197">
        <v>309.85530317715052</v>
      </c>
    </row>
    <row r="3588" spans="21:22">
      <c r="U3588">
        <v>3546</v>
      </c>
      <c r="V3588" s="197">
        <v>-864.14452463826819</v>
      </c>
    </row>
    <row r="3589" spans="21:22">
      <c r="U3589">
        <v>3547</v>
      </c>
      <c r="V3589" s="197">
        <v>1371.407935066796</v>
      </c>
    </row>
    <row r="3590" spans="21:22">
      <c r="U3590">
        <v>3548</v>
      </c>
      <c r="V3590" s="197">
        <v>1030.8295718695827</v>
      </c>
    </row>
    <row r="3591" spans="21:22">
      <c r="U3591">
        <v>3549</v>
      </c>
      <c r="V3591" s="197">
        <v>-566.73455853647579</v>
      </c>
    </row>
    <row r="3592" spans="21:22">
      <c r="U3592">
        <v>3550</v>
      </c>
      <c r="V3592" s="197">
        <v>682.54781096854481</v>
      </c>
    </row>
    <row r="3593" spans="21:22">
      <c r="U3593">
        <v>3551</v>
      </c>
      <c r="V3593" s="197">
        <v>-190.60391038058123</v>
      </c>
    </row>
    <row r="3594" spans="21:22">
      <c r="U3594">
        <v>3552</v>
      </c>
      <c r="V3594" s="197">
        <v>-29.106045525101209</v>
      </c>
    </row>
    <row r="3595" spans="21:22">
      <c r="U3595">
        <v>3553</v>
      </c>
      <c r="V3595" s="197">
        <v>474.4713091116443</v>
      </c>
    </row>
    <row r="3596" spans="21:22">
      <c r="U3596">
        <v>3554</v>
      </c>
      <c r="V3596" s="197">
        <v>762.96354350907018</v>
      </c>
    </row>
    <row r="3597" spans="21:22">
      <c r="U3597">
        <v>3555</v>
      </c>
      <c r="V3597" s="197">
        <v>1253.8124628507035</v>
      </c>
    </row>
    <row r="3598" spans="21:22">
      <c r="U3598">
        <v>3556</v>
      </c>
      <c r="V3598" s="197">
        <v>61.893107396365899</v>
      </c>
    </row>
    <row r="3599" spans="21:22">
      <c r="U3599">
        <v>3557</v>
      </c>
      <c r="V3599" s="197">
        <v>1329.0175963611275</v>
      </c>
    </row>
    <row r="3600" spans="21:22">
      <c r="U3600">
        <v>3558</v>
      </c>
      <c r="V3600" s="197">
        <v>409.55506392246519</v>
      </c>
    </row>
    <row r="3601" spans="21:22">
      <c r="U3601">
        <v>3559</v>
      </c>
      <c r="V3601" s="197">
        <v>-191.46629438552259</v>
      </c>
    </row>
    <row r="3602" spans="21:22">
      <c r="U3602">
        <v>3560</v>
      </c>
      <c r="V3602" s="197">
        <v>-821.23976054216587</v>
      </c>
    </row>
    <row r="3603" spans="21:22">
      <c r="U3603">
        <v>3561</v>
      </c>
      <c r="V3603" s="197">
        <v>-673.45743960232357</v>
      </c>
    </row>
    <row r="3604" spans="21:22">
      <c r="U3604">
        <v>3562</v>
      </c>
      <c r="V3604" s="197">
        <v>1000.449264077163</v>
      </c>
    </row>
    <row r="3605" spans="21:22">
      <c r="U3605">
        <v>3563</v>
      </c>
      <c r="V3605" s="197">
        <v>-274.01121212770596</v>
      </c>
    </row>
    <row r="3606" spans="21:22">
      <c r="U3606">
        <v>3564</v>
      </c>
      <c r="V3606" s="197">
        <v>-622.1026933539199</v>
      </c>
    </row>
    <row r="3607" spans="21:22">
      <c r="U3607">
        <v>3565</v>
      </c>
      <c r="V3607" s="197">
        <v>-424.36791861296973</v>
      </c>
    </row>
    <row r="3608" spans="21:22">
      <c r="U3608">
        <v>3566</v>
      </c>
      <c r="V3608" s="197">
        <v>632.88778509242547</v>
      </c>
    </row>
    <row r="3609" spans="21:22">
      <c r="U3609">
        <v>3567</v>
      </c>
      <c r="V3609" s="197">
        <v>683.26635553594747</v>
      </c>
    </row>
    <row r="3610" spans="21:22">
      <c r="U3610">
        <v>3568</v>
      </c>
      <c r="V3610" s="197">
        <v>727.93560865724885</v>
      </c>
    </row>
    <row r="3611" spans="21:22">
      <c r="U3611">
        <v>3569</v>
      </c>
      <c r="V3611" s="197">
        <v>53.351580356143579</v>
      </c>
    </row>
    <row r="3612" spans="21:22">
      <c r="U3612">
        <v>3570</v>
      </c>
      <c r="V3612" s="197">
        <v>-736.73514425697931</v>
      </c>
    </row>
    <row r="3613" spans="21:22">
      <c r="U3613">
        <v>3571</v>
      </c>
      <c r="V3613" s="197">
        <v>-719.21281605003878</v>
      </c>
    </row>
    <row r="3614" spans="21:22">
      <c r="U3614">
        <v>3572</v>
      </c>
      <c r="V3614" s="197">
        <v>-592.97549410571946</v>
      </c>
    </row>
    <row r="3615" spans="21:22">
      <c r="U3615">
        <v>3573</v>
      </c>
      <c r="V3615" s="197">
        <v>-1073.5347488815253</v>
      </c>
    </row>
    <row r="3616" spans="21:22">
      <c r="U3616">
        <v>3574</v>
      </c>
      <c r="V3616" s="197">
        <v>271.34347298906494</v>
      </c>
    </row>
    <row r="3617" spans="21:22">
      <c r="U3617">
        <v>3575</v>
      </c>
      <c r="V3617" s="197">
        <v>-1909.9872508038031</v>
      </c>
    </row>
    <row r="3618" spans="21:22">
      <c r="U3618">
        <v>3576</v>
      </c>
      <c r="V3618" s="197">
        <v>427.43706618523248</v>
      </c>
    </row>
    <row r="3619" spans="21:22">
      <c r="U3619">
        <v>3577</v>
      </c>
      <c r="V3619" s="197">
        <v>241.20662738041614</v>
      </c>
    </row>
    <row r="3620" spans="21:22">
      <c r="U3620">
        <v>3578</v>
      </c>
      <c r="V3620" s="197">
        <v>1567.0006212191463</v>
      </c>
    </row>
    <row r="3621" spans="21:22">
      <c r="U3621">
        <v>3579</v>
      </c>
      <c r="V3621" s="197">
        <v>-1615.4985297961182</v>
      </c>
    </row>
    <row r="3622" spans="21:22">
      <c r="U3622">
        <v>3580</v>
      </c>
      <c r="V3622" s="197">
        <v>-1371.0832918584003</v>
      </c>
    </row>
    <row r="3623" spans="21:22">
      <c r="U3623">
        <v>3581</v>
      </c>
      <c r="V3623" s="197">
        <v>132.42996506233018</v>
      </c>
    </row>
    <row r="3624" spans="21:22">
      <c r="U3624">
        <v>3582</v>
      </c>
      <c r="V3624" s="197">
        <v>-396.89453573692998</v>
      </c>
    </row>
    <row r="3625" spans="21:22">
      <c r="U3625">
        <v>3583</v>
      </c>
      <c r="V3625" s="197">
        <v>-1052.1801988869399</v>
      </c>
    </row>
    <row r="3626" spans="21:22">
      <c r="U3626">
        <v>3584</v>
      </c>
      <c r="V3626" s="197">
        <v>-680.85326184427072</v>
      </c>
    </row>
    <row r="3627" spans="21:22">
      <c r="U3627">
        <v>3585</v>
      </c>
      <c r="V3627" s="197">
        <v>552.21107653777267</v>
      </c>
    </row>
    <row r="3628" spans="21:22">
      <c r="U3628">
        <v>3586</v>
      </c>
      <c r="V3628" s="197">
        <v>693.89108257940143</v>
      </c>
    </row>
    <row r="3629" spans="21:22">
      <c r="U3629">
        <v>3587</v>
      </c>
      <c r="V3629" s="197">
        <v>1139.9489825834398</v>
      </c>
    </row>
    <row r="3630" spans="21:22">
      <c r="U3630">
        <v>3588</v>
      </c>
      <c r="V3630" s="197">
        <v>9.8571198405461189</v>
      </c>
    </row>
    <row r="3631" spans="21:22">
      <c r="U3631">
        <v>3589</v>
      </c>
      <c r="V3631" s="197">
        <v>1297.3542798218671</v>
      </c>
    </row>
    <row r="3632" spans="21:22">
      <c r="U3632">
        <v>3590</v>
      </c>
      <c r="V3632" s="197">
        <v>652.6248065109155</v>
      </c>
    </row>
    <row r="3633" spans="21:22">
      <c r="U3633">
        <v>3591</v>
      </c>
      <c r="V3633" s="197">
        <v>-482.70069288734516</v>
      </c>
    </row>
    <row r="3634" spans="21:22">
      <c r="U3634">
        <v>3592</v>
      </c>
      <c r="V3634" s="197">
        <v>287.65535022755125</v>
      </c>
    </row>
    <row r="3635" spans="21:22">
      <c r="U3635">
        <v>3593</v>
      </c>
      <c r="V3635" s="197">
        <v>264.28211978895172</v>
      </c>
    </row>
    <row r="3636" spans="21:22">
      <c r="U3636">
        <v>3594</v>
      </c>
      <c r="V3636" s="197">
        <v>1038.8944620838201</v>
      </c>
    </row>
    <row r="3637" spans="21:22">
      <c r="U3637">
        <v>3595</v>
      </c>
      <c r="V3637" s="197">
        <v>-746.8144876763572</v>
      </c>
    </row>
    <row r="3638" spans="21:22">
      <c r="U3638">
        <v>3596</v>
      </c>
      <c r="V3638" s="197">
        <v>-620.2852114131972</v>
      </c>
    </row>
    <row r="3639" spans="21:22">
      <c r="U3639">
        <v>3597</v>
      </c>
      <c r="V3639" s="197">
        <v>16.949555923920997</v>
      </c>
    </row>
    <row r="3640" spans="21:22">
      <c r="U3640">
        <v>3598</v>
      </c>
      <c r="V3640" s="197">
        <v>1413.7488716000817</v>
      </c>
    </row>
    <row r="3641" spans="21:22">
      <c r="U3641">
        <v>3599</v>
      </c>
      <c r="V3641" s="197">
        <v>1917.3985985518873</v>
      </c>
    </row>
    <row r="3642" spans="21:22">
      <c r="U3642">
        <v>3600</v>
      </c>
      <c r="V3642" s="197">
        <v>-997.79654129090136</v>
      </c>
    </row>
    <row r="3643" spans="21:22">
      <c r="U3643">
        <v>3601</v>
      </c>
      <c r="V3643" s="197">
        <v>-258.08599416361193</v>
      </c>
    </row>
    <row r="3644" spans="21:22">
      <c r="U3644">
        <v>3602</v>
      </c>
      <c r="V3644" s="197">
        <v>-399.61744337001397</v>
      </c>
    </row>
    <row r="3645" spans="21:22">
      <c r="U3645">
        <v>3603</v>
      </c>
      <c r="V3645" s="197">
        <v>209.18408873475815</v>
      </c>
    </row>
    <row r="3646" spans="21:22">
      <c r="U3646">
        <v>3604</v>
      </c>
      <c r="V3646" s="197">
        <v>-192.54975223557182</v>
      </c>
    </row>
    <row r="3647" spans="21:22">
      <c r="U3647">
        <v>3605</v>
      </c>
      <c r="V3647" s="197">
        <v>296.12414076519872</v>
      </c>
    </row>
    <row r="3648" spans="21:22">
      <c r="U3648">
        <v>3606</v>
      </c>
      <c r="V3648" s="197">
        <v>-13.512270116901973</v>
      </c>
    </row>
    <row r="3649" spans="21:22">
      <c r="U3649">
        <v>3607</v>
      </c>
      <c r="V3649" s="197">
        <v>920.85542855871154</v>
      </c>
    </row>
    <row r="3650" spans="21:22">
      <c r="U3650">
        <v>3608</v>
      </c>
      <c r="V3650" s="197">
        <v>722.6409438114074</v>
      </c>
    </row>
    <row r="3651" spans="21:22">
      <c r="U3651">
        <v>3609</v>
      </c>
      <c r="V3651" s="197">
        <v>1105.6231266674056</v>
      </c>
    </row>
    <row r="3652" spans="21:22">
      <c r="U3652">
        <v>3610</v>
      </c>
      <c r="V3652" s="197">
        <v>874.57562949315889</v>
      </c>
    </row>
    <row r="3653" spans="21:22">
      <c r="U3653">
        <v>3611</v>
      </c>
      <c r="V3653" s="197">
        <v>-735.79025912628072</v>
      </c>
    </row>
    <row r="3654" spans="21:22">
      <c r="U3654">
        <v>3612</v>
      </c>
      <c r="V3654" s="197">
        <v>-542.92339872477669</v>
      </c>
    </row>
    <row r="3655" spans="21:22">
      <c r="U3655">
        <v>3613</v>
      </c>
      <c r="V3655" s="197">
        <v>-837.63210979669293</v>
      </c>
    </row>
    <row r="3656" spans="21:22">
      <c r="U3656">
        <v>3614</v>
      </c>
      <c r="V3656" s="197">
        <v>-935.58155998117945</v>
      </c>
    </row>
    <row r="3657" spans="21:22">
      <c r="U3657">
        <v>3615</v>
      </c>
      <c r="V3657" s="197">
        <v>472.33869626169832</v>
      </c>
    </row>
    <row r="3658" spans="21:22">
      <c r="U3658">
        <v>3616</v>
      </c>
      <c r="V3658" s="197">
        <v>170.32548004976087</v>
      </c>
    </row>
    <row r="3659" spans="21:22">
      <c r="U3659">
        <v>3617</v>
      </c>
      <c r="V3659" s="197">
        <v>651.95089973566837</v>
      </c>
    </row>
    <row r="3660" spans="21:22">
      <c r="U3660">
        <v>3618</v>
      </c>
      <c r="V3660" s="197">
        <v>724.01382671917145</v>
      </c>
    </row>
    <row r="3661" spans="21:22">
      <c r="U3661">
        <v>3619</v>
      </c>
      <c r="V3661" s="197">
        <v>9.3456006568722501</v>
      </c>
    </row>
    <row r="3662" spans="21:22">
      <c r="U3662">
        <v>3620</v>
      </c>
      <c r="V3662" s="197">
        <v>906.37307362965589</v>
      </c>
    </row>
    <row r="3663" spans="21:22">
      <c r="U3663">
        <v>3621</v>
      </c>
      <c r="V3663" s="197">
        <v>-1608.199784332093</v>
      </c>
    </row>
    <row r="3664" spans="21:22">
      <c r="U3664">
        <v>3622</v>
      </c>
      <c r="V3664" s="197">
        <v>451.64351621861715</v>
      </c>
    </row>
    <row r="3665" spans="21:22">
      <c r="U3665">
        <v>3623</v>
      </c>
      <c r="V3665" s="197">
        <v>-287.60491195125371</v>
      </c>
    </row>
    <row r="3666" spans="21:22">
      <c r="U3666">
        <v>3624</v>
      </c>
      <c r="V3666" s="197">
        <v>1028.9193756140405</v>
      </c>
    </row>
    <row r="3667" spans="21:22">
      <c r="U3667">
        <v>3625</v>
      </c>
      <c r="V3667" s="197">
        <v>-192.0809960728613</v>
      </c>
    </row>
    <row r="3668" spans="21:22">
      <c r="U3668">
        <v>3626</v>
      </c>
      <c r="V3668" s="197">
        <v>497.25304720698762</v>
      </c>
    </row>
    <row r="3669" spans="21:22">
      <c r="U3669">
        <v>3627</v>
      </c>
      <c r="V3669" s="197">
        <v>-831.22688410102546</v>
      </c>
    </row>
    <row r="3670" spans="21:22">
      <c r="U3670">
        <v>3628</v>
      </c>
      <c r="V3670" s="197">
        <v>314.54742641178416</v>
      </c>
    </row>
    <row r="3671" spans="21:22">
      <c r="U3671">
        <v>3629</v>
      </c>
      <c r="V3671" s="197">
        <v>1652.482939065384</v>
      </c>
    </row>
    <row r="3672" spans="21:22">
      <c r="U3672">
        <v>3630</v>
      </c>
      <c r="V3672" s="197">
        <v>415.466795348635</v>
      </c>
    </row>
    <row r="3673" spans="21:22">
      <c r="U3673">
        <v>3631</v>
      </c>
      <c r="V3673" s="197">
        <v>717.39793133641206</v>
      </c>
    </row>
    <row r="3674" spans="21:22">
      <c r="U3674">
        <v>3632</v>
      </c>
      <c r="V3674" s="197">
        <v>1802.8701982213781</v>
      </c>
    </row>
    <row r="3675" spans="21:22">
      <c r="U3675">
        <v>3633</v>
      </c>
      <c r="V3675" s="197">
        <v>405.03172810433233</v>
      </c>
    </row>
    <row r="3676" spans="21:22">
      <c r="U3676">
        <v>3634</v>
      </c>
      <c r="V3676" s="197">
        <v>1097.6208039129144</v>
      </c>
    </row>
    <row r="3677" spans="21:22">
      <c r="U3677">
        <v>3635</v>
      </c>
      <c r="V3677" s="197">
        <v>768.04321927602587</v>
      </c>
    </row>
    <row r="3678" spans="21:22">
      <c r="U3678">
        <v>3636</v>
      </c>
      <c r="V3678" s="197">
        <v>773.28852730994481</v>
      </c>
    </row>
    <row r="3679" spans="21:22">
      <c r="U3679">
        <v>3637</v>
      </c>
      <c r="V3679" s="197">
        <v>667.6309020444744</v>
      </c>
    </row>
    <row r="3680" spans="21:22">
      <c r="U3680">
        <v>3638</v>
      </c>
      <c r="V3680" s="197">
        <v>-1719.9998407532471</v>
      </c>
    </row>
    <row r="3681" spans="21:22">
      <c r="U3681">
        <v>3639</v>
      </c>
      <c r="V3681" s="197">
        <v>-346.21990679416018</v>
      </c>
    </row>
    <row r="3682" spans="21:22">
      <c r="U3682">
        <v>3640</v>
      </c>
      <c r="V3682" s="197">
        <v>-189.70235290282682</v>
      </c>
    </row>
    <row r="3683" spans="21:22">
      <c r="U3683">
        <v>3641</v>
      </c>
      <c r="V3683" s="197">
        <v>517.44893765320887</v>
      </c>
    </row>
    <row r="3684" spans="21:22">
      <c r="U3684">
        <v>3642</v>
      </c>
      <c r="V3684" s="197">
        <v>-97.009856755522435</v>
      </c>
    </row>
    <row r="3685" spans="21:22">
      <c r="U3685">
        <v>3643</v>
      </c>
      <c r="V3685" s="197">
        <v>-951.10243500320075</v>
      </c>
    </row>
    <row r="3686" spans="21:22">
      <c r="U3686">
        <v>3644</v>
      </c>
      <c r="V3686" s="197">
        <v>901.54861471320964</v>
      </c>
    </row>
    <row r="3687" spans="21:22">
      <c r="U3687">
        <v>3645</v>
      </c>
      <c r="V3687" s="197">
        <v>821.42440934510591</v>
      </c>
    </row>
    <row r="3688" spans="21:22">
      <c r="U3688">
        <v>3646</v>
      </c>
      <c r="V3688" s="197">
        <v>-33.238657955784959</v>
      </c>
    </row>
    <row r="3689" spans="21:22">
      <c r="U3689">
        <v>3647</v>
      </c>
      <c r="V3689" s="197">
        <v>-491.55499510430985</v>
      </c>
    </row>
    <row r="3690" spans="21:22">
      <c r="U3690">
        <v>3648</v>
      </c>
      <c r="V3690" s="197">
        <v>-63.189366963134262</v>
      </c>
    </row>
    <row r="3691" spans="21:22">
      <c r="U3691">
        <v>3649</v>
      </c>
      <c r="V3691" s="197">
        <v>1004.6357148743539</v>
      </c>
    </row>
    <row r="3692" spans="21:22">
      <c r="U3692">
        <v>3650</v>
      </c>
      <c r="V3692" s="197">
        <v>979.60337322429177</v>
      </c>
    </row>
    <row r="3693" spans="21:22">
      <c r="U3693">
        <v>3651</v>
      </c>
      <c r="V3693" s="197">
        <v>-1334.9998748889036</v>
      </c>
    </row>
    <row r="3694" spans="21:22">
      <c r="U3694">
        <v>3652</v>
      </c>
      <c r="V3694" s="197">
        <v>435.36939599599657</v>
      </c>
    </row>
    <row r="3695" spans="21:22">
      <c r="U3695">
        <v>3653</v>
      </c>
      <c r="V3695" s="197">
        <v>-44.109813655155875</v>
      </c>
    </row>
    <row r="3696" spans="21:22">
      <c r="U3696">
        <v>3654</v>
      </c>
      <c r="V3696" s="197">
        <v>-909.10656728449453</v>
      </c>
    </row>
    <row r="3697" spans="21:22">
      <c r="U3697">
        <v>3655</v>
      </c>
      <c r="V3697" s="197">
        <v>232.43325203613733</v>
      </c>
    </row>
    <row r="3698" spans="21:22">
      <c r="U3698">
        <v>3656</v>
      </c>
      <c r="V3698" s="197">
        <v>-43.115748649043638</v>
      </c>
    </row>
    <row r="3699" spans="21:22">
      <c r="U3699">
        <v>3657</v>
      </c>
      <c r="V3699" s="197">
        <v>-160.51289827280988</v>
      </c>
    </row>
    <row r="3700" spans="21:22">
      <c r="U3700">
        <v>3658</v>
      </c>
      <c r="V3700" s="197">
        <v>-783.96083794706919</v>
      </c>
    </row>
    <row r="3701" spans="21:22">
      <c r="U3701">
        <v>3659</v>
      </c>
      <c r="V3701" s="197">
        <v>-1459.0187802616113</v>
      </c>
    </row>
    <row r="3702" spans="21:22">
      <c r="U3702">
        <v>3660</v>
      </c>
      <c r="V3702" s="197">
        <v>1237.1979713718372</v>
      </c>
    </row>
    <row r="3703" spans="21:22">
      <c r="U3703">
        <v>3661</v>
      </c>
      <c r="V3703" s="197">
        <v>247.86292214839713</v>
      </c>
    </row>
    <row r="3704" spans="21:22">
      <c r="U3704">
        <v>3662</v>
      </c>
      <c r="V3704" s="197">
        <v>1176.5379271394663</v>
      </c>
    </row>
    <row r="3705" spans="21:22">
      <c r="U3705">
        <v>3663</v>
      </c>
      <c r="V3705" s="197">
        <v>203.79806215748991</v>
      </c>
    </row>
    <row r="3706" spans="21:22">
      <c r="U3706">
        <v>3664</v>
      </c>
      <c r="V3706" s="197">
        <v>1559.6638160305413</v>
      </c>
    </row>
    <row r="3707" spans="21:22">
      <c r="U3707">
        <v>3665</v>
      </c>
      <c r="V3707" s="197">
        <v>495.51797488040296</v>
      </c>
    </row>
    <row r="3708" spans="21:22">
      <c r="U3708">
        <v>3666</v>
      </c>
      <c r="V3708" s="197">
        <v>-485.34716053009328</v>
      </c>
    </row>
    <row r="3709" spans="21:22">
      <c r="U3709">
        <v>3667</v>
      </c>
      <c r="V3709" s="197">
        <v>1295.0531483730458</v>
      </c>
    </row>
    <row r="3710" spans="21:22">
      <c r="U3710">
        <v>3668</v>
      </c>
      <c r="V3710" s="197">
        <v>918.63201976594041</v>
      </c>
    </row>
    <row r="3711" spans="21:22">
      <c r="U3711">
        <v>3669</v>
      </c>
      <c r="V3711" s="197">
        <v>-43.734884155647393</v>
      </c>
    </row>
    <row r="3712" spans="21:22">
      <c r="U3712">
        <v>3670</v>
      </c>
      <c r="V3712" s="197">
        <v>-553.25228775033179</v>
      </c>
    </row>
    <row r="3713" spans="21:22">
      <c r="U3713">
        <v>3671</v>
      </c>
      <c r="V3713" s="197">
        <v>-2676.1579907116638</v>
      </c>
    </row>
    <row r="3714" spans="21:22">
      <c r="U3714">
        <v>3672</v>
      </c>
      <c r="V3714" s="197">
        <v>1141.8760158975376</v>
      </c>
    </row>
    <row r="3715" spans="21:22">
      <c r="U3715">
        <v>3673</v>
      </c>
      <c r="V3715" s="197">
        <v>505.21113521057623</v>
      </c>
    </row>
    <row r="3716" spans="21:22">
      <c r="U3716">
        <v>3674</v>
      </c>
      <c r="V3716" s="197">
        <v>-518.62871067595324</v>
      </c>
    </row>
    <row r="3717" spans="21:22">
      <c r="U3717">
        <v>3675</v>
      </c>
      <c r="V3717" s="197">
        <v>883.260500822837</v>
      </c>
    </row>
    <row r="3718" spans="21:22">
      <c r="U3718">
        <v>3676</v>
      </c>
      <c r="V3718" s="197">
        <v>735.437004044265</v>
      </c>
    </row>
    <row r="3719" spans="21:22">
      <c r="U3719">
        <v>3677</v>
      </c>
      <c r="V3719" s="197">
        <v>83.403089322313022</v>
      </c>
    </row>
    <row r="3720" spans="21:22">
      <c r="U3720">
        <v>3678</v>
      </c>
      <c r="V3720" s="197">
        <v>1134.472943063319</v>
      </c>
    </row>
    <row r="3721" spans="21:22">
      <c r="U3721">
        <v>3679</v>
      </c>
      <c r="V3721" s="197">
        <v>227.24237581170274</v>
      </c>
    </row>
    <row r="3722" spans="21:22">
      <c r="U3722">
        <v>3680</v>
      </c>
      <c r="V3722" s="197">
        <v>-368.77353873014494</v>
      </c>
    </row>
    <row r="3723" spans="21:22">
      <c r="U3723">
        <v>3681</v>
      </c>
      <c r="V3723" s="197">
        <v>1378.6243898276412</v>
      </c>
    </row>
    <row r="3724" spans="21:22">
      <c r="U3724">
        <v>3682</v>
      </c>
      <c r="V3724" s="197">
        <v>-490.54381247549992</v>
      </c>
    </row>
    <row r="3725" spans="21:22">
      <c r="U3725">
        <v>3683</v>
      </c>
      <c r="V3725" s="197">
        <v>-929.55322349663334</v>
      </c>
    </row>
    <row r="3726" spans="21:22">
      <c r="U3726">
        <v>3684</v>
      </c>
      <c r="V3726" s="197">
        <v>-13.323684683778296</v>
      </c>
    </row>
    <row r="3727" spans="21:22">
      <c r="U3727">
        <v>3685</v>
      </c>
      <c r="V3727" s="197">
        <v>673.81012087966269</v>
      </c>
    </row>
    <row r="3728" spans="21:22">
      <c r="U3728">
        <v>3686</v>
      </c>
      <c r="V3728" s="197">
        <v>80.491108413042184</v>
      </c>
    </row>
    <row r="3729" spans="21:22">
      <c r="U3729">
        <v>3687</v>
      </c>
      <c r="V3729" s="197">
        <v>56.606474839486168</v>
      </c>
    </row>
    <row r="3730" spans="21:22">
      <c r="U3730">
        <v>3688</v>
      </c>
      <c r="V3730" s="197">
        <v>239.38320824560091</v>
      </c>
    </row>
    <row r="3731" spans="21:22">
      <c r="U3731">
        <v>3689</v>
      </c>
      <c r="V3731" s="197">
        <v>202.5319053064847</v>
      </c>
    </row>
    <row r="3732" spans="21:22">
      <c r="U3732">
        <v>3690</v>
      </c>
      <c r="V3732" s="197">
        <v>138.3490043598589</v>
      </c>
    </row>
    <row r="3733" spans="21:22">
      <c r="U3733">
        <v>3691</v>
      </c>
      <c r="V3733" s="197">
        <v>-802.77443363720431</v>
      </c>
    </row>
    <row r="3734" spans="21:22">
      <c r="U3734">
        <v>3692</v>
      </c>
      <c r="V3734" s="197">
        <v>724.43141540819147</v>
      </c>
    </row>
    <row r="3735" spans="21:22">
      <c r="U3735">
        <v>3693</v>
      </c>
      <c r="V3735" s="197">
        <v>-1362.7040910603673</v>
      </c>
    </row>
    <row r="3736" spans="21:22">
      <c r="U3736">
        <v>3694</v>
      </c>
      <c r="V3736" s="197">
        <v>-1368.5129876859285</v>
      </c>
    </row>
    <row r="3737" spans="21:22">
      <c r="U3737">
        <v>3695</v>
      </c>
      <c r="V3737" s="197">
        <v>-98.331193469517046</v>
      </c>
    </row>
    <row r="3738" spans="21:22">
      <c r="U3738">
        <v>3696</v>
      </c>
      <c r="V3738" s="197">
        <v>-120.76166707999357</v>
      </c>
    </row>
    <row r="3739" spans="21:22">
      <c r="U3739">
        <v>3697</v>
      </c>
      <c r="V3739" s="197">
        <v>398.13801889523717</v>
      </c>
    </row>
    <row r="3740" spans="21:22">
      <c r="U3740">
        <v>3698</v>
      </c>
      <c r="V3740" s="197">
        <v>1492.2041322980726</v>
      </c>
    </row>
    <row r="3741" spans="21:22">
      <c r="U3741">
        <v>3699</v>
      </c>
      <c r="V3741" s="197">
        <v>1954.8621705073297</v>
      </c>
    </row>
    <row r="3742" spans="21:22">
      <c r="U3742">
        <v>3700</v>
      </c>
      <c r="V3742" s="197">
        <v>558.68803863887638</v>
      </c>
    </row>
    <row r="3743" spans="21:22">
      <c r="U3743">
        <v>3701</v>
      </c>
      <c r="V3743" s="197">
        <v>481.55087190745945</v>
      </c>
    </row>
    <row r="3744" spans="21:22">
      <c r="U3744">
        <v>3702</v>
      </c>
      <c r="V3744" s="197">
        <v>375.27790895797904</v>
      </c>
    </row>
    <row r="3745" spans="21:22">
      <c r="U3745">
        <v>3703</v>
      </c>
      <c r="V3745" s="197">
        <v>-199.1661752165993</v>
      </c>
    </row>
    <row r="3746" spans="21:22">
      <c r="U3746">
        <v>3704</v>
      </c>
      <c r="V3746" s="197">
        <v>289.97913819015628</v>
      </c>
    </row>
    <row r="3747" spans="21:22">
      <c r="U3747">
        <v>3705</v>
      </c>
      <c r="V3747" s="197">
        <v>-1009.8859922259358</v>
      </c>
    </row>
    <row r="3748" spans="21:22">
      <c r="U3748">
        <v>3706</v>
      </c>
      <c r="V3748" s="197">
        <v>428.30252482702525</v>
      </c>
    </row>
    <row r="3749" spans="21:22">
      <c r="U3749">
        <v>3707</v>
      </c>
      <c r="V3749" s="197">
        <v>411.01530937076251</v>
      </c>
    </row>
    <row r="3750" spans="21:22">
      <c r="U3750">
        <v>3708</v>
      </c>
      <c r="V3750" s="197">
        <v>816.14488378869919</v>
      </c>
    </row>
    <row r="3751" spans="21:22">
      <c r="U3751">
        <v>3709</v>
      </c>
      <c r="V3751" s="197">
        <v>-631.10319377143082</v>
      </c>
    </row>
    <row r="3752" spans="21:22">
      <c r="U3752">
        <v>3710</v>
      </c>
      <c r="V3752" s="197">
        <v>-863.19989835976321</v>
      </c>
    </row>
    <row r="3753" spans="21:22">
      <c r="U3753">
        <v>3711</v>
      </c>
      <c r="V3753" s="197">
        <v>562.77968435322214</v>
      </c>
    </row>
    <row r="3754" spans="21:22">
      <c r="U3754">
        <v>3712</v>
      </c>
      <c r="V3754" s="197">
        <v>-344.91549082140688</v>
      </c>
    </row>
    <row r="3755" spans="21:22">
      <c r="U3755">
        <v>3713</v>
      </c>
      <c r="V3755" s="197">
        <v>1721.192773112019</v>
      </c>
    </row>
    <row r="3756" spans="21:22">
      <c r="U3756">
        <v>3714</v>
      </c>
      <c r="V3756" s="197">
        <v>1663.0183055101872</v>
      </c>
    </row>
    <row r="3757" spans="21:22">
      <c r="U3757">
        <v>3715</v>
      </c>
      <c r="V3757" s="197">
        <v>1557.9792384288887</v>
      </c>
    </row>
    <row r="3758" spans="21:22">
      <c r="U3758">
        <v>3716</v>
      </c>
      <c r="V3758" s="197">
        <v>336.97920431526859</v>
      </c>
    </row>
    <row r="3759" spans="21:22">
      <c r="U3759">
        <v>3717</v>
      </c>
      <c r="V3759" s="197">
        <v>-1253.5224766997574</v>
      </c>
    </row>
    <row r="3760" spans="21:22">
      <c r="U3760">
        <v>3718</v>
      </c>
      <c r="V3760" s="197">
        <v>1576.1753245473237</v>
      </c>
    </row>
    <row r="3761" spans="21:22">
      <c r="U3761">
        <v>3719</v>
      </c>
      <c r="V3761" s="197">
        <v>-1912.5183305439496</v>
      </c>
    </row>
    <row r="3762" spans="21:22">
      <c r="U3762">
        <v>3720</v>
      </c>
      <c r="V3762" s="197">
        <v>-919.01927129812566</v>
      </c>
    </row>
    <row r="3763" spans="21:22">
      <c r="U3763">
        <v>3721</v>
      </c>
      <c r="V3763" s="197">
        <v>-775.34858013459007</v>
      </c>
    </row>
    <row r="3764" spans="21:22">
      <c r="U3764">
        <v>3722</v>
      </c>
      <c r="V3764" s="197">
        <v>-83.788662951069284</v>
      </c>
    </row>
    <row r="3765" spans="21:22">
      <c r="U3765">
        <v>3723</v>
      </c>
      <c r="V3765" s="197">
        <v>-546.85391228493268</v>
      </c>
    </row>
    <row r="3766" spans="21:22">
      <c r="U3766">
        <v>3724</v>
      </c>
      <c r="V3766" s="197">
        <v>-378.78830229420117</v>
      </c>
    </row>
    <row r="3767" spans="21:22">
      <c r="U3767">
        <v>3725</v>
      </c>
      <c r="V3767" s="197">
        <v>-689.13651105232634</v>
      </c>
    </row>
    <row r="3768" spans="21:22">
      <c r="U3768">
        <v>3726</v>
      </c>
      <c r="V3768" s="197">
        <v>564.80235122527495</v>
      </c>
    </row>
    <row r="3769" spans="21:22">
      <c r="U3769">
        <v>3727</v>
      </c>
      <c r="V3769" s="197">
        <v>1430.0031348719788</v>
      </c>
    </row>
    <row r="3770" spans="21:22">
      <c r="U3770">
        <v>3728</v>
      </c>
      <c r="V3770" s="197">
        <v>410.38635739535778</v>
      </c>
    </row>
    <row r="3771" spans="21:22">
      <c r="U3771">
        <v>3729</v>
      </c>
      <c r="V3771" s="197">
        <v>327.42278133148176</v>
      </c>
    </row>
    <row r="3772" spans="21:22">
      <c r="U3772">
        <v>3730</v>
      </c>
      <c r="V3772" s="197">
        <v>-1202.7283764314463</v>
      </c>
    </row>
    <row r="3773" spans="21:22">
      <c r="U3773">
        <v>3731</v>
      </c>
      <c r="V3773" s="197">
        <v>322.36066148321623</v>
      </c>
    </row>
    <row r="3774" spans="21:22">
      <c r="U3774">
        <v>3732</v>
      </c>
      <c r="V3774" s="197">
        <v>-1933.9400317668617</v>
      </c>
    </row>
    <row r="3775" spans="21:22">
      <c r="U3775">
        <v>3733</v>
      </c>
      <c r="V3775" s="197">
        <v>887.99438703930264</v>
      </c>
    </row>
    <row r="3776" spans="21:22">
      <c r="U3776">
        <v>3734</v>
      </c>
      <c r="V3776" s="197">
        <v>-1505.6971562421625</v>
      </c>
    </row>
    <row r="3777" spans="21:22">
      <c r="U3777">
        <v>3735</v>
      </c>
      <c r="V3777" s="197">
        <v>22.014883258834985</v>
      </c>
    </row>
    <row r="3778" spans="21:22">
      <c r="U3778">
        <v>3736</v>
      </c>
      <c r="V3778" s="197">
        <v>166.35019828532029</v>
      </c>
    </row>
    <row r="3779" spans="21:22">
      <c r="U3779">
        <v>3737</v>
      </c>
      <c r="V3779" s="197">
        <v>-1352.0097533167434</v>
      </c>
    </row>
    <row r="3780" spans="21:22">
      <c r="U3780">
        <v>3738</v>
      </c>
      <c r="V3780" s="197">
        <v>1247.3316043864147</v>
      </c>
    </row>
    <row r="3781" spans="21:22">
      <c r="U3781">
        <v>3739</v>
      </c>
      <c r="V3781" s="197">
        <v>385.4564238863</v>
      </c>
    </row>
    <row r="3782" spans="21:22">
      <c r="U3782">
        <v>3740</v>
      </c>
      <c r="V3782" s="197">
        <v>-807.49155183606763</v>
      </c>
    </row>
    <row r="3783" spans="21:22">
      <c r="U3783">
        <v>3741</v>
      </c>
      <c r="V3783" s="197">
        <v>143.76164399282212</v>
      </c>
    </row>
    <row r="3784" spans="21:22">
      <c r="U3784">
        <v>3742</v>
      </c>
      <c r="V3784" s="197">
        <v>828.66733749797572</v>
      </c>
    </row>
    <row r="3785" spans="21:22">
      <c r="U3785">
        <v>3743</v>
      </c>
      <c r="V3785" s="197">
        <v>30.95955779773837</v>
      </c>
    </row>
    <row r="3786" spans="21:22">
      <c r="U3786">
        <v>3744</v>
      </c>
      <c r="V3786" s="197">
        <v>-1367.2129157904119</v>
      </c>
    </row>
    <row r="3787" spans="21:22">
      <c r="U3787">
        <v>3745</v>
      </c>
      <c r="V3787" s="197">
        <v>-1703.7933922095858</v>
      </c>
    </row>
    <row r="3788" spans="21:22">
      <c r="U3788">
        <v>3746</v>
      </c>
      <c r="V3788" s="197">
        <v>-1788.7512308221098</v>
      </c>
    </row>
    <row r="3789" spans="21:22">
      <c r="U3789">
        <v>3747</v>
      </c>
      <c r="V3789" s="197">
        <v>-30.817294490667422</v>
      </c>
    </row>
    <row r="3790" spans="21:22">
      <c r="U3790">
        <v>3748</v>
      </c>
      <c r="V3790" s="197">
        <v>-148.10381541275368</v>
      </c>
    </row>
    <row r="3791" spans="21:22">
      <c r="U3791">
        <v>3749</v>
      </c>
      <c r="V3791" s="197">
        <v>322.56699006123154</v>
      </c>
    </row>
    <row r="3792" spans="21:22">
      <c r="U3792">
        <v>3750</v>
      </c>
      <c r="V3792" s="197">
        <v>422.82274880022862</v>
      </c>
    </row>
    <row r="3793" spans="21:22">
      <c r="U3793">
        <v>3751</v>
      </c>
      <c r="V3793" s="197">
        <v>-777.58082659392153</v>
      </c>
    </row>
    <row r="3794" spans="21:22">
      <c r="U3794">
        <v>3752</v>
      </c>
      <c r="V3794" s="197">
        <v>1920.2826263558652</v>
      </c>
    </row>
    <row r="3795" spans="21:22">
      <c r="U3795">
        <v>3753</v>
      </c>
      <c r="V3795" s="197">
        <v>459.53164955860979</v>
      </c>
    </row>
    <row r="3796" spans="21:22">
      <c r="U3796">
        <v>3754</v>
      </c>
      <c r="V3796" s="197">
        <v>-318.77935915086664</v>
      </c>
    </row>
    <row r="3797" spans="21:22">
      <c r="U3797">
        <v>3755</v>
      </c>
      <c r="V3797" s="197">
        <v>-571.69746680923822</v>
      </c>
    </row>
    <row r="3798" spans="21:22">
      <c r="U3798">
        <v>3756</v>
      </c>
      <c r="V3798" s="197">
        <v>-1131.8349861161191</v>
      </c>
    </row>
    <row r="3799" spans="21:22">
      <c r="U3799">
        <v>3757</v>
      </c>
      <c r="V3799" s="197">
        <v>52.014144011568035</v>
      </c>
    </row>
    <row r="3800" spans="21:22">
      <c r="U3800">
        <v>3758</v>
      </c>
      <c r="V3800" s="197">
        <v>986.16181391291752</v>
      </c>
    </row>
    <row r="3801" spans="21:22">
      <c r="U3801">
        <v>3759</v>
      </c>
      <c r="V3801" s="197">
        <v>-602.17434140153227</v>
      </c>
    </row>
    <row r="3802" spans="21:22">
      <c r="U3802">
        <v>3760</v>
      </c>
      <c r="V3802" s="197">
        <v>731.75575329117305</v>
      </c>
    </row>
    <row r="3803" spans="21:22">
      <c r="U3803">
        <v>3761</v>
      </c>
      <c r="V3803" s="197">
        <v>-83.232376319516391</v>
      </c>
    </row>
    <row r="3804" spans="21:22">
      <c r="U3804">
        <v>3762</v>
      </c>
      <c r="V3804" s="197">
        <v>-102.35283297703046</v>
      </c>
    </row>
    <row r="3805" spans="21:22">
      <c r="U3805">
        <v>3763</v>
      </c>
      <c r="V3805" s="197">
        <v>-537.12340087190387</v>
      </c>
    </row>
    <row r="3806" spans="21:22">
      <c r="U3806">
        <v>3764</v>
      </c>
      <c r="V3806" s="197">
        <v>-558.17395445655347</v>
      </c>
    </row>
    <row r="3807" spans="21:22">
      <c r="U3807">
        <v>3765</v>
      </c>
      <c r="V3807" s="197">
        <v>-994.0509688315351</v>
      </c>
    </row>
    <row r="3808" spans="21:22">
      <c r="U3808">
        <v>3766</v>
      </c>
      <c r="V3808" s="197">
        <v>2185.873454038715</v>
      </c>
    </row>
    <row r="3809" spans="21:22">
      <c r="U3809">
        <v>3767</v>
      </c>
      <c r="V3809" s="197">
        <v>-51.02257216678268</v>
      </c>
    </row>
    <row r="3810" spans="21:22">
      <c r="U3810">
        <v>3768</v>
      </c>
      <c r="V3810" s="197">
        <v>2183.4775919098915</v>
      </c>
    </row>
    <row r="3811" spans="21:22">
      <c r="U3811">
        <v>3769</v>
      </c>
      <c r="V3811" s="197">
        <v>1336.7291980562495</v>
      </c>
    </row>
    <row r="3812" spans="21:22">
      <c r="U3812">
        <v>3770</v>
      </c>
      <c r="V3812" s="197">
        <v>716.47628471568623</v>
      </c>
    </row>
    <row r="3813" spans="21:22">
      <c r="U3813">
        <v>3771</v>
      </c>
      <c r="V3813" s="197">
        <v>-947.67843556685034</v>
      </c>
    </row>
    <row r="3814" spans="21:22">
      <c r="U3814">
        <v>3772</v>
      </c>
      <c r="V3814" s="197">
        <v>-134.02842616072789</v>
      </c>
    </row>
    <row r="3815" spans="21:22">
      <c r="U3815">
        <v>3773</v>
      </c>
      <c r="V3815" s="197">
        <v>-711.97466535402395</v>
      </c>
    </row>
    <row r="3816" spans="21:22">
      <c r="U3816">
        <v>3774</v>
      </c>
      <c r="V3816" s="197">
        <v>247.21464003406425</v>
      </c>
    </row>
    <row r="3817" spans="21:22">
      <c r="U3817">
        <v>3775</v>
      </c>
      <c r="V3817" s="197">
        <v>272.86194617401657</v>
      </c>
    </row>
    <row r="3818" spans="21:22">
      <c r="U3818">
        <v>3776</v>
      </c>
      <c r="V3818" s="197">
        <v>630.72040942822878</v>
      </c>
    </row>
    <row r="3819" spans="21:22">
      <c r="U3819">
        <v>3777</v>
      </c>
      <c r="V3819" s="197">
        <v>165.62257303058675</v>
      </c>
    </row>
    <row r="3820" spans="21:22">
      <c r="U3820">
        <v>3778</v>
      </c>
      <c r="V3820" s="197">
        <v>716.74573585367739</v>
      </c>
    </row>
    <row r="3821" spans="21:22">
      <c r="U3821">
        <v>3779</v>
      </c>
      <c r="V3821" s="197">
        <v>-69.457799427762467</v>
      </c>
    </row>
    <row r="3822" spans="21:22">
      <c r="U3822">
        <v>3780</v>
      </c>
      <c r="V3822" s="197">
        <v>1799.4165833119516</v>
      </c>
    </row>
    <row r="3823" spans="21:22">
      <c r="U3823">
        <v>3781</v>
      </c>
      <c r="V3823" s="197">
        <v>67.935892328350207</v>
      </c>
    </row>
    <row r="3824" spans="21:22">
      <c r="U3824">
        <v>3782</v>
      </c>
      <c r="V3824" s="197">
        <v>-825.38800323406622</v>
      </c>
    </row>
    <row r="3825" spans="21:22">
      <c r="U3825">
        <v>3783</v>
      </c>
      <c r="V3825" s="197">
        <v>1515.8405654223059</v>
      </c>
    </row>
    <row r="3826" spans="21:22">
      <c r="U3826">
        <v>3784</v>
      </c>
      <c r="V3826" s="197">
        <v>-839.04929504121628</v>
      </c>
    </row>
    <row r="3827" spans="21:22">
      <c r="U3827">
        <v>3785</v>
      </c>
      <c r="V3827" s="197">
        <v>-1233.4969230043696</v>
      </c>
    </row>
    <row r="3828" spans="21:22">
      <c r="U3828">
        <v>3786</v>
      </c>
      <c r="V3828" s="197">
        <v>-747.37038564799423</v>
      </c>
    </row>
    <row r="3829" spans="21:22">
      <c r="U3829">
        <v>3787</v>
      </c>
      <c r="V3829" s="197">
        <v>-1035.0799626173236</v>
      </c>
    </row>
    <row r="3830" spans="21:22">
      <c r="U3830">
        <v>3788</v>
      </c>
      <c r="V3830" s="197">
        <v>-413.44681622059289</v>
      </c>
    </row>
    <row r="3831" spans="21:22">
      <c r="U3831">
        <v>3789</v>
      </c>
      <c r="V3831" s="197">
        <v>1011.245708066692</v>
      </c>
    </row>
    <row r="3832" spans="21:22">
      <c r="U3832">
        <v>3790</v>
      </c>
      <c r="V3832" s="197">
        <v>38.672017698105705</v>
      </c>
    </row>
    <row r="3833" spans="21:22">
      <c r="U3833">
        <v>3791</v>
      </c>
      <c r="V3833" s="197">
        <v>996.76665270247327</v>
      </c>
    </row>
    <row r="3834" spans="21:22">
      <c r="U3834">
        <v>3792</v>
      </c>
      <c r="V3834" s="197">
        <v>-907.42676765641863</v>
      </c>
    </row>
    <row r="3835" spans="21:22">
      <c r="U3835">
        <v>3793</v>
      </c>
      <c r="V3835" s="197">
        <v>332.57645635717654</v>
      </c>
    </row>
    <row r="3836" spans="21:22">
      <c r="U3836">
        <v>3794</v>
      </c>
      <c r="V3836" s="197">
        <v>-1127.0559754588744</v>
      </c>
    </row>
    <row r="3837" spans="21:22">
      <c r="U3837">
        <v>3795</v>
      </c>
      <c r="V3837" s="197">
        <v>-300.66659223154369</v>
      </c>
    </row>
    <row r="3838" spans="21:22">
      <c r="U3838">
        <v>3796</v>
      </c>
      <c r="V3838" s="197">
        <v>1284.0549757034564</v>
      </c>
    </row>
    <row r="3839" spans="21:22">
      <c r="U3839">
        <v>3797</v>
      </c>
      <c r="V3839" s="197">
        <v>-223.0710984751953</v>
      </c>
    </row>
    <row r="3840" spans="21:22">
      <c r="U3840">
        <v>3798</v>
      </c>
      <c r="V3840" s="197">
        <v>295.13645992065608</v>
      </c>
    </row>
    <row r="3841" spans="21:22">
      <c r="U3841">
        <v>3799</v>
      </c>
      <c r="V3841" s="197">
        <v>78.742933850965997</v>
      </c>
    </row>
    <row r="3842" spans="21:22">
      <c r="U3842">
        <v>3800</v>
      </c>
      <c r="V3842" s="197">
        <v>952.35149764706148</v>
      </c>
    </row>
    <row r="3843" spans="21:22">
      <c r="U3843">
        <v>3801</v>
      </c>
      <c r="V3843" s="197">
        <v>-103.52023929635266</v>
      </c>
    </row>
    <row r="3844" spans="21:22">
      <c r="U3844">
        <v>3802</v>
      </c>
      <c r="V3844" s="197">
        <v>1132.603447346057</v>
      </c>
    </row>
    <row r="3845" spans="21:22">
      <c r="U3845">
        <v>3803</v>
      </c>
      <c r="V3845" s="197">
        <v>-279.16799158573343</v>
      </c>
    </row>
    <row r="3846" spans="21:22">
      <c r="U3846">
        <v>3804</v>
      </c>
      <c r="V3846" s="197">
        <v>40.030547953157374</v>
      </c>
    </row>
    <row r="3847" spans="21:22">
      <c r="U3847">
        <v>3805</v>
      </c>
      <c r="V3847" s="197">
        <v>-12.995514897611926</v>
      </c>
    </row>
    <row r="3848" spans="21:22">
      <c r="U3848">
        <v>3806</v>
      </c>
      <c r="V3848" s="197">
        <v>2243.611472711922</v>
      </c>
    </row>
    <row r="3849" spans="21:22">
      <c r="U3849">
        <v>3807</v>
      </c>
      <c r="V3849" s="197">
        <v>-406.97975383769227</v>
      </c>
    </row>
    <row r="3850" spans="21:22">
      <c r="U3850">
        <v>3808</v>
      </c>
      <c r="V3850" s="197">
        <v>329.99110923330062</v>
      </c>
    </row>
    <row r="3851" spans="21:22">
      <c r="U3851">
        <v>3809</v>
      </c>
      <c r="V3851" s="197">
        <v>-919.104210029657</v>
      </c>
    </row>
    <row r="3852" spans="21:22">
      <c r="U3852">
        <v>3810</v>
      </c>
      <c r="V3852" s="197">
        <v>441.74806778380571</v>
      </c>
    </row>
    <row r="3853" spans="21:22">
      <c r="U3853">
        <v>3811</v>
      </c>
      <c r="V3853" s="197">
        <v>-1013.4736519632277</v>
      </c>
    </row>
    <row r="3854" spans="21:22">
      <c r="U3854">
        <v>3812</v>
      </c>
      <c r="V3854" s="197">
        <v>1636.1739585837386</v>
      </c>
    </row>
    <row r="3855" spans="21:22">
      <c r="U3855">
        <v>3813</v>
      </c>
      <c r="V3855" s="197">
        <v>209.91557583007906</v>
      </c>
    </row>
    <row r="3856" spans="21:22">
      <c r="U3856">
        <v>3814</v>
      </c>
      <c r="V3856" s="197">
        <v>771.13788779537208</v>
      </c>
    </row>
    <row r="3857" spans="21:22">
      <c r="U3857">
        <v>3815</v>
      </c>
      <c r="V3857" s="197">
        <v>82.753372031828036</v>
      </c>
    </row>
    <row r="3858" spans="21:22">
      <c r="U3858">
        <v>3816</v>
      </c>
      <c r="V3858" s="197">
        <v>1377.0160596571486</v>
      </c>
    </row>
    <row r="3859" spans="21:22">
      <c r="U3859">
        <v>3817</v>
      </c>
      <c r="V3859" s="197">
        <v>-255.31338736595387</v>
      </c>
    </row>
    <row r="3860" spans="21:22">
      <c r="U3860">
        <v>3818</v>
      </c>
      <c r="V3860" s="197">
        <v>-833.3922500084218</v>
      </c>
    </row>
    <row r="3861" spans="21:22">
      <c r="U3861">
        <v>3819</v>
      </c>
      <c r="V3861" s="197">
        <v>1298.8106158954486</v>
      </c>
    </row>
    <row r="3862" spans="21:22">
      <c r="U3862">
        <v>3820</v>
      </c>
      <c r="V3862" s="197">
        <v>333.0460738491488</v>
      </c>
    </row>
    <row r="3863" spans="21:22">
      <c r="U3863">
        <v>3821</v>
      </c>
      <c r="V3863" s="197">
        <v>178.69007189162926</v>
      </c>
    </row>
    <row r="3864" spans="21:22">
      <c r="U3864">
        <v>3822</v>
      </c>
      <c r="V3864" s="197">
        <v>-845.63501521332</v>
      </c>
    </row>
    <row r="3865" spans="21:22">
      <c r="U3865">
        <v>3823</v>
      </c>
      <c r="V3865" s="197">
        <v>206.9645073782462</v>
      </c>
    </row>
    <row r="3866" spans="21:22">
      <c r="U3866">
        <v>3824</v>
      </c>
      <c r="V3866" s="197">
        <v>-1221.5816367899622</v>
      </c>
    </row>
    <row r="3867" spans="21:22">
      <c r="U3867">
        <v>3825</v>
      </c>
      <c r="V3867" s="197">
        <v>375.5491382575002</v>
      </c>
    </row>
    <row r="3868" spans="21:22">
      <c r="U3868">
        <v>3826</v>
      </c>
      <c r="V3868" s="197">
        <v>1495.4781436355138</v>
      </c>
    </row>
    <row r="3869" spans="21:22">
      <c r="U3869">
        <v>3827</v>
      </c>
      <c r="V3869" s="197">
        <v>-612.95375984248608</v>
      </c>
    </row>
    <row r="3870" spans="21:22">
      <c r="U3870">
        <v>3828</v>
      </c>
      <c r="V3870" s="197">
        <v>758.5800848945471</v>
      </c>
    </row>
    <row r="3871" spans="21:22">
      <c r="U3871">
        <v>3829</v>
      </c>
      <c r="V3871" s="197">
        <v>588.84482390300059</v>
      </c>
    </row>
    <row r="3872" spans="21:22">
      <c r="U3872">
        <v>3830</v>
      </c>
      <c r="V3872" s="197">
        <v>1061.4102969934804</v>
      </c>
    </row>
    <row r="3873" spans="21:22">
      <c r="U3873">
        <v>3831</v>
      </c>
      <c r="V3873" s="197">
        <v>-489.93214899398862</v>
      </c>
    </row>
    <row r="3874" spans="21:22">
      <c r="U3874">
        <v>3832</v>
      </c>
      <c r="V3874" s="197">
        <v>638.64371435636394</v>
      </c>
    </row>
    <row r="3875" spans="21:22">
      <c r="U3875">
        <v>3833</v>
      </c>
      <c r="V3875" s="197">
        <v>1140.3526532020799</v>
      </c>
    </row>
    <row r="3876" spans="21:22">
      <c r="U3876">
        <v>3834</v>
      </c>
      <c r="V3876" s="197">
        <v>506.04341199951358</v>
      </c>
    </row>
    <row r="3877" spans="21:22">
      <c r="U3877">
        <v>3835</v>
      </c>
      <c r="V3877" s="197">
        <v>-57.101713324285129</v>
      </c>
    </row>
    <row r="3878" spans="21:22">
      <c r="U3878">
        <v>3836</v>
      </c>
      <c r="V3878" s="197">
        <v>-940.83832966536988</v>
      </c>
    </row>
    <row r="3879" spans="21:22">
      <c r="U3879">
        <v>3837</v>
      </c>
      <c r="V3879" s="197">
        <v>1014.8013997334558</v>
      </c>
    </row>
    <row r="3880" spans="21:22">
      <c r="U3880">
        <v>3838</v>
      </c>
      <c r="V3880" s="197">
        <v>502.78611033411767</v>
      </c>
    </row>
    <row r="3881" spans="21:22">
      <c r="U3881">
        <v>3839</v>
      </c>
      <c r="V3881" s="197">
        <v>525.36977200981892</v>
      </c>
    </row>
    <row r="3882" spans="21:22">
      <c r="U3882">
        <v>3840</v>
      </c>
      <c r="V3882" s="197">
        <v>373.98240608222278</v>
      </c>
    </row>
    <row r="3883" spans="21:22">
      <c r="U3883">
        <v>3841</v>
      </c>
      <c r="V3883" s="197">
        <v>876.60227805120917</v>
      </c>
    </row>
    <row r="3884" spans="21:22">
      <c r="U3884">
        <v>3842</v>
      </c>
      <c r="V3884" s="197">
        <v>-421.69643436356267</v>
      </c>
    </row>
    <row r="3885" spans="21:22">
      <c r="U3885">
        <v>3843</v>
      </c>
      <c r="V3885" s="197">
        <v>-790.24827448180986</v>
      </c>
    </row>
    <row r="3886" spans="21:22">
      <c r="U3886">
        <v>3844</v>
      </c>
      <c r="V3886" s="197">
        <v>243.88942498001174</v>
      </c>
    </row>
    <row r="3887" spans="21:22">
      <c r="U3887">
        <v>3845</v>
      </c>
      <c r="V3887" s="197">
        <v>373.55264902118495</v>
      </c>
    </row>
    <row r="3888" spans="21:22">
      <c r="U3888">
        <v>3846</v>
      </c>
      <c r="V3888" s="197">
        <v>-466.45535010273858</v>
      </c>
    </row>
    <row r="3889" spans="21:22">
      <c r="U3889">
        <v>3847</v>
      </c>
      <c r="V3889" s="197">
        <v>-425.02469450241978</v>
      </c>
    </row>
    <row r="3890" spans="21:22">
      <c r="U3890">
        <v>3848</v>
      </c>
      <c r="V3890" s="197">
        <v>-666.794602711886</v>
      </c>
    </row>
    <row r="3891" spans="21:22">
      <c r="U3891">
        <v>3849</v>
      </c>
      <c r="V3891" s="197">
        <v>471.59990651797762</v>
      </c>
    </row>
    <row r="3892" spans="21:22">
      <c r="U3892">
        <v>3850</v>
      </c>
      <c r="V3892" s="197">
        <v>541.34829549525489</v>
      </c>
    </row>
    <row r="3893" spans="21:22">
      <c r="U3893">
        <v>3851</v>
      </c>
      <c r="V3893" s="197">
        <v>1463.6664500783697</v>
      </c>
    </row>
    <row r="3894" spans="21:22">
      <c r="U3894">
        <v>3852</v>
      </c>
      <c r="V3894" s="197">
        <v>403.98860601211925</v>
      </c>
    </row>
    <row r="3895" spans="21:22">
      <c r="U3895">
        <v>3853</v>
      </c>
      <c r="V3895" s="197">
        <v>925.26206432221898</v>
      </c>
    </row>
    <row r="3896" spans="21:22">
      <c r="U3896">
        <v>3854</v>
      </c>
      <c r="V3896" s="197">
        <v>-309.84728456743409</v>
      </c>
    </row>
    <row r="3897" spans="21:22">
      <c r="U3897">
        <v>3855</v>
      </c>
      <c r="V3897" s="197">
        <v>1590.704260082729</v>
      </c>
    </row>
    <row r="3898" spans="21:22">
      <c r="U3898">
        <v>3856</v>
      </c>
      <c r="V3898" s="197">
        <v>-1768.3488674026296</v>
      </c>
    </row>
    <row r="3899" spans="21:22">
      <c r="U3899">
        <v>3857</v>
      </c>
      <c r="V3899" s="197">
        <v>-1909.322282752021</v>
      </c>
    </row>
    <row r="3900" spans="21:22">
      <c r="U3900">
        <v>3858</v>
      </c>
      <c r="V3900" s="197">
        <v>-324.67373995462941</v>
      </c>
    </row>
    <row r="3901" spans="21:22">
      <c r="U3901">
        <v>3859</v>
      </c>
      <c r="V3901" s="197">
        <v>-105.02365411713387</v>
      </c>
    </row>
    <row r="3902" spans="21:22">
      <c r="U3902">
        <v>3860</v>
      </c>
      <c r="V3902" s="197">
        <v>-1015.8553964721784</v>
      </c>
    </row>
    <row r="3903" spans="21:22">
      <c r="U3903">
        <v>3861</v>
      </c>
      <c r="V3903" s="197">
        <v>1999.0940758920319</v>
      </c>
    </row>
    <row r="3904" spans="21:22">
      <c r="U3904">
        <v>3862</v>
      </c>
      <c r="V3904" s="197">
        <v>2225.800475767493</v>
      </c>
    </row>
    <row r="3905" spans="21:22">
      <c r="U3905">
        <v>3863</v>
      </c>
      <c r="V3905" s="197">
        <v>92.324892243747527</v>
      </c>
    </row>
    <row r="3906" spans="21:22">
      <c r="U3906">
        <v>3864</v>
      </c>
      <c r="V3906" s="197">
        <v>1101.7284846610555</v>
      </c>
    </row>
    <row r="3907" spans="21:22">
      <c r="U3907">
        <v>3865</v>
      </c>
      <c r="V3907" s="197">
        <v>-560.25820153398081</v>
      </c>
    </row>
    <row r="3908" spans="21:22">
      <c r="U3908">
        <v>3866</v>
      </c>
      <c r="V3908" s="197">
        <v>-555.0205406828768</v>
      </c>
    </row>
    <row r="3909" spans="21:22">
      <c r="U3909">
        <v>3867</v>
      </c>
      <c r="V3909" s="197">
        <v>1413.8957241046357</v>
      </c>
    </row>
    <row r="3910" spans="21:22">
      <c r="U3910">
        <v>3868</v>
      </c>
      <c r="V3910" s="197">
        <v>950.56145573241065</v>
      </c>
    </row>
    <row r="3911" spans="21:22">
      <c r="U3911">
        <v>3869</v>
      </c>
      <c r="V3911" s="197">
        <v>67.751277127503329</v>
      </c>
    </row>
    <row r="3912" spans="21:22">
      <c r="U3912">
        <v>3870</v>
      </c>
      <c r="V3912" s="197">
        <v>-285.23721010343229</v>
      </c>
    </row>
    <row r="3913" spans="21:22">
      <c r="U3913">
        <v>3871</v>
      </c>
      <c r="V3913" s="197">
        <v>209.26932517143726</v>
      </c>
    </row>
    <row r="3914" spans="21:22">
      <c r="U3914">
        <v>3872</v>
      </c>
      <c r="V3914" s="197">
        <v>91.548782137759318</v>
      </c>
    </row>
    <row r="3915" spans="21:22">
      <c r="U3915">
        <v>3873</v>
      </c>
      <c r="V3915" s="197">
        <v>93.128160296334514</v>
      </c>
    </row>
    <row r="3916" spans="21:22">
      <c r="U3916">
        <v>3874</v>
      </c>
      <c r="V3916" s="197">
        <v>676.07812637591496</v>
      </c>
    </row>
    <row r="3917" spans="21:22">
      <c r="U3917">
        <v>3875</v>
      </c>
      <c r="V3917" s="197">
        <v>-240.33012733266497</v>
      </c>
    </row>
    <row r="3918" spans="21:22">
      <c r="U3918">
        <v>3876</v>
      </c>
      <c r="V3918" s="197">
        <v>-1310.2875598584581</v>
      </c>
    </row>
    <row r="3919" spans="21:22">
      <c r="U3919">
        <v>3877</v>
      </c>
      <c r="V3919" s="197">
        <v>1400.4097172541251</v>
      </c>
    </row>
    <row r="3920" spans="21:22">
      <c r="U3920">
        <v>3878</v>
      </c>
      <c r="V3920" s="197">
        <v>-1273.5398214859972</v>
      </c>
    </row>
    <row r="3921" spans="21:22">
      <c r="U3921">
        <v>3879</v>
      </c>
      <c r="V3921" s="197">
        <v>194.85987109311901</v>
      </c>
    </row>
    <row r="3922" spans="21:22">
      <c r="U3922">
        <v>3880</v>
      </c>
      <c r="V3922" s="197">
        <v>-782.28974055177719</v>
      </c>
    </row>
    <row r="3923" spans="21:22">
      <c r="U3923">
        <v>3881</v>
      </c>
      <c r="V3923" s="197">
        <v>895.46570428103996</v>
      </c>
    </row>
    <row r="3924" spans="21:22">
      <c r="U3924">
        <v>3882</v>
      </c>
      <c r="V3924" s="197">
        <v>-513.75622623218669</v>
      </c>
    </row>
    <row r="3925" spans="21:22">
      <c r="U3925">
        <v>3883</v>
      </c>
      <c r="V3925" s="197">
        <v>-486.07997000323809</v>
      </c>
    </row>
    <row r="3926" spans="21:22">
      <c r="U3926">
        <v>3884</v>
      </c>
      <c r="V3926" s="197">
        <v>505.03991480879694</v>
      </c>
    </row>
    <row r="3927" spans="21:22">
      <c r="U3927">
        <v>3885</v>
      </c>
      <c r="V3927" s="197">
        <v>-600.62514507402807</v>
      </c>
    </row>
    <row r="3928" spans="21:22">
      <c r="U3928">
        <v>3886</v>
      </c>
      <c r="V3928" s="197">
        <v>-738.2439105935257</v>
      </c>
    </row>
    <row r="3929" spans="21:22">
      <c r="U3929">
        <v>3887</v>
      </c>
      <c r="V3929" s="197">
        <v>845.41214890380184</v>
      </c>
    </row>
    <row r="3930" spans="21:22">
      <c r="U3930">
        <v>3888</v>
      </c>
      <c r="V3930" s="197">
        <v>-345.78485799884709</v>
      </c>
    </row>
    <row r="3931" spans="21:22">
      <c r="U3931">
        <v>3889</v>
      </c>
      <c r="V3931" s="197">
        <v>690.88414815974579</v>
      </c>
    </row>
    <row r="3932" spans="21:22">
      <c r="U3932">
        <v>3890</v>
      </c>
      <c r="V3932" s="197">
        <v>-1061.7005225667071</v>
      </c>
    </row>
    <row r="3933" spans="21:22">
      <c r="U3933">
        <v>3891</v>
      </c>
      <c r="V3933" s="197">
        <v>-282.38498881215935</v>
      </c>
    </row>
    <row r="3934" spans="21:22">
      <c r="U3934">
        <v>3892</v>
      </c>
      <c r="V3934" s="197">
        <v>1332.7470848251889</v>
      </c>
    </row>
    <row r="3935" spans="21:22">
      <c r="U3935">
        <v>3893</v>
      </c>
      <c r="V3935" s="197">
        <v>-296.58730689308584</v>
      </c>
    </row>
    <row r="3936" spans="21:22">
      <c r="U3936">
        <v>3894</v>
      </c>
      <c r="V3936" s="197">
        <v>1397.6411242080228</v>
      </c>
    </row>
    <row r="3937" spans="21:22">
      <c r="U3937">
        <v>3895</v>
      </c>
      <c r="V3937" s="197">
        <v>855.14835544785865</v>
      </c>
    </row>
    <row r="3938" spans="21:22">
      <c r="U3938">
        <v>3896</v>
      </c>
      <c r="V3938" s="197">
        <v>1679.034979259244</v>
      </c>
    </row>
    <row r="3939" spans="21:22">
      <c r="U3939">
        <v>3897</v>
      </c>
      <c r="V3939" s="197">
        <v>893.88813408101782</v>
      </c>
    </row>
    <row r="3940" spans="21:22">
      <c r="U3940">
        <v>3898</v>
      </c>
      <c r="V3940" s="197">
        <v>-356.22945847363206</v>
      </c>
    </row>
    <row r="3941" spans="21:22">
      <c r="U3941">
        <v>3899</v>
      </c>
      <c r="V3941" s="197">
        <v>443.48733618071861</v>
      </c>
    </row>
    <row r="3942" spans="21:22">
      <c r="U3942">
        <v>3900</v>
      </c>
      <c r="V3942" s="197">
        <v>-63.946352983301182</v>
      </c>
    </row>
    <row r="3943" spans="21:22">
      <c r="U3943">
        <v>3901</v>
      </c>
      <c r="V3943" s="197">
        <v>-26.464777695299873</v>
      </c>
    </row>
    <row r="3944" spans="21:22">
      <c r="U3944">
        <v>3902</v>
      </c>
      <c r="V3944" s="197">
        <v>764.25654554016523</v>
      </c>
    </row>
    <row r="3945" spans="21:22">
      <c r="U3945">
        <v>3903</v>
      </c>
      <c r="V3945" s="197">
        <v>-303.11843880797295</v>
      </c>
    </row>
    <row r="3946" spans="21:22">
      <c r="U3946">
        <v>3904</v>
      </c>
      <c r="V3946" s="197">
        <v>592.57217329773005</v>
      </c>
    </row>
    <row r="3947" spans="21:22">
      <c r="U3947">
        <v>3905</v>
      </c>
      <c r="V3947" s="197">
        <v>-340.75821625519501</v>
      </c>
    </row>
    <row r="3948" spans="21:22">
      <c r="U3948">
        <v>3906</v>
      </c>
      <c r="V3948" s="197">
        <v>-1361.9800371457227</v>
      </c>
    </row>
    <row r="3949" spans="21:22">
      <c r="U3949">
        <v>3907</v>
      </c>
      <c r="V3949" s="197">
        <v>1946.9607401357437</v>
      </c>
    </row>
    <row r="3950" spans="21:22">
      <c r="U3950">
        <v>3908</v>
      </c>
      <c r="V3950" s="197">
        <v>-127.14918086728497</v>
      </c>
    </row>
    <row r="3951" spans="21:22">
      <c r="U3951">
        <v>3909</v>
      </c>
      <c r="V3951" s="197">
        <v>-1024.1619722314997</v>
      </c>
    </row>
    <row r="3952" spans="21:22">
      <c r="U3952">
        <v>3910</v>
      </c>
      <c r="V3952" s="197">
        <v>-178.42512441398782</v>
      </c>
    </row>
    <row r="3953" spans="21:22">
      <c r="U3953">
        <v>3911</v>
      </c>
      <c r="V3953" s="197">
        <v>396.69707983897223</v>
      </c>
    </row>
    <row r="3954" spans="21:22">
      <c r="U3954">
        <v>3912</v>
      </c>
      <c r="V3954" s="197">
        <v>-1166.245905517969</v>
      </c>
    </row>
    <row r="3955" spans="21:22">
      <c r="U3955">
        <v>3913</v>
      </c>
      <c r="V3955" s="197">
        <v>1414.4895133797952</v>
      </c>
    </row>
    <row r="3956" spans="21:22">
      <c r="U3956">
        <v>3914</v>
      </c>
      <c r="V3956" s="197">
        <v>741.94804802469298</v>
      </c>
    </row>
    <row r="3957" spans="21:22">
      <c r="U3957">
        <v>3915</v>
      </c>
      <c r="V3957" s="197">
        <v>220.35017440252474</v>
      </c>
    </row>
    <row r="3958" spans="21:22">
      <c r="U3958">
        <v>3916</v>
      </c>
      <c r="V3958" s="197">
        <v>-1338.7927788603704</v>
      </c>
    </row>
    <row r="3959" spans="21:22">
      <c r="U3959">
        <v>3917</v>
      </c>
      <c r="V3959" s="197">
        <v>-763.24304465683554</v>
      </c>
    </row>
    <row r="3960" spans="21:22">
      <c r="U3960">
        <v>3918</v>
      </c>
      <c r="V3960" s="197">
        <v>-232.25942196485704</v>
      </c>
    </row>
    <row r="3961" spans="21:22">
      <c r="U3961">
        <v>3919</v>
      </c>
      <c r="V3961" s="197">
        <v>1402.1976158813065</v>
      </c>
    </row>
    <row r="3962" spans="21:22">
      <c r="U3962">
        <v>3920</v>
      </c>
      <c r="V3962" s="197">
        <v>660.03804099169702</v>
      </c>
    </row>
    <row r="3963" spans="21:22">
      <c r="U3963">
        <v>3921</v>
      </c>
      <c r="V3963" s="197">
        <v>-1023.002082596968</v>
      </c>
    </row>
    <row r="3964" spans="21:22">
      <c r="U3964">
        <v>3922</v>
      </c>
      <c r="V3964" s="197">
        <v>-349.48241315927606</v>
      </c>
    </row>
    <row r="3965" spans="21:22">
      <c r="U3965">
        <v>3923</v>
      </c>
      <c r="V3965" s="197">
        <v>-1171.5081557905285</v>
      </c>
    </row>
    <row r="3966" spans="21:22">
      <c r="U3966">
        <v>3924</v>
      </c>
      <c r="V3966" s="197">
        <v>-1348.7335617086576</v>
      </c>
    </row>
    <row r="3967" spans="21:22">
      <c r="U3967">
        <v>3925</v>
      </c>
      <c r="V3967" s="197">
        <v>211.28524277109497</v>
      </c>
    </row>
    <row r="3968" spans="21:22">
      <c r="U3968">
        <v>3926</v>
      </c>
      <c r="V3968" s="197">
        <v>566.03822090886979</v>
      </c>
    </row>
    <row r="3969" spans="21:22">
      <c r="U3969">
        <v>3927</v>
      </c>
      <c r="V3969" s="197">
        <v>-1825.8098642057478</v>
      </c>
    </row>
    <row r="3970" spans="21:22">
      <c r="U3970">
        <v>3928</v>
      </c>
      <c r="V3970" s="197">
        <v>-231.2253661736305</v>
      </c>
    </row>
    <row r="3971" spans="21:22">
      <c r="U3971">
        <v>3929</v>
      </c>
      <c r="V3971" s="197">
        <v>179.05457772119735</v>
      </c>
    </row>
    <row r="3972" spans="21:22">
      <c r="U3972">
        <v>3930</v>
      </c>
      <c r="V3972" s="197">
        <v>1167.6849963806651</v>
      </c>
    </row>
    <row r="3973" spans="21:22">
      <c r="U3973">
        <v>3931</v>
      </c>
      <c r="V3973" s="197">
        <v>-1148.3398100956279</v>
      </c>
    </row>
    <row r="3974" spans="21:22">
      <c r="U3974">
        <v>3932</v>
      </c>
      <c r="V3974" s="197">
        <v>-361.57954851995345</v>
      </c>
    </row>
    <row r="3975" spans="21:22">
      <c r="U3975">
        <v>3933</v>
      </c>
      <c r="V3975" s="197">
        <v>1145.9875021223304</v>
      </c>
    </row>
    <row r="3976" spans="21:22">
      <c r="U3976">
        <v>3934</v>
      </c>
      <c r="V3976" s="197">
        <v>-963.19717586403567</v>
      </c>
    </row>
    <row r="3977" spans="21:22">
      <c r="U3977">
        <v>3935</v>
      </c>
      <c r="V3977" s="197">
        <v>1096.089054999796</v>
      </c>
    </row>
    <row r="3978" spans="21:22">
      <c r="U3978">
        <v>3936</v>
      </c>
      <c r="V3978" s="197">
        <v>521.63883823401125</v>
      </c>
    </row>
    <row r="3979" spans="21:22">
      <c r="U3979">
        <v>3937</v>
      </c>
      <c r="V3979" s="197">
        <v>-161.83599958471945</v>
      </c>
    </row>
    <row r="3980" spans="21:22">
      <c r="U3980">
        <v>3938</v>
      </c>
      <c r="V3980" s="197">
        <v>1153.4580736746991</v>
      </c>
    </row>
    <row r="3981" spans="21:22">
      <c r="U3981">
        <v>3939</v>
      </c>
      <c r="V3981" s="197">
        <v>919.44606614808731</v>
      </c>
    </row>
    <row r="3982" spans="21:22">
      <c r="U3982">
        <v>3940</v>
      </c>
      <c r="V3982" s="197">
        <v>67.764555970360973</v>
      </c>
    </row>
    <row r="3983" spans="21:22">
      <c r="U3983">
        <v>3941</v>
      </c>
      <c r="V3983" s="197">
        <v>540.97198795939471</v>
      </c>
    </row>
    <row r="3984" spans="21:22">
      <c r="U3984">
        <v>3942</v>
      </c>
      <c r="V3984" s="197">
        <v>348.9594829535248</v>
      </c>
    </row>
    <row r="3985" spans="21:22">
      <c r="U3985">
        <v>3943</v>
      </c>
      <c r="V3985" s="197">
        <v>877.39142986802608</v>
      </c>
    </row>
    <row r="3986" spans="21:22">
      <c r="U3986">
        <v>3944</v>
      </c>
      <c r="V3986" s="197">
        <v>21.511087725894456</v>
      </c>
    </row>
    <row r="3987" spans="21:22">
      <c r="U3987">
        <v>3945</v>
      </c>
      <c r="V3987" s="197">
        <v>-83.102726703830058</v>
      </c>
    </row>
    <row r="3988" spans="21:22">
      <c r="U3988">
        <v>3946</v>
      </c>
      <c r="V3988" s="197">
        <v>334.5528028670949</v>
      </c>
    </row>
    <row r="3989" spans="21:22">
      <c r="U3989">
        <v>3947</v>
      </c>
      <c r="V3989" s="197">
        <v>-130.82377703372984</v>
      </c>
    </row>
    <row r="3990" spans="21:22">
      <c r="U3990">
        <v>3948</v>
      </c>
      <c r="V3990" s="197">
        <v>-904.91357114595212</v>
      </c>
    </row>
    <row r="3991" spans="21:22">
      <c r="U3991">
        <v>3949</v>
      </c>
      <c r="V3991" s="197">
        <v>0.92716211455839925</v>
      </c>
    </row>
    <row r="3992" spans="21:22">
      <c r="U3992">
        <v>3950</v>
      </c>
      <c r="V3992" s="197">
        <v>-704.24171160680521</v>
      </c>
    </row>
    <row r="3993" spans="21:22">
      <c r="U3993">
        <v>3951</v>
      </c>
      <c r="V3993" s="197">
        <v>3.892193760326947</v>
      </c>
    </row>
    <row r="3994" spans="21:22">
      <c r="U3994">
        <v>3952</v>
      </c>
      <c r="V3994" s="197">
        <v>559.59350714124071</v>
      </c>
    </row>
    <row r="3995" spans="21:22">
      <c r="U3995">
        <v>3953</v>
      </c>
      <c r="V3995" s="197">
        <v>-882.85569075774129</v>
      </c>
    </row>
    <row r="3996" spans="21:22">
      <c r="U3996">
        <v>3954</v>
      </c>
      <c r="V3996" s="197">
        <v>656.07550010440218</v>
      </c>
    </row>
    <row r="3997" spans="21:22">
      <c r="U3997">
        <v>3955</v>
      </c>
      <c r="V3997" s="197">
        <v>266.26670263319119</v>
      </c>
    </row>
    <row r="3998" spans="21:22">
      <c r="U3998">
        <v>3956</v>
      </c>
      <c r="V3998" s="197">
        <v>358.3050338314809</v>
      </c>
    </row>
    <row r="3999" spans="21:22">
      <c r="U3999">
        <v>3957</v>
      </c>
      <c r="V3999" s="197">
        <v>637.34378442316051</v>
      </c>
    </row>
    <row r="4000" spans="21:22">
      <c r="U4000">
        <v>3958</v>
      </c>
      <c r="V4000" s="197">
        <v>1030.3667514471338</v>
      </c>
    </row>
    <row r="4001" spans="21:22">
      <c r="U4001">
        <v>3959</v>
      </c>
      <c r="V4001" s="197">
        <v>1722.2279417292782</v>
      </c>
    </row>
    <row r="4002" spans="21:22">
      <c r="U4002">
        <v>3960</v>
      </c>
      <c r="V4002" s="197">
        <v>509.3983731420866</v>
      </c>
    </row>
    <row r="4003" spans="21:22">
      <c r="U4003">
        <v>3961</v>
      </c>
      <c r="V4003" s="197">
        <v>21.895386762109936</v>
      </c>
    </row>
    <row r="4004" spans="21:22">
      <c r="U4004">
        <v>3962</v>
      </c>
      <c r="V4004" s="197">
        <v>-521.14448738601209</v>
      </c>
    </row>
    <row r="4005" spans="21:22">
      <c r="U4005">
        <v>3963</v>
      </c>
      <c r="V4005" s="197">
        <v>1154.9666817344848</v>
      </c>
    </row>
    <row r="4006" spans="21:22">
      <c r="U4006">
        <v>3964</v>
      </c>
      <c r="V4006" s="197">
        <v>11.22795057041408</v>
      </c>
    </row>
    <row r="4007" spans="21:22">
      <c r="U4007">
        <v>3965</v>
      </c>
      <c r="V4007" s="197">
        <v>1206.6693330683386</v>
      </c>
    </row>
    <row r="4008" spans="21:22">
      <c r="U4008">
        <v>3966</v>
      </c>
      <c r="V4008" s="197">
        <v>465.92762439655763</v>
      </c>
    </row>
    <row r="4009" spans="21:22">
      <c r="U4009">
        <v>3967</v>
      </c>
      <c r="V4009" s="197">
        <v>-1890.0303243223798</v>
      </c>
    </row>
    <row r="4010" spans="21:22">
      <c r="U4010">
        <v>3968</v>
      </c>
      <c r="V4010" s="197">
        <v>-180.71845071601581</v>
      </c>
    </row>
    <row r="4011" spans="21:22">
      <c r="U4011">
        <v>3969</v>
      </c>
      <c r="V4011" s="197">
        <v>519.6000004707214</v>
      </c>
    </row>
    <row r="4012" spans="21:22">
      <c r="U4012">
        <v>3970</v>
      </c>
      <c r="V4012" s="197">
        <v>644.8393797866604</v>
      </c>
    </row>
    <row r="4013" spans="21:22">
      <c r="U4013">
        <v>3971</v>
      </c>
      <c r="V4013" s="197">
        <v>-297.48400550183209</v>
      </c>
    </row>
    <row r="4014" spans="21:22">
      <c r="U4014">
        <v>3972</v>
      </c>
      <c r="V4014" s="197">
        <v>968.71839613971565</v>
      </c>
    </row>
    <row r="4015" spans="21:22">
      <c r="U4015">
        <v>3973</v>
      </c>
      <c r="V4015" s="197">
        <v>947.98885715170832</v>
      </c>
    </row>
    <row r="4016" spans="21:22">
      <c r="U4016">
        <v>3974</v>
      </c>
      <c r="V4016" s="197">
        <v>-590.65666621206219</v>
      </c>
    </row>
    <row r="4017" spans="21:22">
      <c r="U4017">
        <v>3975</v>
      </c>
      <c r="V4017" s="197">
        <v>-1034.0679803029589</v>
      </c>
    </row>
    <row r="4018" spans="21:22">
      <c r="U4018">
        <v>3976</v>
      </c>
      <c r="V4018" s="197">
        <v>-214.900451535211</v>
      </c>
    </row>
    <row r="4019" spans="21:22">
      <c r="U4019">
        <v>3977</v>
      </c>
      <c r="V4019" s="197">
        <v>-2507.4661887555767</v>
      </c>
    </row>
    <row r="4020" spans="21:22">
      <c r="U4020">
        <v>3978</v>
      </c>
      <c r="V4020" s="197">
        <v>-1253.5974356597433</v>
      </c>
    </row>
    <row r="4021" spans="21:22">
      <c r="U4021">
        <v>3979</v>
      </c>
      <c r="V4021" s="197">
        <v>4.2906484033680101</v>
      </c>
    </row>
    <row r="4022" spans="21:22">
      <c r="U4022">
        <v>3980</v>
      </c>
      <c r="V4022" s="197">
        <v>41.138603160423813</v>
      </c>
    </row>
    <row r="4023" spans="21:22">
      <c r="U4023">
        <v>3981</v>
      </c>
      <c r="V4023" s="197">
        <v>-623.47559921277275</v>
      </c>
    </row>
    <row r="4024" spans="21:22">
      <c r="U4024">
        <v>3982</v>
      </c>
      <c r="V4024" s="197">
        <v>1671.0217216250812</v>
      </c>
    </row>
    <row r="4025" spans="21:22">
      <c r="U4025">
        <v>3983</v>
      </c>
      <c r="V4025" s="197">
        <v>320.70901807703058</v>
      </c>
    </row>
    <row r="4026" spans="21:22">
      <c r="U4026">
        <v>3984</v>
      </c>
      <c r="V4026" s="197">
        <v>-511.25702247511589</v>
      </c>
    </row>
    <row r="4027" spans="21:22">
      <c r="U4027">
        <v>3985</v>
      </c>
      <c r="V4027" s="197">
        <v>-1418.3084542956481</v>
      </c>
    </row>
    <row r="4028" spans="21:22">
      <c r="U4028">
        <v>3986</v>
      </c>
      <c r="V4028" s="197">
        <v>565.23366517290185</v>
      </c>
    </row>
    <row r="4029" spans="21:22">
      <c r="U4029">
        <v>3987</v>
      </c>
      <c r="V4029" s="197">
        <v>-983.06296171790586</v>
      </c>
    </row>
    <row r="4030" spans="21:22">
      <c r="U4030">
        <v>3988</v>
      </c>
      <c r="V4030" s="197">
        <v>1259.1460774804511</v>
      </c>
    </row>
    <row r="4031" spans="21:22">
      <c r="U4031">
        <v>3989</v>
      </c>
      <c r="V4031" s="197">
        <v>-1265.9848237302479</v>
      </c>
    </row>
    <row r="4032" spans="21:22">
      <c r="U4032">
        <v>3990</v>
      </c>
      <c r="V4032" s="197">
        <v>2528.9643421011542</v>
      </c>
    </row>
    <row r="4033" spans="21:22">
      <c r="U4033">
        <v>3991</v>
      </c>
      <c r="V4033" s="197">
        <v>219.54699458219773</v>
      </c>
    </row>
    <row r="4034" spans="21:22">
      <c r="U4034">
        <v>3992</v>
      </c>
      <c r="V4034" s="197">
        <v>-296.46501474971063</v>
      </c>
    </row>
    <row r="4035" spans="21:22">
      <c r="U4035">
        <v>3993</v>
      </c>
      <c r="V4035" s="197">
        <v>1322.5909088827127</v>
      </c>
    </row>
    <row r="4036" spans="21:22">
      <c r="U4036">
        <v>3994</v>
      </c>
      <c r="V4036" s="197">
        <v>-22.297151056086548</v>
      </c>
    </row>
    <row r="4037" spans="21:22">
      <c r="U4037">
        <v>3995</v>
      </c>
      <c r="V4037" s="197">
        <v>-1621.5891556431741</v>
      </c>
    </row>
    <row r="4038" spans="21:22">
      <c r="U4038">
        <v>3996</v>
      </c>
      <c r="V4038" s="197">
        <v>-1431.0806906336611</v>
      </c>
    </row>
    <row r="4039" spans="21:22">
      <c r="U4039">
        <v>3997</v>
      </c>
      <c r="V4039" s="197">
        <v>-138.35246307044662</v>
      </c>
    </row>
    <row r="4040" spans="21:22">
      <c r="U4040">
        <v>3998</v>
      </c>
      <c r="V4040" s="197">
        <v>80.932564399137021</v>
      </c>
    </row>
    <row r="4041" spans="21:22">
      <c r="U4041">
        <v>3999</v>
      </c>
      <c r="V4041" s="197">
        <v>-2645.1612602364507</v>
      </c>
    </row>
    <row r="4042" spans="21:22">
      <c r="U4042">
        <v>4000</v>
      </c>
      <c r="V4042" s="197">
        <v>-571.35215221712451</v>
      </c>
    </row>
    <row r="4043" spans="21:22">
      <c r="U4043">
        <v>4001</v>
      </c>
      <c r="V4043" s="197">
        <v>260.87071279057682</v>
      </c>
    </row>
    <row r="4044" spans="21:22">
      <c r="U4044">
        <v>4002</v>
      </c>
      <c r="V4044" s="197">
        <v>1337.8569160593288</v>
      </c>
    </row>
    <row r="4045" spans="21:22">
      <c r="U4045">
        <v>4003</v>
      </c>
      <c r="V4045" s="197">
        <v>-985.44972941298283</v>
      </c>
    </row>
    <row r="4046" spans="21:22">
      <c r="U4046">
        <v>4004</v>
      </c>
      <c r="V4046" s="197">
        <v>288.80591476489337</v>
      </c>
    </row>
    <row r="4047" spans="21:22">
      <c r="U4047">
        <v>4005</v>
      </c>
      <c r="V4047" s="197">
        <v>601.72001932760702</v>
      </c>
    </row>
    <row r="4048" spans="21:22">
      <c r="U4048">
        <v>4006</v>
      </c>
      <c r="V4048" s="197">
        <v>296.3946304773076</v>
      </c>
    </row>
    <row r="4049" spans="21:22">
      <c r="U4049">
        <v>4007</v>
      </c>
      <c r="V4049" s="197">
        <v>-367.09511185870565</v>
      </c>
    </row>
    <row r="4050" spans="21:22">
      <c r="U4050">
        <v>4008</v>
      </c>
      <c r="V4050" s="197">
        <v>-221.61580934621782</v>
      </c>
    </row>
    <row r="4051" spans="21:22">
      <c r="U4051">
        <v>4009</v>
      </c>
      <c r="V4051" s="197">
        <v>263.09850670624655</v>
      </c>
    </row>
    <row r="4052" spans="21:22">
      <c r="U4052">
        <v>4010</v>
      </c>
      <c r="V4052" s="197">
        <v>343.28452771320877</v>
      </c>
    </row>
    <row r="4053" spans="21:22">
      <c r="U4053">
        <v>4011</v>
      </c>
      <c r="V4053" s="197">
        <v>-451.75888465589236</v>
      </c>
    </row>
    <row r="4054" spans="21:22">
      <c r="U4054">
        <v>4012</v>
      </c>
      <c r="V4054" s="197">
        <v>-592.79392173493807</v>
      </c>
    </row>
    <row r="4055" spans="21:22">
      <c r="U4055">
        <v>4013</v>
      </c>
      <c r="V4055" s="197">
        <v>1309.5404731771823</v>
      </c>
    </row>
    <row r="4056" spans="21:22">
      <c r="U4056">
        <v>4014</v>
      </c>
      <c r="V4056" s="197">
        <v>355.70360718108805</v>
      </c>
    </row>
    <row r="4057" spans="21:22">
      <c r="U4057">
        <v>4015</v>
      </c>
      <c r="V4057" s="197">
        <v>611.7799889558089</v>
      </c>
    </row>
    <row r="4058" spans="21:22">
      <c r="U4058">
        <v>4016</v>
      </c>
      <c r="V4058" s="197">
        <v>-2035.7547797802129</v>
      </c>
    </row>
    <row r="4059" spans="21:22">
      <c r="U4059">
        <v>4017</v>
      </c>
      <c r="V4059" s="197">
        <v>977.35090976014521</v>
      </c>
    </row>
    <row r="4060" spans="21:22">
      <c r="U4060">
        <v>4018</v>
      </c>
      <c r="V4060" s="197">
        <v>-2297.4880683301826</v>
      </c>
    </row>
    <row r="4061" spans="21:22">
      <c r="U4061">
        <v>4019</v>
      </c>
      <c r="V4061" s="197">
        <v>186.66074473503983</v>
      </c>
    </row>
    <row r="4062" spans="21:22">
      <c r="U4062">
        <v>4020</v>
      </c>
      <c r="V4062" s="197">
        <v>546.40351401517137</v>
      </c>
    </row>
    <row r="4063" spans="21:22">
      <c r="U4063">
        <v>4021</v>
      </c>
      <c r="V4063" s="197">
        <v>1475.5452400870749</v>
      </c>
    </row>
    <row r="4064" spans="21:22">
      <c r="U4064">
        <v>4022</v>
      </c>
      <c r="V4064" s="197">
        <v>576.72426714227731</v>
      </c>
    </row>
    <row r="4065" spans="21:22">
      <c r="U4065">
        <v>4023</v>
      </c>
      <c r="V4065" s="197">
        <v>287.08199809274703</v>
      </c>
    </row>
    <row r="4066" spans="21:22">
      <c r="U4066">
        <v>4024</v>
      </c>
      <c r="V4066" s="197">
        <v>1393.545624783899</v>
      </c>
    </row>
    <row r="4067" spans="21:22">
      <c r="U4067">
        <v>4025</v>
      </c>
      <c r="V4067" s="197">
        <v>97.920636138434688</v>
      </c>
    </row>
    <row r="4068" spans="21:22">
      <c r="U4068">
        <v>4026</v>
      </c>
      <c r="V4068" s="197">
        <v>-1815.5105954998444</v>
      </c>
    </row>
    <row r="4069" spans="21:22">
      <c r="U4069">
        <v>4027</v>
      </c>
      <c r="V4069" s="197">
        <v>975.80639755754942</v>
      </c>
    </row>
    <row r="4070" spans="21:22">
      <c r="U4070">
        <v>4028</v>
      </c>
      <c r="V4070" s="197">
        <v>-70.762553340254954</v>
      </c>
    </row>
    <row r="4071" spans="21:22">
      <c r="U4071">
        <v>4029</v>
      </c>
      <c r="V4071" s="197">
        <v>1037.9945541710292</v>
      </c>
    </row>
    <row r="4072" spans="21:22">
      <c r="U4072">
        <v>4030</v>
      </c>
      <c r="V4072" s="197">
        <v>1103.8952946637582</v>
      </c>
    </row>
    <row r="4073" spans="21:22">
      <c r="U4073">
        <v>4031</v>
      </c>
      <c r="V4073" s="197">
        <v>469.4119517374433</v>
      </c>
    </row>
    <row r="4074" spans="21:22">
      <c r="U4074">
        <v>4032</v>
      </c>
      <c r="V4074" s="197">
        <v>-364.42011566096488</v>
      </c>
    </row>
    <row r="4075" spans="21:22">
      <c r="U4075">
        <v>4033</v>
      </c>
      <c r="V4075" s="197">
        <v>387.9434694326539</v>
      </c>
    </row>
    <row r="4076" spans="21:22">
      <c r="U4076">
        <v>4034</v>
      </c>
      <c r="V4076" s="197">
        <v>-1654.6021010464517</v>
      </c>
    </row>
    <row r="4077" spans="21:22">
      <c r="U4077">
        <v>4035</v>
      </c>
      <c r="V4077" s="197">
        <v>-844.23063851568986</v>
      </c>
    </row>
    <row r="4078" spans="21:22">
      <c r="U4078">
        <v>4036</v>
      </c>
      <c r="V4078" s="197">
        <v>1585.9748288153169</v>
      </c>
    </row>
    <row r="4079" spans="21:22">
      <c r="U4079">
        <v>4037</v>
      </c>
      <c r="V4079" s="197">
        <v>508.5526950610282</v>
      </c>
    </row>
    <row r="4080" spans="21:22">
      <c r="U4080">
        <v>4038</v>
      </c>
      <c r="V4080" s="197">
        <v>-58.169091281502574</v>
      </c>
    </row>
    <row r="4081" spans="21:22">
      <c r="U4081">
        <v>4039</v>
      </c>
      <c r="V4081" s="197">
        <v>491.50203397789915</v>
      </c>
    </row>
    <row r="4082" spans="21:22">
      <c r="U4082">
        <v>4040</v>
      </c>
      <c r="V4082" s="197">
        <v>2691.1062214295298</v>
      </c>
    </row>
    <row r="4083" spans="21:22">
      <c r="U4083">
        <v>4041</v>
      </c>
      <c r="V4083" s="197">
        <v>-324.40155200147285</v>
      </c>
    </row>
    <row r="4084" spans="21:22">
      <c r="U4084">
        <v>4042</v>
      </c>
      <c r="V4084" s="197">
        <v>-631.75140970728057</v>
      </c>
    </row>
    <row r="4085" spans="21:22">
      <c r="U4085">
        <v>4043</v>
      </c>
      <c r="V4085" s="197">
        <v>271.93764433126455</v>
      </c>
    </row>
    <row r="4086" spans="21:22">
      <c r="U4086">
        <v>4044</v>
      </c>
      <c r="V4086" s="197">
        <v>-122.05408696796638</v>
      </c>
    </row>
    <row r="4087" spans="21:22">
      <c r="U4087">
        <v>4045</v>
      </c>
      <c r="V4087" s="197">
        <v>-674.04225800777022</v>
      </c>
    </row>
    <row r="4088" spans="21:22">
      <c r="U4088">
        <v>4046</v>
      </c>
      <c r="V4088" s="197">
        <v>782.25874292958201</v>
      </c>
    </row>
    <row r="4089" spans="21:22">
      <c r="U4089">
        <v>4047</v>
      </c>
      <c r="V4089" s="197">
        <v>233.40708202888351</v>
      </c>
    </row>
    <row r="4090" spans="21:22">
      <c r="U4090">
        <v>4048</v>
      </c>
      <c r="V4090" s="197">
        <v>-1051.4391046441187</v>
      </c>
    </row>
    <row r="4091" spans="21:22">
      <c r="U4091">
        <v>4049</v>
      </c>
      <c r="V4091" s="197">
        <v>581.80044163330945</v>
      </c>
    </row>
    <row r="4092" spans="21:22">
      <c r="U4092">
        <v>4050</v>
      </c>
      <c r="V4092" s="197">
        <v>-1743.7446551635837</v>
      </c>
    </row>
    <row r="4093" spans="21:22">
      <c r="U4093">
        <v>4051</v>
      </c>
      <c r="V4093" s="197">
        <v>155.28550246608495</v>
      </c>
    </row>
    <row r="4094" spans="21:22">
      <c r="U4094">
        <v>4052</v>
      </c>
      <c r="V4094" s="197">
        <v>885.40406014802011</v>
      </c>
    </row>
    <row r="4095" spans="21:22">
      <c r="U4095">
        <v>4053</v>
      </c>
      <c r="V4095" s="197">
        <v>847.69231663834626</v>
      </c>
    </row>
    <row r="4096" spans="21:22">
      <c r="U4096">
        <v>4054</v>
      </c>
      <c r="V4096" s="197">
        <v>1014.3349698027089</v>
      </c>
    </row>
    <row r="4097" spans="21:22">
      <c r="U4097">
        <v>4055</v>
      </c>
      <c r="V4097" s="197">
        <v>1117.8023352026585</v>
      </c>
    </row>
    <row r="4098" spans="21:22">
      <c r="U4098">
        <v>4056</v>
      </c>
      <c r="V4098" s="197">
        <v>-702.05793324408819</v>
      </c>
    </row>
    <row r="4099" spans="21:22">
      <c r="U4099">
        <v>4057</v>
      </c>
      <c r="V4099" s="197">
        <v>694.66657696165157</v>
      </c>
    </row>
    <row r="4100" spans="21:22">
      <c r="U4100">
        <v>4058</v>
      </c>
      <c r="V4100" s="197">
        <v>1781.9847601760421</v>
      </c>
    </row>
    <row r="4101" spans="21:22">
      <c r="U4101">
        <v>4059</v>
      </c>
      <c r="V4101" s="197">
        <v>247.44669202707598</v>
      </c>
    </row>
    <row r="4102" spans="21:22">
      <c r="U4102">
        <v>4060</v>
      </c>
      <c r="V4102" s="197">
        <v>53.549758921887928</v>
      </c>
    </row>
    <row r="4103" spans="21:22">
      <c r="U4103">
        <v>4061</v>
      </c>
      <c r="V4103" s="197">
        <v>939.64566051818315</v>
      </c>
    </row>
    <row r="4104" spans="21:22">
      <c r="U4104">
        <v>4062</v>
      </c>
      <c r="V4104" s="197">
        <v>713.07000724389991</v>
      </c>
    </row>
    <row r="4105" spans="21:22">
      <c r="U4105">
        <v>4063</v>
      </c>
      <c r="V4105" s="197">
        <v>46.221751626157818</v>
      </c>
    </row>
    <row r="4106" spans="21:22">
      <c r="U4106">
        <v>4064</v>
      </c>
      <c r="V4106" s="197">
        <v>-2029.4396635802734</v>
      </c>
    </row>
    <row r="4107" spans="21:22">
      <c r="U4107">
        <v>4065</v>
      </c>
      <c r="V4107" s="197">
        <v>179.87625855141496</v>
      </c>
    </row>
    <row r="4108" spans="21:22">
      <c r="U4108">
        <v>4066</v>
      </c>
      <c r="V4108" s="197">
        <v>-1252.1270832217604</v>
      </c>
    </row>
    <row r="4109" spans="21:22">
      <c r="U4109">
        <v>4067</v>
      </c>
      <c r="V4109" s="197">
        <v>-136.66242107687916</v>
      </c>
    </row>
    <row r="4110" spans="21:22">
      <c r="U4110">
        <v>4068</v>
      </c>
      <c r="V4110" s="197">
        <v>134.83862687533519</v>
      </c>
    </row>
    <row r="4111" spans="21:22">
      <c r="U4111">
        <v>4069</v>
      </c>
      <c r="V4111" s="197">
        <v>718.1146834530698</v>
      </c>
    </row>
    <row r="4112" spans="21:22">
      <c r="U4112">
        <v>4070</v>
      </c>
      <c r="V4112" s="197">
        <v>236.7215478107066</v>
      </c>
    </row>
    <row r="4113" spans="21:22">
      <c r="U4113">
        <v>4071</v>
      </c>
      <c r="V4113" s="197">
        <v>636.96388174284994</v>
      </c>
    </row>
    <row r="4114" spans="21:22">
      <c r="U4114">
        <v>4072</v>
      </c>
      <c r="V4114" s="197">
        <v>-791.90766883679407</v>
      </c>
    </row>
    <row r="4115" spans="21:22">
      <c r="U4115">
        <v>4073</v>
      </c>
      <c r="V4115" s="197">
        <v>-100.48352821843443</v>
      </c>
    </row>
    <row r="4116" spans="21:22">
      <c r="U4116">
        <v>4074</v>
      </c>
      <c r="V4116" s="197">
        <v>2411.700710016396</v>
      </c>
    </row>
    <row r="4117" spans="21:22">
      <c r="U4117">
        <v>4075</v>
      </c>
      <c r="V4117" s="197">
        <v>1185.6339714803789</v>
      </c>
    </row>
    <row r="4118" spans="21:22">
      <c r="U4118">
        <v>4076</v>
      </c>
      <c r="V4118" s="197">
        <v>348.72245963609316</v>
      </c>
    </row>
    <row r="4119" spans="21:22">
      <c r="U4119">
        <v>4077</v>
      </c>
      <c r="V4119" s="197">
        <v>1650.3351289013217</v>
      </c>
    </row>
    <row r="4120" spans="21:22">
      <c r="U4120">
        <v>4078</v>
      </c>
      <c r="V4120" s="197">
        <v>83.878526110441854</v>
      </c>
    </row>
    <row r="4121" spans="21:22">
      <c r="U4121">
        <v>4079</v>
      </c>
      <c r="V4121" s="197">
        <v>480.38548997357827</v>
      </c>
    </row>
    <row r="4122" spans="21:22">
      <c r="U4122">
        <v>4080</v>
      </c>
      <c r="V4122" s="197">
        <v>882.98874556757937</v>
      </c>
    </row>
    <row r="4123" spans="21:22">
      <c r="U4123">
        <v>4081</v>
      </c>
      <c r="V4123" s="197">
        <v>206.37129304705689</v>
      </c>
    </row>
    <row r="4124" spans="21:22">
      <c r="U4124">
        <v>4082</v>
      </c>
      <c r="V4124" s="197">
        <v>601.14160657800915</v>
      </c>
    </row>
    <row r="4125" spans="21:22">
      <c r="U4125">
        <v>4083</v>
      </c>
      <c r="V4125" s="197">
        <v>119.42070024512714</v>
      </c>
    </row>
    <row r="4126" spans="21:22">
      <c r="U4126">
        <v>4084</v>
      </c>
      <c r="V4126" s="197">
        <v>665.53331671901446</v>
      </c>
    </row>
    <row r="4127" spans="21:22">
      <c r="U4127">
        <v>4085</v>
      </c>
      <c r="V4127" s="197">
        <v>792.8851344712848</v>
      </c>
    </row>
    <row r="4128" spans="21:22">
      <c r="U4128">
        <v>4086</v>
      </c>
      <c r="V4128" s="197">
        <v>-1151.2706549171721</v>
      </c>
    </row>
    <row r="4129" spans="21:22">
      <c r="U4129">
        <v>4087</v>
      </c>
      <c r="V4129" s="197">
        <v>-308.35285952411505</v>
      </c>
    </row>
    <row r="4130" spans="21:22">
      <c r="U4130">
        <v>4088</v>
      </c>
      <c r="V4130" s="197">
        <v>740.29845933587649</v>
      </c>
    </row>
    <row r="4131" spans="21:22">
      <c r="U4131">
        <v>4089</v>
      </c>
      <c r="V4131" s="197">
        <v>-2291.1575603892134</v>
      </c>
    </row>
    <row r="4132" spans="21:22">
      <c r="U4132">
        <v>4090</v>
      </c>
      <c r="V4132" s="197">
        <v>477.5482645830848</v>
      </c>
    </row>
    <row r="4133" spans="21:22">
      <c r="U4133">
        <v>4091</v>
      </c>
      <c r="V4133" s="197">
        <v>920.65396702945282</v>
      </c>
    </row>
    <row r="4134" spans="21:22">
      <c r="U4134">
        <v>4092</v>
      </c>
      <c r="V4134" s="197">
        <v>-1145.2360301343788</v>
      </c>
    </row>
    <row r="4135" spans="21:22">
      <c r="U4135">
        <v>4093</v>
      </c>
      <c r="V4135" s="197">
        <v>-292.96433352848436</v>
      </c>
    </row>
    <row r="4136" spans="21:22">
      <c r="U4136">
        <v>4094</v>
      </c>
      <c r="V4136" s="197">
        <v>449.74838644415325</v>
      </c>
    </row>
    <row r="4137" spans="21:22">
      <c r="U4137">
        <v>4095</v>
      </c>
      <c r="V4137" s="197">
        <v>-520.29442339365778</v>
      </c>
    </row>
    <row r="4138" spans="21:22">
      <c r="U4138">
        <v>4096</v>
      </c>
      <c r="V4138" s="197">
        <v>166.39287354346899</v>
      </c>
    </row>
    <row r="4139" spans="21:22">
      <c r="U4139">
        <v>4097</v>
      </c>
      <c r="V4139" s="197">
        <v>-644.51498068737328</v>
      </c>
    </row>
    <row r="4140" spans="21:22">
      <c r="U4140">
        <v>4098</v>
      </c>
      <c r="V4140" s="197">
        <v>808.01690294677564</v>
      </c>
    </row>
    <row r="4141" spans="21:22">
      <c r="U4141">
        <v>4099</v>
      </c>
      <c r="V4141" s="197">
        <v>-966.29696849694847</v>
      </c>
    </row>
    <row r="4142" spans="21:22">
      <c r="U4142">
        <v>4100</v>
      </c>
      <c r="V4142" s="197">
        <v>-265.57725238555901</v>
      </c>
    </row>
    <row r="4143" spans="21:22">
      <c r="U4143">
        <v>4101</v>
      </c>
      <c r="V4143" s="197">
        <v>1428.9390380805992</v>
      </c>
    </row>
    <row r="4144" spans="21:22">
      <c r="U4144">
        <v>4102</v>
      </c>
      <c r="V4144" s="197">
        <v>547.11823740743534</v>
      </c>
    </row>
    <row r="4145" spans="21:22">
      <c r="U4145">
        <v>4103</v>
      </c>
      <c r="V4145" s="197">
        <v>2198.2914018288689</v>
      </c>
    </row>
    <row r="4146" spans="21:22">
      <c r="U4146">
        <v>4104</v>
      </c>
      <c r="V4146" s="197">
        <v>-1017.4603780798282</v>
      </c>
    </row>
    <row r="4147" spans="21:22">
      <c r="U4147">
        <v>4105</v>
      </c>
      <c r="V4147" s="197">
        <v>-1475.5689103810914</v>
      </c>
    </row>
    <row r="4148" spans="21:22">
      <c r="U4148">
        <v>4106</v>
      </c>
      <c r="V4148" s="197">
        <v>-501.62154899412513</v>
      </c>
    </row>
    <row r="4149" spans="21:22">
      <c r="U4149">
        <v>4107</v>
      </c>
      <c r="V4149" s="197">
        <v>-1343.9261065674405</v>
      </c>
    </row>
    <row r="4150" spans="21:22">
      <c r="U4150">
        <v>4108</v>
      </c>
      <c r="V4150" s="197">
        <v>797.75631121088804</v>
      </c>
    </row>
    <row r="4151" spans="21:22">
      <c r="U4151">
        <v>4109</v>
      </c>
      <c r="V4151" s="197">
        <v>272.10189278408131</v>
      </c>
    </row>
    <row r="4152" spans="21:22">
      <c r="U4152">
        <v>4110</v>
      </c>
      <c r="V4152" s="197">
        <v>-239.43710718534925</v>
      </c>
    </row>
    <row r="4153" spans="21:22">
      <c r="U4153">
        <v>4111</v>
      </c>
      <c r="V4153" s="197">
        <v>1818.879330399006</v>
      </c>
    </row>
    <row r="4154" spans="21:22">
      <c r="U4154">
        <v>4112</v>
      </c>
      <c r="V4154" s="197">
        <v>985.81200786230147</v>
      </c>
    </row>
    <row r="4155" spans="21:22">
      <c r="U4155">
        <v>4113</v>
      </c>
      <c r="V4155" s="197">
        <v>226.78322674485423</v>
      </c>
    </row>
    <row r="4156" spans="21:22">
      <c r="U4156">
        <v>4114</v>
      </c>
      <c r="V4156" s="197">
        <v>589.90605176875079</v>
      </c>
    </row>
    <row r="4157" spans="21:22">
      <c r="U4157">
        <v>4115</v>
      </c>
      <c r="V4157" s="197">
        <v>-260.62928607517472</v>
      </c>
    </row>
    <row r="4158" spans="21:22">
      <c r="U4158">
        <v>4116</v>
      </c>
      <c r="V4158" s="197">
        <v>334.81699294148859</v>
      </c>
    </row>
    <row r="4159" spans="21:22">
      <c r="U4159">
        <v>4117</v>
      </c>
      <c r="V4159" s="197">
        <v>1274.3846385851518</v>
      </c>
    </row>
    <row r="4160" spans="21:22">
      <c r="U4160">
        <v>4118</v>
      </c>
      <c r="V4160" s="197">
        <v>-297.45783129035834</v>
      </c>
    </row>
    <row r="4161" spans="21:22">
      <c r="U4161">
        <v>4119</v>
      </c>
      <c r="V4161" s="197">
        <v>657.39034999429873</v>
      </c>
    </row>
    <row r="4162" spans="21:22">
      <c r="U4162">
        <v>4120</v>
      </c>
      <c r="V4162" s="197">
        <v>1575.8224516599544</v>
      </c>
    </row>
    <row r="4163" spans="21:22">
      <c r="U4163">
        <v>4121</v>
      </c>
      <c r="V4163" s="197">
        <v>637.09749697362236</v>
      </c>
    </row>
    <row r="4164" spans="21:22">
      <c r="U4164">
        <v>4122</v>
      </c>
      <c r="V4164" s="197">
        <v>1342.9664693048603</v>
      </c>
    </row>
    <row r="4165" spans="21:22">
      <c r="U4165">
        <v>4123</v>
      </c>
      <c r="V4165" s="197">
        <v>675.18191229648937</v>
      </c>
    </row>
    <row r="4166" spans="21:22">
      <c r="U4166">
        <v>4124</v>
      </c>
      <c r="V4166" s="197">
        <v>94.314218397422437</v>
      </c>
    </row>
    <row r="4167" spans="21:22">
      <c r="U4167">
        <v>4125</v>
      </c>
      <c r="V4167" s="197">
        <v>889.17936978144735</v>
      </c>
    </row>
    <row r="4168" spans="21:22">
      <c r="U4168">
        <v>4126</v>
      </c>
      <c r="V4168" s="197">
        <v>-38.670994179527611</v>
      </c>
    </row>
    <row r="4169" spans="21:22">
      <c r="U4169">
        <v>4127</v>
      </c>
      <c r="V4169" s="197">
        <v>2198.2719045737958</v>
      </c>
    </row>
    <row r="4170" spans="21:22">
      <c r="U4170">
        <v>4128</v>
      </c>
      <c r="V4170" s="197">
        <v>375.06625222376033</v>
      </c>
    </row>
    <row r="4171" spans="21:22">
      <c r="U4171">
        <v>4129</v>
      </c>
      <c r="V4171" s="197">
        <v>241.15175282318606</v>
      </c>
    </row>
    <row r="4172" spans="21:22">
      <c r="U4172">
        <v>4130</v>
      </c>
      <c r="V4172" s="197">
        <v>-872.00932155567943</v>
      </c>
    </row>
    <row r="4173" spans="21:22">
      <c r="U4173">
        <v>4131</v>
      </c>
      <c r="V4173" s="197">
        <v>-1881.2990271054216</v>
      </c>
    </row>
    <row r="4174" spans="21:22">
      <c r="U4174">
        <v>4132</v>
      </c>
      <c r="V4174" s="197">
        <v>-1182.3948443495999</v>
      </c>
    </row>
    <row r="4175" spans="21:22">
      <c r="U4175">
        <v>4133</v>
      </c>
      <c r="V4175" s="197">
        <v>-314.13082518790139</v>
      </c>
    </row>
    <row r="4176" spans="21:22">
      <c r="U4176">
        <v>4134</v>
      </c>
      <c r="V4176" s="197">
        <v>-710.63254460229973</v>
      </c>
    </row>
    <row r="4177" spans="21:22">
      <c r="U4177">
        <v>4135</v>
      </c>
      <c r="V4177" s="197">
        <v>396.71089919045301</v>
      </c>
    </row>
    <row r="4178" spans="21:22">
      <c r="U4178">
        <v>4136</v>
      </c>
      <c r="V4178" s="197">
        <v>1210.1757453150713</v>
      </c>
    </row>
    <row r="4179" spans="21:22">
      <c r="U4179">
        <v>4137</v>
      </c>
      <c r="V4179" s="197">
        <v>1286.4944958937829</v>
      </c>
    </row>
    <row r="4180" spans="21:22">
      <c r="U4180">
        <v>4138</v>
      </c>
      <c r="V4180" s="197">
        <v>-179.18241536022236</v>
      </c>
    </row>
    <row r="4181" spans="21:22">
      <c r="U4181">
        <v>4139</v>
      </c>
      <c r="V4181" s="197">
        <v>1049.7801673542854</v>
      </c>
    </row>
    <row r="4182" spans="21:22">
      <c r="U4182">
        <v>4140</v>
      </c>
      <c r="V4182" s="197">
        <v>1040.230300481601</v>
      </c>
    </row>
    <row r="4183" spans="21:22">
      <c r="U4183">
        <v>4141</v>
      </c>
      <c r="V4183" s="197">
        <v>-1115.9715626744501</v>
      </c>
    </row>
    <row r="4184" spans="21:22">
      <c r="U4184">
        <v>4142</v>
      </c>
      <c r="V4184" s="197">
        <v>-907.93525768902941</v>
      </c>
    </row>
    <row r="4185" spans="21:22">
      <c r="U4185">
        <v>4143</v>
      </c>
      <c r="V4185" s="197">
        <v>1735.549356148701</v>
      </c>
    </row>
    <row r="4186" spans="21:22">
      <c r="U4186">
        <v>4144</v>
      </c>
      <c r="V4186" s="197">
        <v>-190.89212774200274</v>
      </c>
    </row>
    <row r="4187" spans="21:22">
      <c r="U4187">
        <v>4145</v>
      </c>
      <c r="V4187" s="197">
        <v>-454.26836815669884</v>
      </c>
    </row>
    <row r="4188" spans="21:22">
      <c r="U4188">
        <v>4146</v>
      </c>
      <c r="V4188" s="197">
        <v>338.74429504635555</v>
      </c>
    </row>
    <row r="4189" spans="21:22">
      <c r="U4189">
        <v>4147</v>
      </c>
      <c r="V4189" s="197">
        <v>-824.10300614155381</v>
      </c>
    </row>
    <row r="4190" spans="21:22">
      <c r="U4190">
        <v>4148</v>
      </c>
      <c r="V4190" s="197">
        <v>-779.85031797470879</v>
      </c>
    </row>
    <row r="4191" spans="21:22">
      <c r="U4191">
        <v>4149</v>
      </c>
      <c r="V4191" s="197">
        <v>-86.040421479509547</v>
      </c>
    </row>
    <row r="4192" spans="21:22">
      <c r="U4192">
        <v>4150</v>
      </c>
      <c r="V4192" s="197">
        <v>-12.207557426808222</v>
      </c>
    </row>
    <row r="4193" spans="21:22">
      <c r="U4193">
        <v>4151</v>
      </c>
      <c r="V4193" s="197">
        <v>912.87916969886942</v>
      </c>
    </row>
    <row r="4194" spans="21:22">
      <c r="U4194">
        <v>4152</v>
      </c>
      <c r="V4194" s="197">
        <v>466.727993916743</v>
      </c>
    </row>
    <row r="4195" spans="21:22">
      <c r="U4195">
        <v>4153</v>
      </c>
      <c r="V4195" s="197">
        <v>-1536.6847210771887</v>
      </c>
    </row>
    <row r="4196" spans="21:22">
      <c r="U4196">
        <v>4154</v>
      </c>
      <c r="V4196" s="197">
        <v>287.49955712291973</v>
      </c>
    </row>
    <row r="4197" spans="21:22">
      <c r="U4197">
        <v>4155</v>
      </c>
      <c r="V4197" s="197">
        <v>156.57159380328295</v>
      </c>
    </row>
    <row r="4198" spans="21:22">
      <c r="U4198">
        <v>4156</v>
      </c>
      <c r="V4198" s="197">
        <v>-1547.6992309348514</v>
      </c>
    </row>
    <row r="4199" spans="21:22">
      <c r="U4199">
        <v>4157</v>
      </c>
      <c r="V4199" s="197">
        <v>1482.8092488776808</v>
      </c>
    </row>
    <row r="4200" spans="21:22">
      <c r="U4200">
        <v>4158</v>
      </c>
      <c r="V4200" s="197">
        <v>-1826.9336368039835</v>
      </c>
    </row>
    <row r="4201" spans="21:22">
      <c r="U4201">
        <v>4159</v>
      </c>
      <c r="V4201" s="197">
        <v>268.32931903885969</v>
      </c>
    </row>
    <row r="4202" spans="21:22">
      <c r="U4202">
        <v>4160</v>
      </c>
      <c r="V4202" s="197">
        <v>1176.3878734991201</v>
      </c>
    </row>
    <row r="4203" spans="21:22">
      <c r="U4203">
        <v>4161</v>
      </c>
      <c r="V4203" s="197">
        <v>-497.88232557674263</v>
      </c>
    </row>
    <row r="4204" spans="21:22">
      <c r="U4204">
        <v>4162</v>
      </c>
      <c r="V4204" s="197">
        <v>-848.5931967484596</v>
      </c>
    </row>
    <row r="4205" spans="21:22">
      <c r="U4205">
        <v>4163</v>
      </c>
      <c r="V4205" s="197">
        <v>1538.7142904670784</v>
      </c>
    </row>
    <row r="4206" spans="21:22">
      <c r="U4206">
        <v>4164</v>
      </c>
      <c r="V4206" s="197">
        <v>85.224044047460282</v>
      </c>
    </row>
    <row r="4207" spans="21:22">
      <c r="U4207">
        <v>4165</v>
      </c>
      <c r="V4207" s="197">
        <v>-121.85481991212589</v>
      </c>
    </row>
    <row r="4208" spans="21:22">
      <c r="U4208">
        <v>4166</v>
      </c>
      <c r="V4208" s="197">
        <v>275.01267526073229</v>
      </c>
    </row>
    <row r="4209" spans="21:22">
      <c r="U4209">
        <v>4167</v>
      </c>
      <c r="V4209" s="197">
        <v>-119.59245813803793</v>
      </c>
    </row>
    <row r="4210" spans="21:22">
      <c r="U4210">
        <v>4168</v>
      </c>
      <c r="V4210" s="197">
        <v>-361.07737485338356</v>
      </c>
    </row>
    <row r="4211" spans="21:22">
      <c r="U4211">
        <v>4169</v>
      </c>
      <c r="V4211" s="197">
        <v>349.34271863146148</v>
      </c>
    </row>
    <row r="4212" spans="21:22">
      <c r="U4212">
        <v>4170</v>
      </c>
      <c r="V4212" s="197">
        <v>31.213082081027864</v>
      </c>
    </row>
    <row r="4213" spans="21:22">
      <c r="U4213">
        <v>4171</v>
      </c>
      <c r="V4213" s="197">
        <v>-761.71886366558329</v>
      </c>
    </row>
    <row r="4214" spans="21:22">
      <c r="U4214">
        <v>4172</v>
      </c>
      <c r="V4214" s="197">
        <v>140.205605283312</v>
      </c>
    </row>
    <row r="4215" spans="21:22">
      <c r="U4215">
        <v>4173</v>
      </c>
      <c r="V4215" s="197">
        <v>350.06738945083725</v>
      </c>
    </row>
    <row r="4216" spans="21:22">
      <c r="U4216">
        <v>4174</v>
      </c>
      <c r="V4216" s="197">
        <v>688.46201057241319</v>
      </c>
    </row>
    <row r="4217" spans="21:22">
      <c r="U4217">
        <v>4175</v>
      </c>
      <c r="V4217" s="197">
        <v>181.03021144441408</v>
      </c>
    </row>
    <row r="4218" spans="21:22">
      <c r="U4218">
        <v>4176</v>
      </c>
      <c r="V4218" s="197">
        <v>631.99197319406926</v>
      </c>
    </row>
    <row r="4219" spans="21:22">
      <c r="U4219">
        <v>4177</v>
      </c>
      <c r="V4219" s="197">
        <v>-515.26071921066273</v>
      </c>
    </row>
    <row r="4220" spans="21:22">
      <c r="U4220">
        <v>4178</v>
      </c>
      <c r="V4220" s="197">
        <v>534.82977227944161</v>
      </c>
    </row>
    <row r="4221" spans="21:22">
      <c r="U4221">
        <v>4179</v>
      </c>
      <c r="V4221" s="197">
        <v>-845.87077202548289</v>
      </c>
    </row>
    <row r="4222" spans="21:22">
      <c r="U4222">
        <v>4180</v>
      </c>
      <c r="V4222" s="197">
        <v>616.31461387220611</v>
      </c>
    </row>
    <row r="4223" spans="21:22">
      <c r="U4223">
        <v>4181</v>
      </c>
      <c r="V4223" s="197">
        <v>723.14330216110397</v>
      </c>
    </row>
    <row r="4224" spans="21:22">
      <c r="U4224">
        <v>4182</v>
      </c>
      <c r="V4224" s="197">
        <v>1079.9600104729489</v>
      </c>
    </row>
    <row r="4225" spans="21:22">
      <c r="U4225">
        <v>4183</v>
      </c>
      <c r="V4225" s="197">
        <v>897.16104869369065</v>
      </c>
    </row>
    <row r="4226" spans="21:22">
      <c r="U4226">
        <v>4184</v>
      </c>
      <c r="V4226" s="197">
        <v>215.46109558730984</v>
      </c>
    </row>
    <row r="4227" spans="21:22">
      <c r="U4227">
        <v>4185</v>
      </c>
      <c r="V4227" s="197">
        <v>-538.99349750221427</v>
      </c>
    </row>
    <row r="4228" spans="21:22">
      <c r="U4228">
        <v>4186</v>
      </c>
      <c r="V4228" s="197">
        <v>-1001.7381950943975</v>
      </c>
    </row>
    <row r="4229" spans="21:22">
      <c r="U4229">
        <v>4187</v>
      </c>
      <c r="V4229" s="197">
        <v>-462.48516219649656</v>
      </c>
    </row>
    <row r="4230" spans="21:22">
      <c r="U4230">
        <v>4188</v>
      </c>
      <c r="V4230" s="197">
        <v>-209.07455989602062</v>
      </c>
    </row>
    <row r="4231" spans="21:22">
      <c r="U4231">
        <v>4189</v>
      </c>
      <c r="V4231" s="197">
        <v>295.44838129943952</v>
      </c>
    </row>
    <row r="4232" spans="21:22">
      <c r="U4232">
        <v>4190</v>
      </c>
      <c r="V4232" s="197">
        <v>-88.668456335453072</v>
      </c>
    </row>
    <row r="4233" spans="21:22">
      <c r="U4233">
        <v>4191</v>
      </c>
      <c r="V4233" s="197">
        <v>-939.44224688215968</v>
      </c>
    </row>
    <row r="4234" spans="21:22">
      <c r="U4234">
        <v>4192</v>
      </c>
      <c r="V4234" s="197">
        <v>231.87450716333888</v>
      </c>
    </row>
    <row r="4235" spans="21:22">
      <c r="U4235">
        <v>4193</v>
      </c>
      <c r="V4235" s="197">
        <v>-570.00814697042119</v>
      </c>
    </row>
    <row r="4236" spans="21:22">
      <c r="U4236">
        <v>4194</v>
      </c>
      <c r="V4236" s="197">
        <v>-1536.9923370215672</v>
      </c>
    </row>
    <row r="4237" spans="21:22">
      <c r="U4237">
        <v>4195</v>
      </c>
      <c r="V4237" s="197">
        <v>609.919261472058</v>
      </c>
    </row>
    <row r="4238" spans="21:22">
      <c r="U4238">
        <v>4196</v>
      </c>
      <c r="V4238" s="197">
        <v>175.77814981059248</v>
      </c>
    </row>
    <row r="4239" spans="21:22">
      <c r="U4239">
        <v>4197</v>
      </c>
      <c r="V4239" s="197">
        <v>-197.62484339306593</v>
      </c>
    </row>
    <row r="4240" spans="21:22">
      <c r="U4240">
        <v>4198</v>
      </c>
      <c r="V4240" s="197">
        <v>981.20303130291109</v>
      </c>
    </row>
    <row r="4241" spans="21:22">
      <c r="U4241">
        <v>4199</v>
      </c>
      <c r="V4241" s="197">
        <v>-936.91305748409104</v>
      </c>
    </row>
    <row r="4242" spans="21:22">
      <c r="U4242">
        <v>4200</v>
      </c>
      <c r="V4242" s="197">
        <v>1301.3132355202588</v>
      </c>
    </row>
    <row r="4243" spans="21:22">
      <c r="U4243">
        <v>4201</v>
      </c>
      <c r="V4243" s="197">
        <v>569.05010357826916</v>
      </c>
    </row>
    <row r="4244" spans="21:22">
      <c r="U4244">
        <v>4202</v>
      </c>
      <c r="V4244" s="197">
        <v>1231.7394969310999</v>
      </c>
    </row>
    <row r="4245" spans="21:22">
      <c r="U4245">
        <v>4203</v>
      </c>
      <c r="V4245" s="197">
        <v>-37.651825737080259</v>
      </c>
    </row>
    <row r="4246" spans="21:22">
      <c r="U4246">
        <v>4204</v>
      </c>
      <c r="V4246" s="197">
        <v>1107.861383306702</v>
      </c>
    </row>
    <row r="4247" spans="21:22">
      <c r="U4247">
        <v>4205</v>
      </c>
      <c r="V4247" s="197">
        <v>-84.836544093343804</v>
      </c>
    </row>
    <row r="4248" spans="21:22">
      <c r="U4248">
        <v>4206</v>
      </c>
      <c r="V4248" s="197">
        <v>86.168401047487777</v>
      </c>
    </row>
    <row r="4249" spans="21:22">
      <c r="U4249">
        <v>4207</v>
      </c>
      <c r="V4249" s="197">
        <v>-613.04781478287964</v>
      </c>
    </row>
    <row r="4250" spans="21:22">
      <c r="U4250">
        <v>4208</v>
      </c>
      <c r="V4250" s="197">
        <v>-1485.942472676237</v>
      </c>
    </row>
    <row r="4251" spans="21:22">
      <c r="U4251">
        <v>4209</v>
      </c>
      <c r="V4251" s="197">
        <v>336.84953807519776</v>
      </c>
    </row>
    <row r="4252" spans="21:22">
      <c r="U4252">
        <v>4210</v>
      </c>
      <c r="V4252" s="197">
        <v>-797.77321586179664</v>
      </c>
    </row>
    <row r="4253" spans="21:22">
      <c r="U4253">
        <v>4211</v>
      </c>
      <c r="V4253" s="197">
        <v>-325.40297164514766</v>
      </c>
    </row>
    <row r="4254" spans="21:22">
      <c r="U4254">
        <v>4212</v>
      </c>
      <c r="V4254" s="197">
        <v>367.03851197308131</v>
      </c>
    </row>
    <row r="4255" spans="21:22">
      <c r="U4255">
        <v>4213</v>
      </c>
      <c r="V4255" s="197">
        <v>-1989.4254241864485</v>
      </c>
    </row>
    <row r="4256" spans="21:22">
      <c r="U4256">
        <v>4214</v>
      </c>
      <c r="V4256" s="197">
        <v>-281.9144386595259</v>
      </c>
    </row>
    <row r="4257" spans="21:22">
      <c r="U4257">
        <v>4215</v>
      </c>
      <c r="V4257" s="197">
        <v>-736.28578418955703</v>
      </c>
    </row>
    <row r="4258" spans="21:22">
      <c r="U4258">
        <v>4216</v>
      </c>
      <c r="V4258" s="197">
        <v>597.84126273433617</v>
      </c>
    </row>
    <row r="4259" spans="21:22">
      <c r="U4259">
        <v>4217</v>
      </c>
      <c r="V4259" s="197">
        <v>1422.364811559695</v>
      </c>
    </row>
    <row r="4260" spans="21:22">
      <c r="U4260">
        <v>4218</v>
      </c>
      <c r="V4260" s="197">
        <v>756.69693172365396</v>
      </c>
    </row>
    <row r="4261" spans="21:22">
      <c r="U4261">
        <v>4219</v>
      </c>
      <c r="V4261" s="197">
        <v>-63.48093320953393</v>
      </c>
    </row>
    <row r="4262" spans="21:22">
      <c r="U4262">
        <v>4220</v>
      </c>
      <c r="V4262" s="197">
        <v>416.2616179764716</v>
      </c>
    </row>
    <row r="4263" spans="21:22">
      <c r="U4263">
        <v>4221</v>
      </c>
      <c r="V4263" s="197">
        <v>1097.812335664127</v>
      </c>
    </row>
    <row r="4264" spans="21:22">
      <c r="U4264">
        <v>4222</v>
      </c>
      <c r="V4264" s="197">
        <v>-498.72891525711549</v>
      </c>
    </row>
    <row r="4265" spans="21:22">
      <c r="U4265">
        <v>4223</v>
      </c>
      <c r="V4265" s="197">
        <v>708.03378143986492</v>
      </c>
    </row>
    <row r="4266" spans="21:22">
      <c r="U4266">
        <v>4224</v>
      </c>
      <c r="V4266" s="197">
        <v>-1160.7059202550508</v>
      </c>
    </row>
    <row r="4267" spans="21:22">
      <c r="U4267">
        <v>4225</v>
      </c>
      <c r="V4267" s="197">
        <v>-1501.5822937171263</v>
      </c>
    </row>
    <row r="4268" spans="21:22">
      <c r="U4268">
        <v>4226</v>
      </c>
      <c r="V4268" s="197">
        <v>85.918512290330256</v>
      </c>
    </row>
    <row r="4269" spans="21:22">
      <c r="U4269">
        <v>4227</v>
      </c>
      <c r="V4269" s="197">
        <v>-111.53478573605443</v>
      </c>
    </row>
    <row r="4270" spans="21:22">
      <c r="U4270">
        <v>4228</v>
      </c>
      <c r="V4270" s="197">
        <v>2224.732557703232</v>
      </c>
    </row>
    <row r="4271" spans="21:22">
      <c r="U4271">
        <v>4229</v>
      </c>
      <c r="V4271" s="197">
        <v>-246.80574359560859</v>
      </c>
    </row>
    <row r="4272" spans="21:22">
      <c r="U4272">
        <v>4230</v>
      </c>
      <c r="V4272" s="197">
        <v>-583.26522476051468</v>
      </c>
    </row>
    <row r="4273" spans="21:22">
      <c r="U4273">
        <v>4231</v>
      </c>
      <c r="V4273" s="197">
        <v>2784.6048616496887</v>
      </c>
    </row>
    <row r="4274" spans="21:22">
      <c r="U4274">
        <v>4232</v>
      </c>
      <c r="V4274" s="197">
        <v>-204.87275043241192</v>
      </c>
    </row>
    <row r="4275" spans="21:22">
      <c r="U4275">
        <v>4233</v>
      </c>
      <c r="V4275" s="197">
        <v>672.31483850984387</v>
      </c>
    </row>
    <row r="4276" spans="21:22">
      <c r="U4276">
        <v>4234</v>
      </c>
      <c r="V4276" s="197">
        <v>-1738.313612732403</v>
      </c>
    </row>
    <row r="4277" spans="21:22">
      <c r="U4277">
        <v>4235</v>
      </c>
      <c r="V4277" s="197">
        <v>1520.343640615278</v>
      </c>
    </row>
    <row r="4278" spans="21:22">
      <c r="U4278">
        <v>4236</v>
      </c>
      <c r="V4278" s="197">
        <v>250.96881619154786</v>
      </c>
    </row>
    <row r="4279" spans="21:22">
      <c r="U4279">
        <v>4237</v>
      </c>
      <c r="V4279" s="197">
        <v>-1202.9858936548071</v>
      </c>
    </row>
    <row r="4280" spans="21:22">
      <c r="U4280">
        <v>4238</v>
      </c>
      <c r="V4280" s="197">
        <v>-162.56742971853248</v>
      </c>
    </row>
    <row r="4281" spans="21:22">
      <c r="U4281">
        <v>4239</v>
      </c>
      <c r="V4281" s="197">
        <v>1278.7697367701307</v>
      </c>
    </row>
    <row r="4282" spans="21:22">
      <c r="U4282">
        <v>4240</v>
      </c>
      <c r="V4282" s="197">
        <v>1614.6478445453547</v>
      </c>
    </row>
    <row r="4283" spans="21:22">
      <c r="U4283">
        <v>4241</v>
      </c>
      <c r="V4283" s="197">
        <v>513.60015124950951</v>
      </c>
    </row>
    <row r="4284" spans="21:22">
      <c r="U4284">
        <v>4242</v>
      </c>
      <c r="V4284" s="197">
        <v>1214.6657066317432</v>
      </c>
    </row>
    <row r="4285" spans="21:22">
      <c r="U4285">
        <v>4243</v>
      </c>
      <c r="V4285" s="197">
        <v>258.91397356613504</v>
      </c>
    </row>
    <row r="4286" spans="21:22">
      <c r="U4286">
        <v>4244</v>
      </c>
      <c r="V4286" s="197">
        <v>905.30828477673231</v>
      </c>
    </row>
    <row r="4287" spans="21:22">
      <c r="U4287">
        <v>4245</v>
      </c>
      <c r="V4287" s="197">
        <v>593.43127429249887</v>
      </c>
    </row>
    <row r="4288" spans="21:22">
      <c r="U4288">
        <v>4246</v>
      </c>
      <c r="V4288" s="197">
        <v>1306.6035655802107</v>
      </c>
    </row>
    <row r="4289" spans="21:22">
      <c r="U4289">
        <v>4247</v>
      </c>
      <c r="V4289" s="197">
        <v>-337.83268975365957</v>
      </c>
    </row>
    <row r="4290" spans="21:22">
      <c r="U4290">
        <v>4248</v>
      </c>
      <c r="V4290" s="197">
        <v>-514.55556286579213</v>
      </c>
    </row>
    <row r="4291" spans="21:22">
      <c r="U4291">
        <v>4249</v>
      </c>
      <c r="V4291" s="197">
        <v>437.28031742578787</v>
      </c>
    </row>
    <row r="4292" spans="21:22">
      <c r="U4292">
        <v>4250</v>
      </c>
      <c r="V4292" s="197">
        <v>-98.425811279042392</v>
      </c>
    </row>
    <row r="4293" spans="21:22">
      <c r="U4293">
        <v>4251</v>
      </c>
      <c r="V4293" s="197">
        <v>1304.3337805885808</v>
      </c>
    </row>
    <row r="4294" spans="21:22">
      <c r="U4294">
        <v>4252</v>
      </c>
      <c r="V4294" s="197">
        <v>1231.0866421246653</v>
      </c>
    </row>
    <row r="4295" spans="21:22">
      <c r="U4295">
        <v>4253</v>
      </c>
      <c r="V4295" s="197">
        <v>171.34554009349466</v>
      </c>
    </row>
    <row r="4296" spans="21:22">
      <c r="U4296">
        <v>4254</v>
      </c>
      <c r="V4296" s="197">
        <v>63.173952257329553</v>
      </c>
    </row>
    <row r="4297" spans="21:22">
      <c r="U4297">
        <v>4255</v>
      </c>
      <c r="V4297" s="197">
        <v>359.92171663850041</v>
      </c>
    </row>
    <row r="4298" spans="21:22">
      <c r="U4298">
        <v>4256</v>
      </c>
      <c r="V4298" s="197">
        <v>3362.6646293305912</v>
      </c>
    </row>
    <row r="4299" spans="21:22">
      <c r="U4299">
        <v>4257</v>
      </c>
      <c r="V4299" s="197">
        <v>124.23026662494175</v>
      </c>
    </row>
    <row r="4300" spans="21:22">
      <c r="U4300">
        <v>4258</v>
      </c>
      <c r="V4300" s="197">
        <v>1506.534684739569</v>
      </c>
    </row>
    <row r="4301" spans="21:22">
      <c r="U4301">
        <v>4259</v>
      </c>
      <c r="V4301" s="197">
        <v>2386.0161617486792</v>
      </c>
    </row>
    <row r="4302" spans="21:22">
      <c r="U4302">
        <v>4260</v>
      </c>
      <c r="V4302" s="197">
        <v>-369.29531853521121</v>
      </c>
    </row>
    <row r="4303" spans="21:22">
      <c r="U4303">
        <v>4261</v>
      </c>
      <c r="V4303" s="197">
        <v>-198.26566364621453</v>
      </c>
    </row>
    <row r="4304" spans="21:22">
      <c r="U4304">
        <v>4262</v>
      </c>
      <c r="V4304" s="197">
        <v>-1224.5776731307271</v>
      </c>
    </row>
    <row r="4305" spans="21:22">
      <c r="U4305">
        <v>4263</v>
      </c>
      <c r="V4305" s="197">
        <v>1588.2178022669621</v>
      </c>
    </row>
    <row r="4306" spans="21:22">
      <c r="U4306">
        <v>4264</v>
      </c>
      <c r="V4306" s="197">
        <v>385.27874195846283</v>
      </c>
    </row>
    <row r="4307" spans="21:22">
      <c r="U4307">
        <v>4265</v>
      </c>
      <c r="V4307" s="197">
        <v>1066.1568850303463</v>
      </c>
    </row>
    <row r="4308" spans="21:22">
      <c r="U4308">
        <v>4266</v>
      </c>
      <c r="V4308" s="197">
        <v>584.8094913324976</v>
      </c>
    </row>
    <row r="4309" spans="21:22">
      <c r="U4309">
        <v>4267</v>
      </c>
      <c r="V4309" s="197">
        <v>505.16815627167205</v>
      </c>
    </row>
    <row r="4310" spans="21:22">
      <c r="U4310">
        <v>4268</v>
      </c>
      <c r="V4310" s="197">
        <v>691.70202210519005</v>
      </c>
    </row>
    <row r="4311" spans="21:22">
      <c r="U4311">
        <v>4269</v>
      </c>
      <c r="V4311" s="197">
        <v>313.57125033747002</v>
      </c>
    </row>
    <row r="4312" spans="21:22">
      <c r="U4312">
        <v>4270</v>
      </c>
      <c r="V4312" s="197">
        <v>392.64754457097945</v>
      </c>
    </row>
    <row r="4313" spans="21:22">
      <c r="U4313">
        <v>4271</v>
      </c>
      <c r="V4313" s="197">
        <v>1849.2170768657859</v>
      </c>
    </row>
    <row r="4314" spans="21:22">
      <c r="U4314">
        <v>4272</v>
      </c>
      <c r="V4314" s="197">
        <v>-1596.2714848987935</v>
      </c>
    </row>
    <row r="4315" spans="21:22">
      <c r="U4315">
        <v>4273</v>
      </c>
      <c r="V4315" s="197">
        <v>1147.7106258230647</v>
      </c>
    </row>
    <row r="4316" spans="21:22">
      <c r="U4316">
        <v>4274</v>
      </c>
      <c r="V4316" s="197">
        <v>-131.87822515861345</v>
      </c>
    </row>
    <row r="4317" spans="21:22">
      <c r="U4317">
        <v>4275</v>
      </c>
      <c r="V4317" s="197">
        <v>1397.2143519092551</v>
      </c>
    </row>
    <row r="4318" spans="21:22">
      <c r="U4318">
        <v>4276</v>
      </c>
      <c r="V4318" s="197">
        <v>-864.8567534956826</v>
      </c>
    </row>
    <row r="4319" spans="21:22">
      <c r="U4319">
        <v>4277</v>
      </c>
      <c r="V4319" s="197">
        <v>-428.64581893670191</v>
      </c>
    </row>
    <row r="4320" spans="21:22">
      <c r="U4320">
        <v>4278</v>
      </c>
      <c r="V4320" s="197">
        <v>-673.21662211300782</v>
      </c>
    </row>
    <row r="4321" spans="21:22">
      <c r="U4321">
        <v>4279</v>
      </c>
      <c r="V4321" s="197">
        <v>-75.981338797202056</v>
      </c>
    </row>
    <row r="4322" spans="21:22">
      <c r="U4322">
        <v>4280</v>
      </c>
      <c r="V4322" s="197">
        <v>-592.9193426653253</v>
      </c>
    </row>
    <row r="4323" spans="21:22">
      <c r="U4323">
        <v>4281</v>
      </c>
      <c r="V4323" s="197">
        <v>316.13803403312613</v>
      </c>
    </row>
    <row r="4324" spans="21:22">
      <c r="U4324">
        <v>4282</v>
      </c>
      <c r="V4324" s="197">
        <v>-1485.3021834218148</v>
      </c>
    </row>
    <row r="4325" spans="21:22">
      <c r="U4325">
        <v>4283</v>
      </c>
      <c r="V4325" s="197">
        <v>-155.97513225415503</v>
      </c>
    </row>
    <row r="4326" spans="21:22">
      <c r="U4326">
        <v>4284</v>
      </c>
      <c r="V4326" s="197">
        <v>-91.60705332676423</v>
      </c>
    </row>
    <row r="4327" spans="21:22">
      <c r="U4327">
        <v>4285</v>
      </c>
      <c r="V4327" s="197">
        <v>-1227.7204891533231</v>
      </c>
    </row>
    <row r="4328" spans="21:22">
      <c r="U4328">
        <v>4286</v>
      </c>
      <c r="V4328" s="197">
        <v>1265.1128077626795</v>
      </c>
    </row>
    <row r="4329" spans="21:22">
      <c r="U4329">
        <v>4287</v>
      </c>
      <c r="V4329" s="197">
        <v>749.22124476659337</v>
      </c>
    </row>
    <row r="4330" spans="21:22">
      <c r="U4330">
        <v>4288</v>
      </c>
      <c r="V4330" s="197">
        <v>203.87085946685858</v>
      </c>
    </row>
    <row r="4331" spans="21:22">
      <c r="U4331">
        <v>4289</v>
      </c>
      <c r="V4331" s="197">
        <v>405.23442232211261</v>
      </c>
    </row>
    <row r="4332" spans="21:22">
      <c r="U4332">
        <v>4290</v>
      </c>
      <c r="V4332" s="197">
        <v>365.96748916114763</v>
      </c>
    </row>
    <row r="4333" spans="21:22">
      <c r="U4333">
        <v>4291</v>
      </c>
      <c r="V4333" s="197">
        <v>645.57227890892705</v>
      </c>
    </row>
    <row r="4334" spans="21:22">
      <c r="U4334">
        <v>4292</v>
      </c>
      <c r="V4334" s="197">
        <v>1485.42763953291</v>
      </c>
    </row>
    <row r="4335" spans="21:22">
      <c r="U4335">
        <v>4293</v>
      </c>
      <c r="V4335" s="197">
        <v>1612.6422717444573</v>
      </c>
    </row>
    <row r="4336" spans="21:22">
      <c r="U4336">
        <v>4294</v>
      </c>
      <c r="V4336" s="197">
        <v>-1868.2592149932766</v>
      </c>
    </row>
    <row r="4337" spans="21:22">
      <c r="U4337">
        <v>4295</v>
      </c>
      <c r="V4337" s="197">
        <v>235.04931288258902</v>
      </c>
    </row>
    <row r="4338" spans="21:22">
      <c r="U4338">
        <v>4296</v>
      </c>
      <c r="V4338" s="197">
        <v>241.94447648303387</v>
      </c>
    </row>
    <row r="4339" spans="21:22">
      <c r="U4339">
        <v>4297</v>
      </c>
      <c r="V4339" s="197">
        <v>353.3897542510033</v>
      </c>
    </row>
    <row r="4340" spans="21:22">
      <c r="U4340">
        <v>4298</v>
      </c>
      <c r="V4340" s="197">
        <v>-153.11759363725196</v>
      </c>
    </row>
    <row r="4341" spans="21:22">
      <c r="U4341">
        <v>4299</v>
      </c>
      <c r="V4341" s="197">
        <v>1780.3817356801246</v>
      </c>
    </row>
    <row r="4342" spans="21:22">
      <c r="U4342">
        <v>4300</v>
      </c>
      <c r="V4342" s="197">
        <v>262.66886236100913</v>
      </c>
    </row>
    <row r="4343" spans="21:22">
      <c r="U4343">
        <v>4301</v>
      </c>
      <c r="V4343" s="197">
        <v>120.04540623542798</v>
      </c>
    </row>
    <row r="4344" spans="21:22">
      <c r="U4344">
        <v>4302</v>
      </c>
      <c r="V4344" s="197">
        <v>599.76408139299906</v>
      </c>
    </row>
    <row r="4345" spans="21:22">
      <c r="U4345">
        <v>4303</v>
      </c>
      <c r="V4345" s="197">
        <v>857.33488244144678</v>
      </c>
    </row>
    <row r="4346" spans="21:22">
      <c r="U4346">
        <v>4304</v>
      </c>
      <c r="V4346" s="197">
        <v>1432.0298403795803</v>
      </c>
    </row>
    <row r="4347" spans="21:22">
      <c r="U4347">
        <v>4305</v>
      </c>
      <c r="V4347" s="197">
        <v>274.84368675794701</v>
      </c>
    </row>
    <row r="4348" spans="21:22">
      <c r="U4348">
        <v>4306</v>
      </c>
      <c r="V4348" s="197">
        <v>551.82809766009814</v>
      </c>
    </row>
    <row r="4349" spans="21:22">
      <c r="U4349">
        <v>4307</v>
      </c>
      <c r="V4349" s="197">
        <v>922.73900420472569</v>
      </c>
    </row>
    <row r="4350" spans="21:22">
      <c r="U4350">
        <v>4308</v>
      </c>
      <c r="V4350" s="197">
        <v>-1084.108679440202</v>
      </c>
    </row>
    <row r="4351" spans="21:22">
      <c r="U4351">
        <v>4309</v>
      </c>
      <c r="V4351" s="197">
        <v>-845.07730005425447</v>
      </c>
    </row>
    <row r="4352" spans="21:22">
      <c r="U4352">
        <v>4310</v>
      </c>
      <c r="V4352" s="197">
        <v>834.65981742792519</v>
      </c>
    </row>
    <row r="4353" spans="21:22">
      <c r="U4353">
        <v>4311</v>
      </c>
      <c r="V4353" s="197">
        <v>789.89648454466078</v>
      </c>
    </row>
    <row r="4354" spans="21:22">
      <c r="U4354">
        <v>4312</v>
      </c>
      <c r="V4354" s="197">
        <v>1045.4149389624231</v>
      </c>
    </row>
    <row r="4355" spans="21:22">
      <c r="U4355">
        <v>4313</v>
      </c>
      <c r="V4355" s="197">
        <v>-145.8399986210832</v>
      </c>
    </row>
    <row r="4356" spans="21:22">
      <c r="U4356">
        <v>4314</v>
      </c>
      <c r="V4356" s="197">
        <v>-1139.3103911013957</v>
      </c>
    </row>
    <row r="4357" spans="21:22">
      <c r="U4357">
        <v>4315</v>
      </c>
      <c r="V4357" s="197">
        <v>-220.04601517256913</v>
      </c>
    </row>
    <row r="4358" spans="21:22">
      <c r="U4358">
        <v>4316</v>
      </c>
      <c r="V4358" s="197">
        <v>-62.411408116448939</v>
      </c>
    </row>
    <row r="4359" spans="21:22">
      <c r="U4359">
        <v>4317</v>
      </c>
      <c r="V4359" s="197">
        <v>-683.13548857263936</v>
      </c>
    </row>
    <row r="4360" spans="21:22">
      <c r="U4360">
        <v>4318</v>
      </c>
      <c r="V4360" s="197">
        <v>-208.86813913005744</v>
      </c>
    </row>
    <row r="4361" spans="21:22">
      <c r="U4361">
        <v>4319</v>
      </c>
      <c r="V4361" s="197">
        <v>-58.142023226815667</v>
      </c>
    </row>
    <row r="4362" spans="21:22">
      <c r="U4362">
        <v>4320</v>
      </c>
      <c r="V4362" s="197">
        <v>352.24473940488099</v>
      </c>
    </row>
    <row r="4363" spans="21:22">
      <c r="U4363">
        <v>4321</v>
      </c>
      <c r="V4363" s="197">
        <v>-365.50041399501134</v>
      </c>
    </row>
    <row r="4364" spans="21:22">
      <c r="U4364">
        <v>4322</v>
      </c>
      <c r="V4364" s="197">
        <v>-1428.0643043496864</v>
      </c>
    </row>
    <row r="4365" spans="21:22">
      <c r="U4365">
        <v>4323</v>
      </c>
      <c r="V4365" s="197">
        <v>6.8563099020402802</v>
      </c>
    </row>
    <row r="4366" spans="21:22">
      <c r="U4366">
        <v>4324</v>
      </c>
      <c r="V4366" s="197">
        <v>642.15959320046841</v>
      </c>
    </row>
    <row r="4367" spans="21:22">
      <c r="U4367">
        <v>4325</v>
      </c>
      <c r="V4367" s="197">
        <v>857.85943813467861</v>
      </c>
    </row>
    <row r="4368" spans="21:22">
      <c r="U4368">
        <v>4326</v>
      </c>
      <c r="V4368" s="197">
        <v>344.92765630070772</v>
      </c>
    </row>
    <row r="4369" spans="21:22">
      <c r="U4369">
        <v>4327</v>
      </c>
      <c r="V4369" s="197">
        <v>307.30086218143833</v>
      </c>
    </row>
    <row r="4370" spans="21:22">
      <c r="U4370">
        <v>4328</v>
      </c>
      <c r="V4370" s="197">
        <v>1697.3977825065092</v>
      </c>
    </row>
    <row r="4371" spans="21:22">
      <c r="U4371">
        <v>4329</v>
      </c>
      <c r="V4371" s="197">
        <v>-1281.3920848075068</v>
      </c>
    </row>
    <row r="4372" spans="21:22">
      <c r="U4372">
        <v>4330</v>
      </c>
      <c r="V4372" s="197">
        <v>-1340.4793572690012</v>
      </c>
    </row>
    <row r="4373" spans="21:22">
      <c r="U4373">
        <v>4331</v>
      </c>
      <c r="V4373" s="197">
        <v>-1428.3122549194684</v>
      </c>
    </row>
    <row r="4374" spans="21:22">
      <c r="U4374">
        <v>4332</v>
      </c>
      <c r="V4374" s="197">
        <v>-873.95483489020671</v>
      </c>
    </row>
    <row r="4375" spans="21:22">
      <c r="U4375">
        <v>4333</v>
      </c>
      <c r="V4375" s="197">
        <v>1749.7438092791629</v>
      </c>
    </row>
    <row r="4376" spans="21:22">
      <c r="U4376">
        <v>4334</v>
      </c>
      <c r="V4376" s="197">
        <v>-663.62065076930094</v>
      </c>
    </row>
    <row r="4377" spans="21:22">
      <c r="U4377">
        <v>4335</v>
      </c>
      <c r="V4377" s="197">
        <v>711.30006666551299</v>
      </c>
    </row>
    <row r="4378" spans="21:22">
      <c r="U4378">
        <v>4336</v>
      </c>
      <c r="V4378" s="197">
        <v>1642.1286954841207</v>
      </c>
    </row>
    <row r="4379" spans="21:22">
      <c r="U4379">
        <v>4337</v>
      </c>
      <c r="V4379" s="197">
        <v>-265.14096513607529</v>
      </c>
    </row>
    <row r="4380" spans="21:22">
      <c r="U4380">
        <v>4338</v>
      </c>
      <c r="V4380" s="197">
        <v>1012.9386941541927</v>
      </c>
    </row>
    <row r="4381" spans="21:22">
      <c r="U4381">
        <v>4339</v>
      </c>
      <c r="V4381" s="197">
        <v>483.59219248578739</v>
      </c>
    </row>
    <row r="4382" spans="21:22">
      <c r="U4382">
        <v>4340</v>
      </c>
      <c r="V4382" s="197">
        <v>357.03392571057373</v>
      </c>
    </row>
    <row r="4383" spans="21:22">
      <c r="U4383">
        <v>4341</v>
      </c>
      <c r="V4383" s="197">
        <v>-1077.3042066585197</v>
      </c>
    </row>
    <row r="4384" spans="21:22">
      <c r="U4384">
        <v>4342</v>
      </c>
      <c r="V4384" s="197">
        <v>37.172810654630375</v>
      </c>
    </row>
    <row r="4385" spans="21:22">
      <c r="U4385">
        <v>4343</v>
      </c>
      <c r="V4385" s="197">
        <v>1215.4622813311128</v>
      </c>
    </row>
    <row r="4386" spans="21:22">
      <c r="U4386">
        <v>4344</v>
      </c>
      <c r="V4386" s="197">
        <v>1702.2230674783957</v>
      </c>
    </row>
    <row r="4387" spans="21:22">
      <c r="U4387">
        <v>4345</v>
      </c>
      <c r="V4387" s="197">
        <v>580.03445228253213</v>
      </c>
    </row>
    <row r="4388" spans="21:22">
      <c r="U4388">
        <v>4346</v>
      </c>
      <c r="V4388" s="197">
        <v>-63.52350893190382</v>
      </c>
    </row>
    <row r="4389" spans="21:22">
      <c r="U4389">
        <v>4347</v>
      </c>
      <c r="V4389" s="197">
        <v>-2113.8103815963709</v>
      </c>
    </row>
    <row r="4390" spans="21:22">
      <c r="U4390">
        <v>4348</v>
      </c>
      <c r="V4390" s="197">
        <v>373.32441361881166</v>
      </c>
    </row>
    <row r="4391" spans="21:22">
      <c r="U4391">
        <v>4349</v>
      </c>
      <c r="V4391" s="197">
        <v>-747.20054243019649</v>
      </c>
    </row>
    <row r="4392" spans="21:22">
      <c r="U4392">
        <v>4350</v>
      </c>
      <c r="V4392" s="197">
        <v>389.56082211165983</v>
      </c>
    </row>
    <row r="4393" spans="21:22">
      <c r="U4393">
        <v>4351</v>
      </c>
      <c r="V4393" s="197">
        <v>1497.9912807830492</v>
      </c>
    </row>
    <row r="4394" spans="21:22">
      <c r="U4394">
        <v>4352</v>
      </c>
      <c r="V4394" s="197">
        <v>-1210.1915747403787</v>
      </c>
    </row>
    <row r="4395" spans="21:22">
      <c r="U4395">
        <v>4353</v>
      </c>
      <c r="V4395" s="197">
        <v>82.541047632425233</v>
      </c>
    </row>
    <row r="4396" spans="21:22">
      <c r="U4396">
        <v>4354</v>
      </c>
      <c r="V4396" s="197">
        <v>620.1371401328131</v>
      </c>
    </row>
    <row r="4397" spans="21:22">
      <c r="U4397">
        <v>4355</v>
      </c>
      <c r="V4397" s="197">
        <v>1952.6920780018249</v>
      </c>
    </row>
    <row r="4398" spans="21:22">
      <c r="U4398">
        <v>4356</v>
      </c>
      <c r="V4398" s="197">
        <v>-479.53925723640799</v>
      </c>
    </row>
    <row r="4399" spans="21:22">
      <c r="U4399">
        <v>4357</v>
      </c>
      <c r="V4399" s="197">
        <v>-152.49971328118369</v>
      </c>
    </row>
    <row r="4400" spans="21:22">
      <c r="U4400">
        <v>4358</v>
      </c>
      <c r="V4400" s="197">
        <v>-1165.5322844391007</v>
      </c>
    </row>
    <row r="4401" spans="21:22">
      <c r="U4401">
        <v>4359</v>
      </c>
      <c r="V4401" s="197">
        <v>-493.42430787123277</v>
      </c>
    </row>
    <row r="4402" spans="21:22">
      <c r="U4402">
        <v>4360</v>
      </c>
      <c r="V4402" s="197">
        <v>-1597.9863726717388</v>
      </c>
    </row>
    <row r="4403" spans="21:22">
      <c r="U4403">
        <v>4361</v>
      </c>
      <c r="V4403" s="197">
        <v>-1300.3343861395224</v>
      </c>
    </row>
    <row r="4404" spans="21:22">
      <c r="U4404">
        <v>4362</v>
      </c>
      <c r="V4404" s="197">
        <v>135.39259133161011</v>
      </c>
    </row>
    <row r="4405" spans="21:22">
      <c r="U4405">
        <v>4363</v>
      </c>
      <c r="V4405" s="197">
        <v>-271.74018444238664</v>
      </c>
    </row>
    <row r="4406" spans="21:22">
      <c r="U4406">
        <v>4364</v>
      </c>
      <c r="V4406" s="197">
        <v>78.332935952124785</v>
      </c>
    </row>
    <row r="4407" spans="21:22">
      <c r="U4407">
        <v>4365</v>
      </c>
      <c r="V4407" s="197">
        <v>70.590651477463595</v>
      </c>
    </row>
    <row r="4408" spans="21:22">
      <c r="U4408">
        <v>4366</v>
      </c>
      <c r="V4408" s="197">
        <v>-137.16981321275335</v>
      </c>
    </row>
    <row r="4409" spans="21:22">
      <c r="U4409">
        <v>4367</v>
      </c>
      <c r="V4409" s="197">
        <v>766.73826611233039</v>
      </c>
    </row>
    <row r="4410" spans="21:22">
      <c r="U4410">
        <v>4368</v>
      </c>
      <c r="V4410" s="197">
        <v>-32.276231403246641</v>
      </c>
    </row>
    <row r="4411" spans="21:22">
      <c r="U4411">
        <v>4369</v>
      </c>
      <c r="V4411" s="197">
        <v>323.72184869212538</v>
      </c>
    </row>
    <row r="4412" spans="21:22">
      <c r="U4412">
        <v>4370</v>
      </c>
      <c r="V4412" s="197">
        <v>-703.22018549186373</v>
      </c>
    </row>
    <row r="4413" spans="21:22">
      <c r="U4413">
        <v>4371</v>
      </c>
      <c r="V4413" s="197">
        <v>575.25777980385965</v>
      </c>
    </row>
    <row r="4414" spans="21:22">
      <c r="U4414">
        <v>4372</v>
      </c>
      <c r="V4414" s="197">
        <v>990.26693557370913</v>
      </c>
    </row>
    <row r="4415" spans="21:22">
      <c r="U4415">
        <v>4373</v>
      </c>
      <c r="V4415" s="197">
        <v>481.91724186044775</v>
      </c>
    </row>
    <row r="4416" spans="21:22">
      <c r="U4416">
        <v>4374</v>
      </c>
      <c r="V4416" s="197">
        <v>14.228889924096393</v>
      </c>
    </row>
    <row r="4417" spans="21:22">
      <c r="U4417">
        <v>4375</v>
      </c>
      <c r="V4417" s="197">
        <v>79.628081184902044</v>
      </c>
    </row>
    <row r="4418" spans="21:22">
      <c r="U4418">
        <v>4376</v>
      </c>
      <c r="V4418" s="197">
        <v>-730.03556962252787</v>
      </c>
    </row>
    <row r="4419" spans="21:22">
      <c r="U4419">
        <v>4377</v>
      </c>
      <c r="V4419" s="197">
        <v>99.638241192660914</v>
      </c>
    </row>
    <row r="4420" spans="21:22">
      <c r="U4420">
        <v>4378</v>
      </c>
      <c r="V4420" s="197">
        <v>-461.76716052333728</v>
      </c>
    </row>
    <row r="4421" spans="21:22">
      <c r="U4421">
        <v>4379</v>
      </c>
      <c r="V4421" s="197">
        <v>-361.21288003603934</v>
      </c>
    </row>
    <row r="4422" spans="21:22">
      <c r="U4422">
        <v>4380</v>
      </c>
      <c r="V4422" s="197">
        <v>1387.4998049818066</v>
      </c>
    </row>
    <row r="4423" spans="21:22">
      <c r="U4423">
        <v>4381</v>
      </c>
      <c r="V4423" s="197">
        <v>-518.30370851002181</v>
      </c>
    </row>
    <row r="4424" spans="21:22">
      <c r="U4424">
        <v>4382</v>
      </c>
      <c r="V4424" s="197">
        <v>1028.8315710422244</v>
      </c>
    </row>
    <row r="4425" spans="21:22">
      <c r="U4425">
        <v>4383</v>
      </c>
      <c r="V4425" s="197">
        <v>-160.12943304812853</v>
      </c>
    </row>
    <row r="4426" spans="21:22">
      <c r="U4426">
        <v>4384</v>
      </c>
      <c r="V4426" s="197">
        <v>-300.08017743463409</v>
      </c>
    </row>
    <row r="4427" spans="21:22">
      <c r="U4427">
        <v>4385</v>
      </c>
      <c r="V4427" s="197">
        <v>2013.5310613208278</v>
      </c>
    </row>
    <row r="4428" spans="21:22">
      <c r="U4428">
        <v>4386</v>
      </c>
      <c r="V4428" s="197">
        <v>-842.40719160043727</v>
      </c>
    </row>
    <row r="4429" spans="21:22">
      <c r="U4429">
        <v>4387</v>
      </c>
      <c r="V4429" s="197">
        <v>-744.39700757771629</v>
      </c>
    </row>
    <row r="4430" spans="21:22">
      <c r="U4430">
        <v>4388</v>
      </c>
      <c r="V4430" s="197">
        <v>566.28903069787611</v>
      </c>
    </row>
    <row r="4431" spans="21:22">
      <c r="U4431">
        <v>4389</v>
      </c>
      <c r="V4431" s="197">
        <v>-394.17113688843267</v>
      </c>
    </row>
    <row r="4432" spans="21:22">
      <c r="U4432">
        <v>4390</v>
      </c>
      <c r="V4432" s="197">
        <v>-619.29032507591137</v>
      </c>
    </row>
    <row r="4433" spans="21:22">
      <c r="U4433">
        <v>4391</v>
      </c>
      <c r="V4433" s="197">
        <v>-112.57045873065945</v>
      </c>
    </row>
    <row r="4434" spans="21:22">
      <c r="U4434">
        <v>4392</v>
      </c>
      <c r="V4434" s="197">
        <v>715.15064380881381</v>
      </c>
    </row>
    <row r="4435" spans="21:22">
      <c r="U4435">
        <v>4393</v>
      </c>
      <c r="V4435" s="197">
        <v>777.56656656734799</v>
      </c>
    </row>
    <row r="4436" spans="21:22">
      <c r="U4436">
        <v>4394</v>
      </c>
      <c r="V4436" s="197">
        <v>1017.9781666471488</v>
      </c>
    </row>
    <row r="4437" spans="21:22">
      <c r="U4437">
        <v>4395</v>
      </c>
      <c r="V4437" s="197">
        <v>-399.12883030586227</v>
      </c>
    </row>
    <row r="4438" spans="21:22">
      <c r="U4438">
        <v>4396</v>
      </c>
      <c r="V4438" s="197">
        <v>900.00663407867569</v>
      </c>
    </row>
    <row r="4439" spans="21:22">
      <c r="U4439">
        <v>4397</v>
      </c>
      <c r="V4439" s="197">
        <v>-885.72849832291877</v>
      </c>
    </row>
    <row r="4440" spans="21:22">
      <c r="U4440">
        <v>4398</v>
      </c>
      <c r="V4440" s="197">
        <v>760.15912938265615</v>
      </c>
    </row>
    <row r="4441" spans="21:22">
      <c r="U4441">
        <v>4399</v>
      </c>
      <c r="V4441" s="197">
        <v>1660.5424154182301</v>
      </c>
    </row>
    <row r="4442" spans="21:22">
      <c r="U4442">
        <v>4400</v>
      </c>
      <c r="V4442" s="197">
        <v>-270.82328195636165</v>
      </c>
    </row>
    <row r="4443" spans="21:22">
      <c r="U4443">
        <v>4401</v>
      </c>
      <c r="V4443" s="197">
        <v>-949.71076640758542</v>
      </c>
    </row>
    <row r="4444" spans="21:22">
      <c r="U4444">
        <v>4402</v>
      </c>
      <c r="V4444" s="197">
        <v>-859.71932062108135</v>
      </c>
    </row>
    <row r="4445" spans="21:22">
      <c r="U4445">
        <v>4403</v>
      </c>
      <c r="V4445" s="197">
        <v>-699.22730441643853</v>
      </c>
    </row>
    <row r="4446" spans="21:22">
      <c r="U4446">
        <v>4404</v>
      </c>
      <c r="V4446" s="197">
        <v>-70.834681789220696</v>
      </c>
    </row>
    <row r="4447" spans="21:22">
      <c r="U4447">
        <v>4405</v>
      </c>
      <c r="V4447" s="197">
        <v>759.85935343931214</v>
      </c>
    </row>
    <row r="4448" spans="21:22">
      <c r="U4448">
        <v>4406</v>
      </c>
      <c r="V4448" s="197">
        <v>-94.93344747423356</v>
      </c>
    </row>
    <row r="4449" spans="21:22">
      <c r="U4449">
        <v>4407</v>
      </c>
      <c r="V4449" s="197">
        <v>-324.48658962230769</v>
      </c>
    </row>
    <row r="4450" spans="21:22">
      <c r="U4450">
        <v>4408</v>
      </c>
      <c r="V4450" s="197">
        <v>-553.05774073943621</v>
      </c>
    </row>
    <row r="4451" spans="21:22">
      <c r="U4451">
        <v>4409</v>
      </c>
      <c r="V4451" s="197">
        <v>-1267.4279421093286</v>
      </c>
    </row>
    <row r="4452" spans="21:22">
      <c r="U4452">
        <v>4410</v>
      </c>
      <c r="V4452" s="197">
        <v>-308.36642409705803</v>
      </c>
    </row>
    <row r="4453" spans="21:22">
      <c r="U4453">
        <v>4411</v>
      </c>
      <c r="V4453" s="197">
        <v>-24.340752513310008</v>
      </c>
    </row>
    <row r="4454" spans="21:22">
      <c r="U4454">
        <v>4412</v>
      </c>
      <c r="V4454" s="197">
        <v>-2191.3254278580571</v>
      </c>
    </row>
    <row r="4455" spans="21:22">
      <c r="U4455">
        <v>4413</v>
      </c>
      <c r="V4455" s="197">
        <v>733.97653903969535</v>
      </c>
    </row>
    <row r="4456" spans="21:22">
      <c r="U4456">
        <v>4414</v>
      </c>
      <c r="V4456" s="197">
        <v>-1033.4271814745678</v>
      </c>
    </row>
    <row r="4457" spans="21:22">
      <c r="U4457">
        <v>4415</v>
      </c>
      <c r="V4457" s="197">
        <v>-31.685347565896933</v>
      </c>
    </row>
    <row r="4458" spans="21:22">
      <c r="U4458">
        <v>4416</v>
      </c>
      <c r="V4458" s="197">
        <v>-1104.0980151435642</v>
      </c>
    </row>
    <row r="4459" spans="21:22">
      <c r="U4459">
        <v>4417</v>
      </c>
      <c r="V4459" s="197">
        <v>177.8423875055945</v>
      </c>
    </row>
    <row r="4460" spans="21:22">
      <c r="U4460">
        <v>4418</v>
      </c>
      <c r="V4460" s="197">
        <v>827.32735210619035</v>
      </c>
    </row>
    <row r="4461" spans="21:22">
      <c r="U4461">
        <v>4419</v>
      </c>
      <c r="V4461" s="197">
        <v>373.55011504748023</v>
      </c>
    </row>
    <row r="4462" spans="21:22">
      <c r="U4462">
        <v>4420</v>
      </c>
      <c r="V4462" s="197">
        <v>664.30135350827118</v>
      </c>
    </row>
    <row r="4463" spans="21:22">
      <c r="U4463">
        <v>4421</v>
      </c>
      <c r="V4463" s="197">
        <v>689.90879308822946</v>
      </c>
    </row>
    <row r="4464" spans="21:22">
      <c r="U4464">
        <v>4422</v>
      </c>
      <c r="V4464" s="197">
        <v>-116.71452133328197</v>
      </c>
    </row>
    <row r="4465" spans="21:22">
      <c r="U4465">
        <v>4423</v>
      </c>
      <c r="V4465" s="197">
        <v>1290.0687463290142</v>
      </c>
    </row>
    <row r="4466" spans="21:22">
      <c r="U4466">
        <v>4424</v>
      </c>
      <c r="V4466" s="197">
        <v>850.98496781530571</v>
      </c>
    </row>
    <row r="4467" spans="21:22">
      <c r="U4467">
        <v>4425</v>
      </c>
      <c r="V4467" s="197">
        <v>1331.0406677079243</v>
      </c>
    </row>
    <row r="4468" spans="21:22">
      <c r="U4468">
        <v>4426</v>
      </c>
      <c r="V4468" s="197">
        <v>732.50029425739876</v>
      </c>
    </row>
    <row r="4469" spans="21:22">
      <c r="U4469">
        <v>4427</v>
      </c>
      <c r="V4469" s="197">
        <v>-514.37047659726159</v>
      </c>
    </row>
    <row r="4470" spans="21:22">
      <c r="U4470">
        <v>4428</v>
      </c>
      <c r="V4470" s="197">
        <v>-184.97379747733441</v>
      </c>
    </row>
    <row r="4471" spans="21:22">
      <c r="U4471">
        <v>4429</v>
      </c>
      <c r="V4471" s="197">
        <v>-51.676905083628185</v>
      </c>
    </row>
    <row r="4472" spans="21:22">
      <c r="U4472">
        <v>4430</v>
      </c>
      <c r="V4472" s="197">
        <v>-874.26844714969116</v>
      </c>
    </row>
    <row r="4473" spans="21:22">
      <c r="U4473">
        <v>4431</v>
      </c>
      <c r="V4473" s="197">
        <v>1118.9456636785783</v>
      </c>
    </row>
    <row r="4474" spans="21:22">
      <c r="U4474">
        <v>4432</v>
      </c>
      <c r="V4474" s="197">
        <v>760.71293401061803</v>
      </c>
    </row>
    <row r="4475" spans="21:22">
      <c r="U4475">
        <v>4433</v>
      </c>
      <c r="V4475" s="197">
        <v>-69.119966390103514</v>
      </c>
    </row>
    <row r="4476" spans="21:22">
      <c r="U4476">
        <v>4434</v>
      </c>
      <c r="V4476" s="197">
        <v>220.57259793692569</v>
      </c>
    </row>
    <row r="4477" spans="21:22">
      <c r="U4477">
        <v>4435</v>
      </c>
      <c r="V4477" s="197">
        <v>253.27242037905182</v>
      </c>
    </row>
    <row r="4478" spans="21:22">
      <c r="U4478">
        <v>4436</v>
      </c>
      <c r="V4478" s="197">
        <v>-460.94382510268855</v>
      </c>
    </row>
    <row r="4479" spans="21:22">
      <c r="U4479">
        <v>4437</v>
      </c>
      <c r="V4479" s="197">
        <v>374.92750217327614</v>
      </c>
    </row>
    <row r="4480" spans="21:22">
      <c r="U4480">
        <v>4438</v>
      </c>
      <c r="V4480" s="197">
        <v>-124.26706953896473</v>
      </c>
    </row>
    <row r="4481" spans="21:22">
      <c r="U4481">
        <v>4439</v>
      </c>
      <c r="V4481" s="197">
        <v>873.87245439030289</v>
      </c>
    </row>
    <row r="4482" spans="21:22">
      <c r="U4482">
        <v>4440</v>
      </c>
      <c r="V4482" s="197">
        <v>-471.71422189864592</v>
      </c>
    </row>
    <row r="4483" spans="21:22">
      <c r="U4483">
        <v>4441</v>
      </c>
      <c r="V4483" s="197">
        <v>826.57571537244894</v>
      </c>
    </row>
    <row r="4484" spans="21:22">
      <c r="U4484">
        <v>4442</v>
      </c>
      <c r="V4484" s="197">
        <v>-1286.3545355308775</v>
      </c>
    </row>
    <row r="4485" spans="21:22">
      <c r="U4485">
        <v>4443</v>
      </c>
      <c r="V4485" s="197">
        <v>625.0061374710383</v>
      </c>
    </row>
    <row r="4486" spans="21:22">
      <c r="U4486">
        <v>4444</v>
      </c>
      <c r="V4486" s="197">
        <v>64.883860860372906</v>
      </c>
    </row>
    <row r="4487" spans="21:22">
      <c r="U4487">
        <v>4445</v>
      </c>
      <c r="V4487" s="197">
        <v>1763.6351652120313</v>
      </c>
    </row>
    <row r="4488" spans="21:22">
      <c r="U4488">
        <v>4446</v>
      </c>
      <c r="V4488" s="197">
        <v>606.03965355919581</v>
      </c>
    </row>
    <row r="4489" spans="21:22">
      <c r="U4489">
        <v>4447</v>
      </c>
      <c r="V4489" s="197">
        <v>-1029.898099665234</v>
      </c>
    </row>
    <row r="4490" spans="21:22">
      <c r="U4490">
        <v>4448</v>
      </c>
      <c r="V4490" s="197">
        <v>126.42033016879678</v>
      </c>
    </row>
    <row r="4491" spans="21:22">
      <c r="U4491">
        <v>4449</v>
      </c>
      <c r="V4491" s="197">
        <v>-35.764851980599587</v>
      </c>
    </row>
    <row r="4492" spans="21:22">
      <c r="U4492">
        <v>4450</v>
      </c>
      <c r="V4492" s="197">
        <v>1012.1872650066343</v>
      </c>
    </row>
    <row r="4493" spans="21:22">
      <c r="U4493">
        <v>4451</v>
      </c>
      <c r="V4493" s="197">
        <v>592.08270559453695</v>
      </c>
    </row>
    <row r="4494" spans="21:22">
      <c r="U4494">
        <v>4452</v>
      </c>
      <c r="V4494" s="197">
        <v>-1240.6646969015221</v>
      </c>
    </row>
    <row r="4495" spans="21:22">
      <c r="U4495">
        <v>4453</v>
      </c>
      <c r="V4495" s="197">
        <v>121.45921433731064</v>
      </c>
    </row>
    <row r="4496" spans="21:22">
      <c r="U4496">
        <v>4454</v>
      </c>
      <c r="V4496" s="197">
        <v>1494.3286693814625</v>
      </c>
    </row>
    <row r="4497" spans="21:22">
      <c r="U4497">
        <v>4455</v>
      </c>
      <c r="V4497" s="197">
        <v>1611.99752143305</v>
      </c>
    </row>
    <row r="4498" spans="21:22">
      <c r="U4498">
        <v>4456</v>
      </c>
      <c r="V4498" s="197">
        <v>355.786240316977</v>
      </c>
    </row>
    <row r="4499" spans="21:22">
      <c r="U4499">
        <v>4457</v>
      </c>
      <c r="V4499" s="197">
        <v>-1395.6171492451022</v>
      </c>
    </row>
    <row r="4500" spans="21:22">
      <c r="U4500">
        <v>4458</v>
      </c>
      <c r="V4500" s="197">
        <v>519.28629725147653</v>
      </c>
    </row>
    <row r="4501" spans="21:22">
      <c r="U4501">
        <v>4459</v>
      </c>
      <c r="V4501" s="197">
        <v>1007.1613288908559</v>
      </c>
    </row>
    <row r="4502" spans="21:22">
      <c r="U4502">
        <v>4460</v>
      </c>
      <c r="V4502" s="197">
        <v>224.83124126643577</v>
      </c>
    </row>
    <row r="4503" spans="21:22">
      <c r="U4503">
        <v>4461</v>
      </c>
      <c r="V4503" s="197">
        <v>-1699.1291748731758</v>
      </c>
    </row>
    <row r="4504" spans="21:22">
      <c r="U4504">
        <v>4462</v>
      </c>
      <c r="V4504" s="197">
        <v>567.64211519991625</v>
      </c>
    </row>
    <row r="4505" spans="21:22">
      <c r="U4505">
        <v>4463</v>
      </c>
      <c r="V4505" s="197">
        <v>-289.99265122198869</v>
      </c>
    </row>
    <row r="4506" spans="21:22">
      <c r="U4506">
        <v>4464</v>
      </c>
      <c r="V4506" s="197">
        <v>278.69808636641511</v>
      </c>
    </row>
    <row r="4507" spans="21:22">
      <c r="U4507">
        <v>4465</v>
      </c>
      <c r="V4507" s="197">
        <v>-565.62286989118729</v>
      </c>
    </row>
    <row r="4508" spans="21:22">
      <c r="U4508">
        <v>4466</v>
      </c>
      <c r="V4508" s="197">
        <v>1227.7142889265915</v>
      </c>
    </row>
    <row r="4509" spans="21:22">
      <c r="U4509">
        <v>4467</v>
      </c>
      <c r="V4509" s="197">
        <v>-24.674437912647392</v>
      </c>
    </row>
    <row r="4510" spans="21:22">
      <c r="U4510">
        <v>4468</v>
      </c>
      <c r="V4510" s="197">
        <v>-927.32542833331399</v>
      </c>
    </row>
    <row r="4511" spans="21:22">
      <c r="U4511">
        <v>4469</v>
      </c>
      <c r="V4511" s="197">
        <v>-290.23994976420835</v>
      </c>
    </row>
    <row r="4512" spans="21:22">
      <c r="U4512">
        <v>4470</v>
      </c>
      <c r="V4512" s="197">
        <v>-1784.4574685681466</v>
      </c>
    </row>
    <row r="4513" spans="21:22">
      <c r="U4513">
        <v>4471</v>
      </c>
      <c r="V4513" s="197">
        <v>1093.9658984514738</v>
      </c>
    </row>
    <row r="4514" spans="21:22">
      <c r="U4514">
        <v>4472</v>
      </c>
      <c r="V4514" s="197">
        <v>-1890.4108935606046</v>
      </c>
    </row>
    <row r="4515" spans="21:22">
      <c r="U4515">
        <v>4473</v>
      </c>
      <c r="V4515" s="197">
        <v>105.41263628452367</v>
      </c>
    </row>
    <row r="4516" spans="21:22">
      <c r="U4516">
        <v>4474</v>
      </c>
      <c r="V4516" s="197">
        <v>-613.98192755385526</v>
      </c>
    </row>
    <row r="4517" spans="21:22">
      <c r="U4517">
        <v>4475</v>
      </c>
      <c r="V4517" s="197">
        <v>-591.86887047928212</v>
      </c>
    </row>
    <row r="4518" spans="21:22">
      <c r="U4518">
        <v>4476</v>
      </c>
      <c r="V4518" s="197">
        <v>845.37106472289543</v>
      </c>
    </row>
    <row r="4519" spans="21:22">
      <c r="U4519">
        <v>4477</v>
      </c>
      <c r="V4519" s="197">
        <v>808.50596171447705</v>
      </c>
    </row>
    <row r="4520" spans="21:22">
      <c r="U4520">
        <v>4478</v>
      </c>
      <c r="V4520" s="197">
        <v>-345.80815509289931</v>
      </c>
    </row>
    <row r="4521" spans="21:22">
      <c r="U4521">
        <v>4479</v>
      </c>
      <c r="V4521" s="197">
        <v>1476.9157680536939</v>
      </c>
    </row>
    <row r="4522" spans="21:22">
      <c r="U4522">
        <v>4480</v>
      </c>
      <c r="V4522" s="197">
        <v>1730.5366565594211</v>
      </c>
    </row>
    <row r="4523" spans="21:22">
      <c r="U4523">
        <v>4481</v>
      </c>
      <c r="V4523" s="197">
        <v>397.32270984569175</v>
      </c>
    </row>
    <row r="4524" spans="21:22">
      <c r="U4524">
        <v>4482</v>
      </c>
      <c r="V4524" s="197">
        <v>-378.27891484426652</v>
      </c>
    </row>
    <row r="4525" spans="21:22">
      <c r="U4525">
        <v>4483</v>
      </c>
      <c r="V4525" s="197">
        <v>-360.05839154702852</v>
      </c>
    </row>
    <row r="4526" spans="21:22">
      <c r="U4526">
        <v>4484</v>
      </c>
      <c r="V4526" s="197">
        <v>449.0055187047297</v>
      </c>
    </row>
    <row r="4527" spans="21:22">
      <c r="U4527">
        <v>4485</v>
      </c>
      <c r="V4527" s="197">
        <v>-714.91236640425313</v>
      </c>
    </row>
    <row r="4528" spans="21:22">
      <c r="U4528">
        <v>4486</v>
      </c>
      <c r="V4528" s="197">
        <v>-107.81745952996349</v>
      </c>
    </row>
    <row r="4529" spans="21:22">
      <c r="U4529">
        <v>4487</v>
      </c>
      <c r="V4529" s="197">
        <v>-16.156372005352338</v>
      </c>
    </row>
    <row r="4530" spans="21:22">
      <c r="U4530">
        <v>4488</v>
      </c>
      <c r="V4530" s="197">
        <v>-180.87542207164927</v>
      </c>
    </row>
    <row r="4531" spans="21:22">
      <c r="U4531">
        <v>4489</v>
      </c>
      <c r="V4531" s="197">
        <v>22.086002517909336</v>
      </c>
    </row>
    <row r="4532" spans="21:22">
      <c r="U4532">
        <v>4490</v>
      </c>
      <c r="V4532" s="197">
        <v>409.55923524804388</v>
      </c>
    </row>
    <row r="4533" spans="21:22">
      <c r="U4533">
        <v>4491</v>
      </c>
      <c r="V4533" s="197">
        <v>83.886638735789774</v>
      </c>
    </row>
    <row r="4534" spans="21:22">
      <c r="U4534">
        <v>4492</v>
      </c>
      <c r="V4534" s="197">
        <v>474.82225037931562</v>
      </c>
    </row>
    <row r="4535" spans="21:22">
      <c r="U4535">
        <v>4493</v>
      </c>
      <c r="V4535" s="197">
        <v>509.53842100386322</v>
      </c>
    </row>
    <row r="4536" spans="21:22">
      <c r="U4536">
        <v>4494</v>
      </c>
      <c r="V4536" s="197">
        <v>-724.37813877681424</v>
      </c>
    </row>
    <row r="4537" spans="21:22">
      <c r="U4537">
        <v>4495</v>
      </c>
      <c r="V4537" s="197">
        <v>-1549.2364726347444</v>
      </c>
    </row>
    <row r="4538" spans="21:22">
      <c r="U4538">
        <v>4496</v>
      </c>
      <c r="V4538" s="197">
        <v>358.70916552922591</v>
      </c>
    </row>
    <row r="4539" spans="21:22">
      <c r="U4539">
        <v>4497</v>
      </c>
      <c r="V4539" s="197">
        <v>1282.7882540794876</v>
      </c>
    </row>
    <row r="4540" spans="21:22">
      <c r="U4540">
        <v>4498</v>
      </c>
      <c r="V4540" s="197">
        <v>854.71943456818576</v>
      </c>
    </row>
    <row r="4541" spans="21:22">
      <c r="U4541">
        <v>4499</v>
      </c>
      <c r="V4541" s="197">
        <v>-617.13662356240047</v>
      </c>
    </row>
    <row r="4542" spans="21:22">
      <c r="U4542">
        <v>4500</v>
      </c>
      <c r="V4542" s="197">
        <v>224.58899339513843</v>
      </c>
    </row>
    <row r="4543" spans="21:22">
      <c r="U4543">
        <v>4501</v>
      </c>
      <c r="V4543" s="197">
        <v>-403.16134873607047</v>
      </c>
    </row>
    <row r="4544" spans="21:22">
      <c r="U4544">
        <v>4502</v>
      </c>
      <c r="V4544" s="197">
        <v>658.86598393087002</v>
      </c>
    </row>
    <row r="4545" spans="21:22">
      <c r="U4545">
        <v>4503</v>
      </c>
      <c r="V4545" s="197">
        <v>-863.9605100039721</v>
      </c>
    </row>
    <row r="4546" spans="21:22">
      <c r="U4546">
        <v>4504</v>
      </c>
      <c r="V4546" s="197">
        <v>692.53601735862208</v>
      </c>
    </row>
    <row r="4547" spans="21:22">
      <c r="U4547">
        <v>4505</v>
      </c>
      <c r="V4547" s="197">
        <v>528.3964931875305</v>
      </c>
    </row>
    <row r="4548" spans="21:22">
      <c r="U4548">
        <v>4506</v>
      </c>
      <c r="V4548" s="197">
        <v>-19.01707367715413</v>
      </c>
    </row>
    <row r="4549" spans="21:22">
      <c r="U4549">
        <v>4507</v>
      </c>
      <c r="V4549" s="197">
        <v>-196.27135560190425</v>
      </c>
    </row>
    <row r="4550" spans="21:22">
      <c r="U4550">
        <v>4508</v>
      </c>
      <c r="V4550" s="197">
        <v>732.34578797389349</v>
      </c>
    </row>
    <row r="4551" spans="21:22">
      <c r="U4551">
        <v>4509</v>
      </c>
      <c r="V4551" s="197">
        <v>-587.16973954851528</v>
      </c>
    </row>
    <row r="4552" spans="21:22">
      <c r="U4552">
        <v>4510</v>
      </c>
      <c r="V4552" s="197">
        <v>-182.0240150958308</v>
      </c>
    </row>
    <row r="4553" spans="21:22">
      <c r="U4553">
        <v>4511</v>
      </c>
      <c r="V4553" s="197">
        <v>-7.8752220310815346</v>
      </c>
    </row>
    <row r="4554" spans="21:22">
      <c r="U4554">
        <v>4512</v>
      </c>
      <c r="V4554" s="197">
        <v>-211.09338992133979</v>
      </c>
    </row>
    <row r="4555" spans="21:22">
      <c r="U4555">
        <v>4513</v>
      </c>
      <c r="V4555" s="197">
        <v>-1889.4845507978582</v>
      </c>
    </row>
    <row r="4556" spans="21:22">
      <c r="U4556">
        <v>4514</v>
      </c>
      <c r="V4556" s="197">
        <v>-139.19451476763521</v>
      </c>
    </row>
    <row r="4557" spans="21:22">
      <c r="U4557">
        <v>4515</v>
      </c>
      <c r="V4557" s="197">
        <v>722.50255682651982</v>
      </c>
    </row>
    <row r="4558" spans="21:22">
      <c r="U4558">
        <v>4516</v>
      </c>
      <c r="V4558" s="197">
        <v>-1890.4925662614673</v>
      </c>
    </row>
    <row r="4559" spans="21:22">
      <c r="U4559">
        <v>4517</v>
      </c>
      <c r="V4559" s="197">
        <v>388.2962008983651</v>
      </c>
    </row>
    <row r="4560" spans="21:22">
      <c r="U4560">
        <v>4518</v>
      </c>
      <c r="V4560" s="197">
        <v>1642.1452269658716</v>
      </c>
    </row>
    <row r="4561" spans="21:22">
      <c r="U4561">
        <v>4519</v>
      </c>
      <c r="V4561" s="197">
        <v>-584.98286448373506</v>
      </c>
    </row>
    <row r="4562" spans="21:22">
      <c r="U4562">
        <v>4520</v>
      </c>
      <c r="V4562" s="197">
        <v>1005.0570560289618</v>
      </c>
    </row>
    <row r="4563" spans="21:22">
      <c r="U4563">
        <v>4521</v>
      </c>
      <c r="V4563" s="197">
        <v>1434.217143663755</v>
      </c>
    </row>
    <row r="4564" spans="21:22">
      <c r="U4564">
        <v>4522</v>
      </c>
      <c r="V4564" s="197">
        <v>-180.53016066718777</v>
      </c>
    </row>
    <row r="4565" spans="21:22">
      <c r="U4565">
        <v>4523</v>
      </c>
      <c r="V4565" s="197">
        <v>-772.32706080459002</v>
      </c>
    </row>
    <row r="4566" spans="21:22">
      <c r="U4566">
        <v>4524</v>
      </c>
      <c r="V4566" s="197">
        <v>330.43474832972379</v>
      </c>
    </row>
    <row r="4567" spans="21:22">
      <c r="U4567">
        <v>4525</v>
      </c>
      <c r="V4567" s="197">
        <v>902.65112672323312</v>
      </c>
    </row>
    <row r="4568" spans="21:22">
      <c r="U4568">
        <v>4526</v>
      </c>
      <c r="V4568" s="197">
        <v>86.472430266334044</v>
      </c>
    </row>
    <row r="4569" spans="21:22">
      <c r="U4569">
        <v>4527</v>
      </c>
      <c r="V4569" s="197">
        <v>-278.24917970350157</v>
      </c>
    </row>
    <row r="4570" spans="21:22">
      <c r="U4570">
        <v>4528</v>
      </c>
      <c r="V4570" s="197">
        <v>-280.60441727583435</v>
      </c>
    </row>
    <row r="4571" spans="21:22">
      <c r="U4571">
        <v>4529</v>
      </c>
      <c r="V4571" s="197">
        <v>1845.8032433814824</v>
      </c>
    </row>
    <row r="4572" spans="21:22">
      <c r="U4572">
        <v>4530</v>
      </c>
      <c r="V4572" s="197">
        <v>554.51710586718514</v>
      </c>
    </row>
    <row r="4573" spans="21:22">
      <c r="U4573">
        <v>4531</v>
      </c>
      <c r="V4573" s="197">
        <v>-686.65063961638361</v>
      </c>
    </row>
    <row r="4574" spans="21:22">
      <c r="U4574">
        <v>4532</v>
      </c>
      <c r="V4574" s="197">
        <v>-1123.6095430448993</v>
      </c>
    </row>
    <row r="4575" spans="21:22">
      <c r="U4575">
        <v>4533</v>
      </c>
      <c r="V4575" s="197">
        <v>-747.50126648189894</v>
      </c>
    </row>
    <row r="4576" spans="21:22">
      <c r="U4576">
        <v>4534</v>
      </c>
      <c r="V4576" s="197">
        <v>449.94147328868576</v>
      </c>
    </row>
    <row r="4577" spans="21:22">
      <c r="U4577">
        <v>4535</v>
      </c>
      <c r="V4577" s="197">
        <v>533.50915806816761</v>
      </c>
    </row>
    <row r="4578" spans="21:22">
      <c r="U4578">
        <v>4536</v>
      </c>
      <c r="V4578" s="197">
        <v>-584.86368933954373</v>
      </c>
    </row>
    <row r="4579" spans="21:22">
      <c r="U4579">
        <v>4537</v>
      </c>
      <c r="V4579" s="197">
        <v>921.9606887464995</v>
      </c>
    </row>
    <row r="4580" spans="21:22">
      <c r="U4580">
        <v>4538</v>
      </c>
      <c r="V4580" s="197">
        <v>307.70595750054122</v>
      </c>
    </row>
    <row r="4581" spans="21:22">
      <c r="U4581">
        <v>4539</v>
      </c>
      <c r="V4581" s="197">
        <v>-309.89172493746406</v>
      </c>
    </row>
    <row r="4582" spans="21:22">
      <c r="U4582">
        <v>4540</v>
      </c>
      <c r="V4582" s="197">
        <v>-1485.9436092613321</v>
      </c>
    </row>
    <row r="4583" spans="21:22">
      <c r="U4583">
        <v>4541</v>
      </c>
      <c r="V4583" s="197">
        <v>677.45127475356981</v>
      </c>
    </row>
    <row r="4584" spans="21:22">
      <c r="U4584">
        <v>4542</v>
      </c>
      <c r="V4584" s="197">
        <v>1354.9550031444296</v>
      </c>
    </row>
    <row r="4585" spans="21:22">
      <c r="U4585">
        <v>4543</v>
      </c>
      <c r="V4585" s="197">
        <v>-1381.4753946543376</v>
      </c>
    </row>
    <row r="4586" spans="21:22">
      <c r="U4586">
        <v>4544</v>
      </c>
      <c r="V4586" s="197">
        <v>-1662.4167507170641</v>
      </c>
    </row>
    <row r="4587" spans="21:22">
      <c r="U4587">
        <v>4545</v>
      </c>
      <c r="V4587" s="197">
        <v>-573.36365867245559</v>
      </c>
    </row>
    <row r="4588" spans="21:22">
      <c r="U4588">
        <v>4546</v>
      </c>
      <c r="V4588" s="197">
        <v>381.94722994020975</v>
      </c>
    </row>
    <row r="4589" spans="21:22">
      <c r="U4589">
        <v>4547</v>
      </c>
      <c r="V4589" s="197">
        <v>672.79605146802282</v>
      </c>
    </row>
    <row r="4590" spans="21:22">
      <c r="U4590">
        <v>4548</v>
      </c>
      <c r="V4590" s="197">
        <v>1213.3979128400924</v>
      </c>
    </row>
    <row r="4591" spans="21:22">
      <c r="U4591">
        <v>4549</v>
      </c>
      <c r="V4591" s="197">
        <v>508.77548918693532</v>
      </c>
    </row>
    <row r="4592" spans="21:22">
      <c r="U4592">
        <v>4550</v>
      </c>
      <c r="V4592" s="197">
        <v>642.41971584067142</v>
      </c>
    </row>
    <row r="4593" spans="21:22">
      <c r="U4593">
        <v>4551</v>
      </c>
      <c r="V4593" s="197">
        <v>-1206.0142700786105</v>
      </c>
    </row>
    <row r="4594" spans="21:22">
      <c r="U4594">
        <v>4552</v>
      </c>
      <c r="V4594" s="197">
        <v>266.8921055552895</v>
      </c>
    </row>
    <row r="4595" spans="21:22">
      <c r="U4595">
        <v>4553</v>
      </c>
      <c r="V4595" s="197">
        <v>-279.1696128370267</v>
      </c>
    </row>
    <row r="4596" spans="21:22">
      <c r="U4596">
        <v>4554</v>
      </c>
      <c r="V4596" s="197">
        <v>-835.28387556132452</v>
      </c>
    </row>
    <row r="4597" spans="21:22">
      <c r="U4597">
        <v>4555</v>
      </c>
      <c r="V4597" s="197">
        <v>416.72816338803756</v>
      </c>
    </row>
    <row r="4598" spans="21:22">
      <c r="U4598">
        <v>4556</v>
      </c>
      <c r="V4598" s="197">
        <v>-616.75425806327985</v>
      </c>
    </row>
    <row r="4599" spans="21:22">
      <c r="U4599">
        <v>4557</v>
      </c>
      <c r="V4599" s="197">
        <v>455.22968265242793</v>
      </c>
    </row>
    <row r="4600" spans="21:22">
      <c r="U4600">
        <v>4558</v>
      </c>
      <c r="V4600" s="197">
        <v>2202.5476915215449</v>
      </c>
    </row>
    <row r="4601" spans="21:22">
      <c r="U4601">
        <v>4559</v>
      </c>
      <c r="V4601" s="197">
        <v>647.52638946829643</v>
      </c>
    </row>
    <row r="4602" spans="21:22">
      <c r="U4602">
        <v>4560</v>
      </c>
      <c r="V4602" s="197">
        <v>-438.70516196107934</v>
      </c>
    </row>
    <row r="4603" spans="21:22">
      <c r="U4603">
        <v>4561</v>
      </c>
      <c r="V4603" s="197">
        <v>1352.0964266573906</v>
      </c>
    </row>
    <row r="4604" spans="21:22">
      <c r="U4604">
        <v>4562</v>
      </c>
      <c r="V4604" s="197">
        <v>255.19610231748692</v>
      </c>
    </row>
    <row r="4605" spans="21:22">
      <c r="U4605">
        <v>4563</v>
      </c>
      <c r="V4605" s="197">
        <v>258.91147266663711</v>
      </c>
    </row>
    <row r="4606" spans="21:22">
      <c r="U4606">
        <v>4564</v>
      </c>
      <c r="V4606" s="197">
        <v>896.25683149996848</v>
      </c>
    </row>
    <row r="4607" spans="21:22">
      <c r="U4607">
        <v>4565</v>
      </c>
      <c r="V4607" s="197">
        <v>620.59467302221037</v>
      </c>
    </row>
    <row r="4608" spans="21:22">
      <c r="U4608">
        <v>4566</v>
      </c>
      <c r="V4608" s="197">
        <v>-197.70189563668919</v>
      </c>
    </row>
    <row r="4609" spans="21:22">
      <c r="U4609">
        <v>4567</v>
      </c>
      <c r="V4609" s="197">
        <v>2507.2492762116344</v>
      </c>
    </row>
    <row r="4610" spans="21:22">
      <c r="U4610">
        <v>4568</v>
      </c>
      <c r="V4610" s="197">
        <v>-75.411764199227036</v>
      </c>
    </row>
    <row r="4611" spans="21:22">
      <c r="U4611">
        <v>4569</v>
      </c>
      <c r="V4611" s="197">
        <v>-733.92052831030514</v>
      </c>
    </row>
    <row r="4612" spans="21:22">
      <c r="U4612">
        <v>4570</v>
      </c>
      <c r="V4612" s="197">
        <v>522.52516294560519</v>
      </c>
    </row>
    <row r="4613" spans="21:22">
      <c r="U4613">
        <v>4571</v>
      </c>
      <c r="V4613" s="197">
        <v>-665.31907498760074</v>
      </c>
    </row>
    <row r="4614" spans="21:22">
      <c r="U4614">
        <v>4572</v>
      </c>
      <c r="V4614" s="197">
        <v>1084.6169682196564</v>
      </c>
    </row>
    <row r="4615" spans="21:22">
      <c r="U4615">
        <v>4573</v>
      </c>
      <c r="V4615" s="197">
        <v>-436.3814745030117</v>
      </c>
    </row>
    <row r="4616" spans="21:22">
      <c r="U4616">
        <v>4574</v>
      </c>
      <c r="V4616" s="197">
        <v>73.541042103314084</v>
      </c>
    </row>
    <row r="4617" spans="21:22">
      <c r="U4617">
        <v>4575</v>
      </c>
      <c r="V4617" s="197">
        <v>441.40068030874266</v>
      </c>
    </row>
    <row r="4618" spans="21:22">
      <c r="U4618">
        <v>4576</v>
      </c>
      <c r="V4618" s="197">
        <v>2205.9083102041654</v>
      </c>
    </row>
    <row r="4619" spans="21:22">
      <c r="U4619">
        <v>4577</v>
      </c>
      <c r="V4619" s="197">
        <v>158.64789817576766</v>
      </c>
    </row>
    <row r="4620" spans="21:22">
      <c r="U4620">
        <v>4578</v>
      </c>
      <c r="V4620" s="197">
        <v>-784.20750848048442</v>
      </c>
    </row>
    <row r="4621" spans="21:22">
      <c r="U4621">
        <v>4579</v>
      </c>
      <c r="V4621" s="197">
        <v>348.91255429338702</v>
      </c>
    </row>
    <row r="4622" spans="21:22">
      <c r="U4622">
        <v>4580</v>
      </c>
      <c r="V4622" s="197">
        <v>1747.7425106517453</v>
      </c>
    </row>
    <row r="4623" spans="21:22">
      <c r="U4623">
        <v>4581</v>
      </c>
      <c r="V4623" s="197">
        <v>-459.48318718462923</v>
      </c>
    </row>
    <row r="4624" spans="21:22">
      <c r="U4624">
        <v>4582</v>
      </c>
      <c r="V4624" s="197">
        <v>960.37600082551012</v>
      </c>
    </row>
    <row r="4625" spans="21:22">
      <c r="U4625">
        <v>4583</v>
      </c>
      <c r="V4625" s="197">
        <v>593.75507136822262</v>
      </c>
    </row>
    <row r="4626" spans="21:22">
      <c r="U4626">
        <v>4584</v>
      </c>
      <c r="V4626" s="197">
        <v>-1079.8844894674355</v>
      </c>
    </row>
    <row r="4627" spans="21:22">
      <c r="U4627">
        <v>4585</v>
      </c>
      <c r="V4627" s="197">
        <v>-139.67378945981577</v>
      </c>
    </row>
    <row r="4628" spans="21:22">
      <c r="U4628">
        <v>4586</v>
      </c>
      <c r="V4628" s="197">
        <v>558.02716337732181</v>
      </c>
    </row>
    <row r="4629" spans="21:22">
      <c r="U4629">
        <v>4587</v>
      </c>
      <c r="V4629" s="197">
        <v>-1061.3321252435069</v>
      </c>
    </row>
    <row r="4630" spans="21:22">
      <c r="U4630">
        <v>4588</v>
      </c>
      <c r="V4630" s="197">
        <v>-969.70411504186109</v>
      </c>
    </row>
    <row r="4631" spans="21:22">
      <c r="U4631">
        <v>4589</v>
      </c>
      <c r="V4631" s="197">
        <v>-1577.0924496603441</v>
      </c>
    </row>
    <row r="4632" spans="21:22">
      <c r="U4632">
        <v>4590</v>
      </c>
      <c r="V4632" s="197">
        <v>-1140.2436662288333</v>
      </c>
    </row>
    <row r="4633" spans="21:22">
      <c r="U4633">
        <v>4591</v>
      </c>
      <c r="V4633" s="197">
        <v>505.80930908034571</v>
      </c>
    </row>
    <row r="4634" spans="21:22">
      <c r="U4634">
        <v>4592</v>
      </c>
      <c r="V4634" s="197">
        <v>-932.63783709864128</v>
      </c>
    </row>
    <row r="4635" spans="21:22">
      <c r="U4635">
        <v>4593</v>
      </c>
      <c r="V4635" s="197">
        <v>-1186.5308174060087</v>
      </c>
    </row>
    <row r="4636" spans="21:22">
      <c r="U4636">
        <v>4594</v>
      </c>
      <c r="V4636" s="197">
        <v>-1847.8557013458083</v>
      </c>
    </row>
    <row r="4637" spans="21:22">
      <c r="U4637">
        <v>4595</v>
      </c>
      <c r="V4637" s="197">
        <v>1661.9181854174694</v>
      </c>
    </row>
    <row r="4638" spans="21:22">
      <c r="U4638">
        <v>4596</v>
      </c>
      <c r="V4638" s="197">
        <v>923.25643606853441</v>
      </c>
    </row>
    <row r="4639" spans="21:22">
      <c r="U4639">
        <v>4597</v>
      </c>
      <c r="V4639" s="197">
        <v>-1355.7160889999459</v>
      </c>
    </row>
    <row r="4640" spans="21:22">
      <c r="U4640">
        <v>4598</v>
      </c>
      <c r="V4640" s="197">
        <v>555.82453732339263</v>
      </c>
    </row>
    <row r="4641" spans="21:22">
      <c r="U4641">
        <v>4599</v>
      </c>
      <c r="V4641" s="197">
        <v>-1074.820198373048</v>
      </c>
    </row>
    <row r="4642" spans="21:22">
      <c r="U4642">
        <v>4600</v>
      </c>
      <c r="V4642" s="197">
        <v>141.94799240850685</v>
      </c>
    </row>
    <row r="4643" spans="21:22">
      <c r="U4643">
        <v>4601</v>
      </c>
      <c r="V4643" s="197">
        <v>284.45333615718727</v>
      </c>
    </row>
    <row r="4644" spans="21:22">
      <c r="U4644">
        <v>4602</v>
      </c>
      <c r="V4644" s="197">
        <v>1389.5404833993443</v>
      </c>
    </row>
    <row r="4645" spans="21:22">
      <c r="U4645">
        <v>4603</v>
      </c>
      <c r="V4645" s="197">
        <v>619.40976674306171</v>
      </c>
    </row>
    <row r="4646" spans="21:22">
      <c r="U4646">
        <v>4604</v>
      </c>
      <c r="V4646" s="197">
        <v>-1086.7421627900014</v>
      </c>
    </row>
    <row r="4647" spans="21:22">
      <c r="U4647">
        <v>4605</v>
      </c>
      <c r="V4647" s="197">
        <v>308.24157306151869</v>
      </c>
    </row>
    <row r="4648" spans="21:22">
      <c r="U4648">
        <v>4606</v>
      </c>
      <c r="V4648" s="197">
        <v>-612.49548184939385</v>
      </c>
    </row>
    <row r="4649" spans="21:22">
      <c r="U4649">
        <v>4607</v>
      </c>
      <c r="V4649" s="197">
        <v>432.33644683896722</v>
      </c>
    </row>
    <row r="4650" spans="21:22">
      <c r="U4650">
        <v>4608</v>
      </c>
      <c r="V4650" s="197">
        <v>109.60660440898467</v>
      </c>
    </row>
    <row r="4651" spans="21:22">
      <c r="U4651">
        <v>4609</v>
      </c>
      <c r="V4651" s="197">
        <v>-431.53443882493838</v>
      </c>
    </row>
    <row r="4652" spans="21:22">
      <c r="U4652">
        <v>4610</v>
      </c>
      <c r="V4652" s="197">
        <v>664.27092352540808</v>
      </c>
    </row>
    <row r="4653" spans="21:22">
      <c r="U4653">
        <v>4611</v>
      </c>
      <c r="V4653" s="197">
        <v>-506.4123571398365</v>
      </c>
    </row>
    <row r="4654" spans="21:22">
      <c r="U4654">
        <v>4612</v>
      </c>
      <c r="V4654" s="197">
        <v>1656.6741932003704</v>
      </c>
    </row>
    <row r="4655" spans="21:22">
      <c r="U4655">
        <v>4613</v>
      </c>
      <c r="V4655" s="197">
        <v>11.010567966223348</v>
      </c>
    </row>
    <row r="4656" spans="21:22">
      <c r="U4656">
        <v>4614</v>
      </c>
      <c r="V4656" s="197">
        <v>-1114.4569578436431</v>
      </c>
    </row>
    <row r="4657" spans="21:22">
      <c r="U4657">
        <v>4615</v>
      </c>
      <c r="V4657" s="197">
        <v>-1502.0074151566353</v>
      </c>
    </row>
    <row r="4658" spans="21:22">
      <c r="U4658">
        <v>4616</v>
      </c>
      <c r="V4658" s="197">
        <v>-323.65942980691182</v>
      </c>
    </row>
    <row r="4659" spans="21:22">
      <c r="U4659">
        <v>4617</v>
      </c>
      <c r="V4659" s="197">
        <v>-1272.137629766059</v>
      </c>
    </row>
    <row r="4660" spans="21:22">
      <c r="U4660">
        <v>4618</v>
      </c>
      <c r="V4660" s="197">
        <v>867.86420751249602</v>
      </c>
    </row>
    <row r="4661" spans="21:22">
      <c r="U4661">
        <v>4619</v>
      </c>
      <c r="V4661" s="197">
        <v>-1727.5322987300956</v>
      </c>
    </row>
    <row r="4662" spans="21:22">
      <c r="U4662">
        <v>4620</v>
      </c>
      <c r="V4662" s="197">
        <v>-747.54502782578334</v>
      </c>
    </row>
    <row r="4663" spans="21:22">
      <c r="U4663">
        <v>4621</v>
      </c>
      <c r="V4663" s="197">
        <v>494.31468031111592</v>
      </c>
    </row>
    <row r="4664" spans="21:22">
      <c r="U4664">
        <v>4622</v>
      </c>
      <c r="V4664" s="197">
        <v>-67.663908353108042</v>
      </c>
    </row>
    <row r="4665" spans="21:22">
      <c r="U4665">
        <v>4623</v>
      </c>
      <c r="V4665" s="197">
        <v>364.4368014074625</v>
      </c>
    </row>
    <row r="4666" spans="21:22">
      <c r="U4666">
        <v>4624</v>
      </c>
      <c r="V4666" s="197">
        <v>574.85510291526111</v>
      </c>
    </row>
    <row r="4667" spans="21:22">
      <c r="U4667">
        <v>4625</v>
      </c>
      <c r="V4667" s="197">
        <v>-2311.0046745755312</v>
      </c>
    </row>
    <row r="4668" spans="21:22">
      <c r="U4668">
        <v>4626</v>
      </c>
      <c r="V4668" s="197">
        <v>622.86267697009703</v>
      </c>
    </row>
    <row r="4669" spans="21:22">
      <c r="U4669">
        <v>4627</v>
      </c>
      <c r="V4669" s="197">
        <v>-754.94797182417187</v>
      </c>
    </row>
    <row r="4670" spans="21:22">
      <c r="U4670">
        <v>4628</v>
      </c>
      <c r="V4670" s="197">
        <v>351.55140192895237</v>
      </c>
    </row>
    <row r="4671" spans="21:22">
      <c r="U4671">
        <v>4629</v>
      </c>
      <c r="V4671" s="197">
        <v>1320.4540758178978</v>
      </c>
    </row>
    <row r="4672" spans="21:22">
      <c r="U4672">
        <v>4630</v>
      </c>
      <c r="V4672" s="197">
        <v>-487.63376180459596</v>
      </c>
    </row>
    <row r="4673" spans="21:22">
      <c r="U4673">
        <v>4631</v>
      </c>
      <c r="V4673" s="197">
        <v>-1068.6116411051735</v>
      </c>
    </row>
    <row r="4674" spans="21:22">
      <c r="U4674">
        <v>4632</v>
      </c>
      <c r="V4674" s="197">
        <v>866.25920118325416</v>
      </c>
    </row>
    <row r="4675" spans="21:22">
      <c r="U4675">
        <v>4633</v>
      </c>
      <c r="V4675" s="197">
        <v>-480.4398949514412</v>
      </c>
    </row>
    <row r="4676" spans="21:22">
      <c r="U4676">
        <v>4634</v>
      </c>
      <c r="V4676" s="197">
        <v>-416.75275906202768</v>
      </c>
    </row>
    <row r="4677" spans="21:22">
      <c r="U4677">
        <v>4635</v>
      </c>
      <c r="V4677" s="197">
        <v>823.80460757938704</v>
      </c>
    </row>
    <row r="4678" spans="21:22">
      <c r="U4678">
        <v>4636</v>
      </c>
      <c r="V4678" s="197">
        <v>-463.31227655368974</v>
      </c>
    </row>
    <row r="4679" spans="21:22">
      <c r="U4679">
        <v>4637</v>
      </c>
      <c r="V4679" s="197">
        <v>-888.57829147443431</v>
      </c>
    </row>
    <row r="4680" spans="21:22">
      <c r="U4680">
        <v>4638</v>
      </c>
      <c r="V4680" s="197">
        <v>901.10100806026412</v>
      </c>
    </row>
    <row r="4681" spans="21:22">
      <c r="U4681">
        <v>4639</v>
      </c>
      <c r="V4681" s="197">
        <v>-1184.2319938716964</v>
      </c>
    </row>
    <row r="4682" spans="21:22">
      <c r="U4682">
        <v>4640</v>
      </c>
      <c r="V4682" s="197">
        <v>1306.4952827936227</v>
      </c>
    </row>
    <row r="4683" spans="21:22">
      <c r="U4683">
        <v>4641</v>
      </c>
      <c r="V4683" s="197">
        <v>692.19124336947516</v>
      </c>
    </row>
    <row r="4684" spans="21:22">
      <c r="U4684">
        <v>4642</v>
      </c>
      <c r="V4684" s="197">
        <v>1272.4222822025386</v>
      </c>
    </row>
    <row r="4685" spans="21:22">
      <c r="U4685">
        <v>4643</v>
      </c>
      <c r="V4685" s="197">
        <v>183.00329694667897</v>
      </c>
    </row>
    <row r="4686" spans="21:22">
      <c r="U4686">
        <v>4644</v>
      </c>
      <c r="V4686" s="197">
        <v>33.750526951288066</v>
      </c>
    </row>
    <row r="4687" spans="21:22">
      <c r="U4687">
        <v>4645</v>
      </c>
      <c r="V4687" s="197">
        <v>-1586.444214657718</v>
      </c>
    </row>
    <row r="4688" spans="21:22">
      <c r="U4688">
        <v>4646</v>
      </c>
      <c r="V4688" s="197">
        <v>-858.88656687066418</v>
      </c>
    </row>
    <row r="4689" spans="21:22">
      <c r="U4689">
        <v>4647</v>
      </c>
      <c r="V4689" s="197">
        <v>1276.5030549412777</v>
      </c>
    </row>
    <row r="4690" spans="21:22">
      <c r="U4690">
        <v>4648</v>
      </c>
      <c r="V4690" s="197">
        <v>305.53575101527576</v>
      </c>
    </row>
    <row r="4691" spans="21:22">
      <c r="U4691">
        <v>4649</v>
      </c>
      <c r="V4691" s="197">
        <v>1179.509377764776</v>
      </c>
    </row>
    <row r="4692" spans="21:22">
      <c r="U4692">
        <v>4650</v>
      </c>
      <c r="V4692" s="197">
        <v>326.89843603685802</v>
      </c>
    </row>
    <row r="4693" spans="21:22">
      <c r="U4693">
        <v>4651</v>
      </c>
      <c r="V4693" s="197">
        <v>-508.14125144934479</v>
      </c>
    </row>
    <row r="4694" spans="21:22">
      <c r="U4694">
        <v>4652</v>
      </c>
      <c r="V4694" s="197">
        <v>-29.172865157215156</v>
      </c>
    </row>
    <row r="4695" spans="21:22">
      <c r="U4695">
        <v>4653</v>
      </c>
      <c r="V4695" s="197">
        <v>-541.21109545567583</v>
      </c>
    </row>
    <row r="4696" spans="21:22">
      <c r="U4696">
        <v>4654</v>
      </c>
      <c r="V4696" s="197">
        <v>597.65313148441828</v>
      </c>
    </row>
    <row r="4697" spans="21:22">
      <c r="U4697">
        <v>4655</v>
      </c>
      <c r="V4697" s="197">
        <v>-113.03472073489769</v>
      </c>
    </row>
    <row r="4698" spans="21:22">
      <c r="U4698">
        <v>4656</v>
      </c>
      <c r="V4698" s="197">
        <v>2295.2241058779755</v>
      </c>
    </row>
    <row r="4699" spans="21:22">
      <c r="U4699">
        <v>4657</v>
      </c>
      <c r="V4699" s="197">
        <v>1584.0824848012808</v>
      </c>
    </row>
    <row r="4700" spans="21:22">
      <c r="U4700">
        <v>4658</v>
      </c>
      <c r="V4700" s="197">
        <v>486.0755653830908</v>
      </c>
    </row>
    <row r="4701" spans="21:22">
      <c r="U4701">
        <v>4659</v>
      </c>
      <c r="V4701" s="197">
        <v>1126.6059646824524</v>
      </c>
    </row>
    <row r="4702" spans="21:22">
      <c r="U4702">
        <v>4660</v>
      </c>
      <c r="V4702" s="197">
        <v>455.05878374694129</v>
      </c>
    </row>
    <row r="4703" spans="21:22">
      <c r="U4703">
        <v>4661</v>
      </c>
      <c r="V4703" s="197">
        <v>897.90784925649677</v>
      </c>
    </row>
    <row r="4704" spans="21:22">
      <c r="U4704">
        <v>4662</v>
      </c>
      <c r="V4704" s="197">
        <v>-67.899979916446057</v>
      </c>
    </row>
    <row r="4705" spans="21:22">
      <c r="U4705">
        <v>4663</v>
      </c>
      <c r="V4705" s="197">
        <v>717.31550401817094</v>
      </c>
    </row>
    <row r="4706" spans="21:22">
      <c r="U4706">
        <v>4664</v>
      </c>
      <c r="V4706" s="197">
        <v>-177.54448703667549</v>
      </c>
    </row>
    <row r="4707" spans="21:22">
      <c r="U4707">
        <v>4665</v>
      </c>
      <c r="V4707" s="197">
        <v>154.21031250913737</v>
      </c>
    </row>
    <row r="4708" spans="21:22">
      <c r="U4708">
        <v>4666</v>
      </c>
      <c r="V4708" s="197">
        <v>964.99791717138282</v>
      </c>
    </row>
    <row r="4709" spans="21:22">
      <c r="U4709">
        <v>4667</v>
      </c>
      <c r="V4709" s="197">
        <v>623.64293891117336</v>
      </c>
    </row>
    <row r="4710" spans="21:22">
      <c r="U4710">
        <v>4668</v>
      </c>
      <c r="V4710" s="197">
        <v>919.77383853968604</v>
      </c>
    </row>
    <row r="4711" spans="21:22">
      <c r="U4711">
        <v>4669</v>
      </c>
      <c r="V4711" s="197">
        <v>1765.703374879143</v>
      </c>
    </row>
    <row r="4712" spans="21:22">
      <c r="U4712">
        <v>4670</v>
      </c>
      <c r="V4712" s="197">
        <v>-103.18007744414308</v>
      </c>
    </row>
    <row r="4713" spans="21:22">
      <c r="U4713">
        <v>4671</v>
      </c>
      <c r="V4713" s="197">
        <v>133.51137733654099</v>
      </c>
    </row>
    <row r="4714" spans="21:22">
      <c r="U4714">
        <v>4672</v>
      </c>
      <c r="V4714" s="197">
        <v>-203.41341683973741</v>
      </c>
    </row>
    <row r="4715" spans="21:22">
      <c r="U4715">
        <v>4673</v>
      </c>
      <c r="V4715" s="197">
        <v>690.55175152079505</v>
      </c>
    </row>
    <row r="4716" spans="21:22">
      <c r="U4716">
        <v>4674</v>
      </c>
      <c r="V4716" s="197">
        <v>606.01925070313405</v>
      </c>
    </row>
    <row r="4717" spans="21:22">
      <c r="U4717">
        <v>4675</v>
      </c>
      <c r="V4717" s="197">
        <v>1054.749066217486</v>
      </c>
    </row>
    <row r="4718" spans="21:22">
      <c r="U4718">
        <v>4676</v>
      </c>
      <c r="V4718" s="197">
        <v>239.48784142112942</v>
      </c>
    </row>
    <row r="4719" spans="21:22">
      <c r="U4719">
        <v>4677</v>
      </c>
      <c r="V4719" s="197">
        <v>-1149.0532000380233</v>
      </c>
    </row>
    <row r="4720" spans="21:22">
      <c r="U4720">
        <v>4678</v>
      </c>
      <c r="V4720" s="197">
        <v>-598.88437707050207</v>
      </c>
    </row>
    <row r="4721" spans="21:22">
      <c r="U4721">
        <v>4679</v>
      </c>
      <c r="V4721" s="197">
        <v>1297.1612205205004</v>
      </c>
    </row>
    <row r="4722" spans="21:22">
      <c r="U4722">
        <v>4680</v>
      </c>
      <c r="V4722" s="197">
        <v>1048.4322531248899</v>
      </c>
    </row>
    <row r="4723" spans="21:22">
      <c r="U4723">
        <v>4681</v>
      </c>
      <c r="V4723" s="197">
        <v>2214.3390814176128</v>
      </c>
    </row>
    <row r="4724" spans="21:22">
      <c r="U4724">
        <v>4682</v>
      </c>
      <c r="V4724" s="197">
        <v>447.15509362224395</v>
      </c>
    </row>
    <row r="4725" spans="21:22">
      <c r="U4725">
        <v>4683</v>
      </c>
      <c r="V4725" s="197">
        <v>-317.8063299003291</v>
      </c>
    </row>
    <row r="4726" spans="21:22">
      <c r="U4726">
        <v>4684</v>
      </c>
      <c r="V4726" s="197">
        <v>-1830.8098898893809</v>
      </c>
    </row>
    <row r="4727" spans="21:22">
      <c r="U4727">
        <v>4685</v>
      </c>
      <c r="V4727" s="197">
        <v>-143.01615760909351</v>
      </c>
    </row>
    <row r="4728" spans="21:22">
      <c r="U4728">
        <v>4686</v>
      </c>
      <c r="V4728" s="197">
        <v>-1000.6673842826167</v>
      </c>
    </row>
    <row r="4729" spans="21:22">
      <c r="U4729">
        <v>4687</v>
      </c>
      <c r="V4729" s="197">
        <v>-651.13998726383693</v>
      </c>
    </row>
    <row r="4730" spans="21:22">
      <c r="U4730">
        <v>4688</v>
      </c>
      <c r="V4730" s="197">
        <v>1263.0767013703708</v>
      </c>
    </row>
    <row r="4731" spans="21:22">
      <c r="U4731">
        <v>4689</v>
      </c>
      <c r="V4731" s="197">
        <v>-161.23693661005814</v>
      </c>
    </row>
    <row r="4732" spans="21:22">
      <c r="U4732">
        <v>4690</v>
      </c>
      <c r="V4732" s="197">
        <v>556.26575559527737</v>
      </c>
    </row>
    <row r="4733" spans="21:22">
      <c r="U4733">
        <v>4691</v>
      </c>
      <c r="V4733" s="197">
        <v>-373.89031892657539</v>
      </c>
    </row>
    <row r="4734" spans="21:22">
      <c r="U4734">
        <v>4692</v>
      </c>
      <c r="V4734" s="197">
        <v>1544.25582471695</v>
      </c>
    </row>
    <row r="4735" spans="21:22">
      <c r="U4735">
        <v>4693</v>
      </c>
      <c r="V4735" s="197">
        <v>-805.52356360356976</v>
      </c>
    </row>
    <row r="4736" spans="21:22">
      <c r="U4736">
        <v>4694</v>
      </c>
      <c r="V4736" s="197">
        <v>1252.6959368646574</v>
      </c>
    </row>
    <row r="4737" spans="21:22">
      <c r="U4737">
        <v>4695</v>
      </c>
      <c r="V4737" s="197">
        <v>-161.91003822274342</v>
      </c>
    </row>
    <row r="4738" spans="21:22">
      <c r="U4738">
        <v>4696</v>
      </c>
      <c r="V4738" s="197">
        <v>422.16099252002465</v>
      </c>
    </row>
    <row r="4739" spans="21:22">
      <c r="U4739">
        <v>4697</v>
      </c>
      <c r="V4739" s="197">
        <v>188.97888229431825</v>
      </c>
    </row>
    <row r="4740" spans="21:22">
      <c r="U4740">
        <v>4698</v>
      </c>
      <c r="V4740" s="197">
        <v>774.65025187006768</v>
      </c>
    </row>
    <row r="4741" spans="21:22">
      <c r="U4741">
        <v>4699</v>
      </c>
      <c r="V4741" s="197">
        <v>-188.27494777846385</v>
      </c>
    </row>
    <row r="4742" spans="21:22">
      <c r="U4742">
        <v>4700</v>
      </c>
      <c r="V4742" s="197">
        <v>1629.1179515115596</v>
      </c>
    </row>
    <row r="4743" spans="21:22">
      <c r="U4743">
        <v>4701</v>
      </c>
      <c r="V4743" s="197">
        <v>-715.17458076940989</v>
      </c>
    </row>
    <row r="4744" spans="21:22">
      <c r="U4744">
        <v>4702</v>
      </c>
      <c r="V4744" s="197">
        <v>-1613.2592079174392</v>
      </c>
    </row>
    <row r="4745" spans="21:22">
      <c r="U4745">
        <v>4703</v>
      </c>
      <c r="V4745" s="197">
        <v>1058.989628917783</v>
      </c>
    </row>
    <row r="4746" spans="21:22">
      <c r="U4746">
        <v>4704</v>
      </c>
      <c r="V4746" s="197">
        <v>196.23616881079897</v>
      </c>
    </row>
    <row r="4747" spans="21:22">
      <c r="U4747">
        <v>4705</v>
      </c>
      <c r="V4747" s="197">
        <v>-77.493791806001468</v>
      </c>
    </row>
    <row r="4748" spans="21:22">
      <c r="U4748">
        <v>4706</v>
      </c>
      <c r="V4748" s="197">
        <v>563.39875512225399</v>
      </c>
    </row>
    <row r="4749" spans="21:22">
      <c r="U4749">
        <v>4707</v>
      </c>
      <c r="V4749" s="197">
        <v>-155.6735055168858</v>
      </c>
    </row>
    <row r="4750" spans="21:22">
      <c r="U4750">
        <v>4708</v>
      </c>
      <c r="V4750" s="197">
        <v>-530.29840891702906</v>
      </c>
    </row>
    <row r="4751" spans="21:22">
      <c r="U4751">
        <v>4709</v>
      </c>
      <c r="V4751" s="197">
        <v>282.74642135378463</v>
      </c>
    </row>
    <row r="4752" spans="21:22">
      <c r="U4752">
        <v>4710</v>
      </c>
      <c r="V4752" s="197">
        <v>-515.10697161975691</v>
      </c>
    </row>
    <row r="4753" spans="21:22">
      <c r="U4753">
        <v>4711</v>
      </c>
      <c r="V4753" s="197">
        <v>-564.36173299438315</v>
      </c>
    </row>
    <row r="4754" spans="21:22">
      <c r="U4754">
        <v>4712</v>
      </c>
      <c r="V4754" s="197">
        <v>1181.4147688650685</v>
      </c>
    </row>
    <row r="4755" spans="21:22">
      <c r="U4755">
        <v>4713</v>
      </c>
      <c r="V4755" s="197">
        <v>-393.16979436265382</v>
      </c>
    </row>
    <row r="4756" spans="21:22">
      <c r="U4756">
        <v>4714</v>
      </c>
      <c r="V4756" s="197">
        <v>-148.48919510883539</v>
      </c>
    </row>
    <row r="4757" spans="21:22">
      <c r="U4757">
        <v>4715</v>
      </c>
      <c r="V4757" s="197">
        <v>735.92102632350566</v>
      </c>
    </row>
    <row r="4758" spans="21:22">
      <c r="U4758">
        <v>4716</v>
      </c>
      <c r="V4758" s="197">
        <v>-322.52589911949389</v>
      </c>
    </row>
    <row r="4759" spans="21:22">
      <c r="U4759">
        <v>4717</v>
      </c>
      <c r="V4759" s="197">
        <v>436.54830833571106</v>
      </c>
    </row>
    <row r="4760" spans="21:22">
      <c r="U4760">
        <v>4718</v>
      </c>
      <c r="V4760" s="197">
        <v>722.60179948011728</v>
      </c>
    </row>
    <row r="4761" spans="21:22">
      <c r="U4761">
        <v>4719</v>
      </c>
      <c r="V4761" s="197">
        <v>1355.3099342510832</v>
      </c>
    </row>
    <row r="4762" spans="21:22">
      <c r="U4762">
        <v>4720</v>
      </c>
      <c r="V4762" s="197">
        <v>-687.03176019774583</v>
      </c>
    </row>
    <row r="4763" spans="21:22">
      <c r="U4763">
        <v>4721</v>
      </c>
      <c r="V4763" s="197">
        <v>2437.8310106460126</v>
      </c>
    </row>
    <row r="4764" spans="21:22">
      <c r="U4764">
        <v>4722</v>
      </c>
      <c r="V4764" s="197">
        <v>-356.5819430412929</v>
      </c>
    </row>
    <row r="4765" spans="21:22">
      <c r="U4765">
        <v>4723</v>
      </c>
      <c r="V4765" s="197">
        <v>14.023579555107617</v>
      </c>
    </row>
    <row r="4766" spans="21:22">
      <c r="U4766">
        <v>4724</v>
      </c>
      <c r="V4766" s="197">
        <v>42.717379571233515</v>
      </c>
    </row>
    <row r="4767" spans="21:22">
      <c r="U4767">
        <v>4725</v>
      </c>
      <c r="V4767" s="197">
        <v>1296.4111885496502</v>
      </c>
    </row>
    <row r="4768" spans="21:22">
      <c r="U4768">
        <v>4726</v>
      </c>
      <c r="V4768" s="197">
        <v>-1587.9852751588987</v>
      </c>
    </row>
    <row r="4769" spans="21:22">
      <c r="U4769">
        <v>4727</v>
      </c>
      <c r="V4769" s="197">
        <v>417.21718762081315</v>
      </c>
    </row>
    <row r="4770" spans="21:22">
      <c r="U4770">
        <v>4728</v>
      </c>
      <c r="V4770" s="197">
        <v>-1054.0613965521909</v>
      </c>
    </row>
    <row r="4771" spans="21:22">
      <c r="U4771">
        <v>4729</v>
      </c>
      <c r="V4771" s="197">
        <v>-204.18436836264925</v>
      </c>
    </row>
    <row r="4772" spans="21:22">
      <c r="U4772">
        <v>4730</v>
      </c>
      <c r="V4772" s="197">
        <v>937.84806705697815</v>
      </c>
    </row>
    <row r="4773" spans="21:22">
      <c r="U4773">
        <v>4731</v>
      </c>
      <c r="V4773" s="197">
        <v>-1141.68899788875</v>
      </c>
    </row>
    <row r="4774" spans="21:22">
      <c r="U4774">
        <v>4732</v>
      </c>
      <c r="V4774" s="197">
        <v>-385.84779842273872</v>
      </c>
    </row>
    <row r="4775" spans="21:22">
      <c r="U4775">
        <v>4733</v>
      </c>
      <c r="V4775" s="197">
        <v>1177.2682840039506</v>
      </c>
    </row>
    <row r="4776" spans="21:22">
      <c r="U4776">
        <v>4734</v>
      </c>
      <c r="V4776" s="197">
        <v>476.43268043891544</v>
      </c>
    </row>
    <row r="4777" spans="21:22">
      <c r="U4777">
        <v>4735</v>
      </c>
      <c r="V4777" s="197">
        <v>-636.26965150377373</v>
      </c>
    </row>
    <row r="4778" spans="21:22">
      <c r="U4778">
        <v>4736</v>
      </c>
      <c r="V4778" s="197">
        <v>1638.1678769390323</v>
      </c>
    </row>
    <row r="4779" spans="21:22">
      <c r="U4779">
        <v>4737</v>
      </c>
      <c r="V4779" s="197">
        <v>527.66530174251989</v>
      </c>
    </row>
    <row r="4780" spans="21:22">
      <c r="U4780">
        <v>4738</v>
      </c>
      <c r="V4780" s="197">
        <v>1034.6107944429446</v>
      </c>
    </row>
    <row r="4781" spans="21:22">
      <c r="U4781">
        <v>4739</v>
      </c>
      <c r="V4781" s="197">
        <v>-651.67686470970511</v>
      </c>
    </row>
    <row r="4782" spans="21:22">
      <c r="U4782">
        <v>4740</v>
      </c>
      <c r="V4782" s="197">
        <v>-1285.9345475951773</v>
      </c>
    </row>
    <row r="4783" spans="21:22">
      <c r="U4783">
        <v>4741</v>
      </c>
      <c r="V4783" s="197">
        <v>-545.74360808582401</v>
      </c>
    </row>
    <row r="4784" spans="21:22">
      <c r="U4784">
        <v>4742</v>
      </c>
      <c r="V4784" s="197">
        <v>-296.80196123637654</v>
      </c>
    </row>
    <row r="4785" spans="21:22">
      <c r="U4785">
        <v>4743</v>
      </c>
      <c r="V4785" s="197">
        <v>990.28605175469761</v>
      </c>
    </row>
    <row r="4786" spans="21:22">
      <c r="U4786">
        <v>4744</v>
      </c>
      <c r="V4786" s="197">
        <v>1128.832532464706</v>
      </c>
    </row>
    <row r="4787" spans="21:22">
      <c r="U4787">
        <v>4745</v>
      </c>
      <c r="V4787" s="197">
        <v>760.90522177528464</v>
      </c>
    </row>
    <row r="4788" spans="21:22">
      <c r="U4788">
        <v>4746</v>
      </c>
      <c r="V4788" s="197">
        <v>727.00455522487869</v>
      </c>
    </row>
    <row r="4789" spans="21:22">
      <c r="U4789">
        <v>4747</v>
      </c>
      <c r="V4789" s="197">
        <v>1196.7786817309877</v>
      </c>
    </row>
    <row r="4790" spans="21:22">
      <c r="U4790">
        <v>4748</v>
      </c>
      <c r="V4790" s="197">
        <v>-426.63031478076192</v>
      </c>
    </row>
    <row r="4791" spans="21:22">
      <c r="U4791">
        <v>4749</v>
      </c>
      <c r="V4791" s="197">
        <v>-370.04424384060655</v>
      </c>
    </row>
    <row r="4792" spans="21:22">
      <c r="U4792">
        <v>4750</v>
      </c>
      <c r="V4792" s="197">
        <v>1094.5704695773368</v>
      </c>
    </row>
    <row r="4793" spans="21:22">
      <c r="U4793">
        <v>4751</v>
      </c>
      <c r="V4793" s="197">
        <v>868.29691970684098</v>
      </c>
    </row>
    <row r="4794" spans="21:22">
      <c r="U4794">
        <v>4752</v>
      </c>
      <c r="V4794" s="197">
        <v>-663.66132957724517</v>
      </c>
    </row>
    <row r="4795" spans="21:22">
      <c r="U4795">
        <v>4753</v>
      </c>
      <c r="V4795" s="197">
        <v>48.641295812803328</v>
      </c>
    </row>
    <row r="4796" spans="21:22">
      <c r="U4796">
        <v>4754</v>
      </c>
      <c r="V4796" s="197">
        <v>499.73758328774539</v>
      </c>
    </row>
    <row r="4797" spans="21:22">
      <c r="U4797">
        <v>4755</v>
      </c>
      <c r="V4797" s="197">
        <v>140.74919685752329</v>
      </c>
    </row>
    <row r="4798" spans="21:22">
      <c r="U4798">
        <v>4756</v>
      </c>
      <c r="V4798" s="197">
        <v>-69.014561601718754</v>
      </c>
    </row>
    <row r="4799" spans="21:22">
      <c r="U4799">
        <v>4757</v>
      </c>
      <c r="V4799" s="197">
        <v>-782.93712486907702</v>
      </c>
    </row>
    <row r="4800" spans="21:22">
      <c r="U4800">
        <v>4758</v>
      </c>
      <c r="V4800" s="197">
        <v>-454.38304545693774</v>
      </c>
    </row>
    <row r="4801" spans="21:22">
      <c r="U4801">
        <v>4759</v>
      </c>
      <c r="V4801" s="197">
        <v>1362.6951751977851</v>
      </c>
    </row>
    <row r="4802" spans="21:22">
      <c r="U4802">
        <v>4760</v>
      </c>
      <c r="V4802" s="197">
        <v>-1215.0231542305214</v>
      </c>
    </row>
    <row r="4803" spans="21:22">
      <c r="U4803">
        <v>4761</v>
      </c>
      <c r="V4803" s="197">
        <v>24.669698292528722</v>
      </c>
    </row>
    <row r="4804" spans="21:22">
      <c r="U4804">
        <v>4762</v>
      </c>
      <c r="V4804" s="197">
        <v>489.93176571806367</v>
      </c>
    </row>
    <row r="4805" spans="21:22">
      <c r="U4805">
        <v>4763</v>
      </c>
      <c r="V4805" s="197">
        <v>1554.458263550184</v>
      </c>
    </row>
    <row r="4806" spans="21:22">
      <c r="U4806">
        <v>4764</v>
      </c>
      <c r="V4806" s="197">
        <v>594.41745746235108</v>
      </c>
    </row>
    <row r="4807" spans="21:22">
      <c r="U4807">
        <v>4765</v>
      </c>
      <c r="V4807" s="197">
        <v>280.10337822224403</v>
      </c>
    </row>
    <row r="4808" spans="21:22">
      <c r="U4808">
        <v>4766</v>
      </c>
      <c r="V4808" s="197">
        <v>842.92764486639135</v>
      </c>
    </row>
    <row r="4809" spans="21:22">
      <c r="U4809">
        <v>4767</v>
      </c>
      <c r="V4809" s="197">
        <v>92.799303141386559</v>
      </c>
    </row>
    <row r="4810" spans="21:22">
      <c r="U4810">
        <v>4768</v>
      </c>
      <c r="V4810" s="197">
        <v>535.42066895240691</v>
      </c>
    </row>
    <row r="4811" spans="21:22">
      <c r="U4811">
        <v>4769</v>
      </c>
      <c r="V4811" s="197">
        <v>1121.594263128248</v>
      </c>
    </row>
    <row r="4812" spans="21:22">
      <c r="U4812">
        <v>4770</v>
      </c>
      <c r="V4812" s="197">
        <v>603.04751125367761</v>
      </c>
    </row>
    <row r="4813" spans="21:22">
      <c r="U4813">
        <v>4771</v>
      </c>
      <c r="V4813" s="197">
        <v>-612.71166464713269</v>
      </c>
    </row>
    <row r="4814" spans="21:22">
      <c r="U4814">
        <v>4772</v>
      </c>
      <c r="V4814" s="197">
        <v>-190.59927731577136</v>
      </c>
    </row>
    <row r="4815" spans="21:22">
      <c r="U4815">
        <v>4773</v>
      </c>
      <c r="V4815" s="197">
        <v>-1629.9590101899939</v>
      </c>
    </row>
    <row r="4816" spans="21:22">
      <c r="U4816">
        <v>4774</v>
      </c>
      <c r="V4816" s="197">
        <v>284.51386085594146</v>
      </c>
    </row>
    <row r="4817" spans="21:22">
      <c r="U4817">
        <v>4775</v>
      </c>
      <c r="V4817" s="197">
        <v>134.99799623725062</v>
      </c>
    </row>
    <row r="4818" spans="21:22">
      <c r="U4818">
        <v>4776</v>
      </c>
      <c r="V4818" s="197">
        <v>453.40736609334118</v>
      </c>
    </row>
    <row r="4819" spans="21:22">
      <c r="U4819">
        <v>4777</v>
      </c>
      <c r="V4819" s="197">
        <v>-1970.4954169417326</v>
      </c>
    </row>
    <row r="4820" spans="21:22">
      <c r="U4820">
        <v>4778</v>
      </c>
      <c r="V4820" s="197">
        <v>841.96776701082126</v>
      </c>
    </row>
    <row r="4821" spans="21:22">
      <c r="U4821">
        <v>4779</v>
      </c>
      <c r="V4821" s="197">
        <v>1105.2301365580652</v>
      </c>
    </row>
    <row r="4822" spans="21:22">
      <c r="U4822">
        <v>4780</v>
      </c>
      <c r="V4822" s="197">
        <v>-515.54704236135422</v>
      </c>
    </row>
    <row r="4823" spans="21:22">
      <c r="U4823">
        <v>4781</v>
      </c>
      <c r="V4823" s="197">
        <v>852.93925825550514</v>
      </c>
    </row>
    <row r="4824" spans="21:22">
      <c r="U4824">
        <v>4782</v>
      </c>
      <c r="V4824" s="197">
        <v>33.831584513719164</v>
      </c>
    </row>
    <row r="4825" spans="21:22">
      <c r="U4825">
        <v>4783</v>
      </c>
      <c r="V4825" s="197">
        <v>333.19284301274149</v>
      </c>
    </row>
    <row r="4826" spans="21:22">
      <c r="U4826">
        <v>4784</v>
      </c>
      <c r="V4826" s="197">
        <v>1232.9131596370144</v>
      </c>
    </row>
    <row r="4827" spans="21:22">
      <c r="U4827">
        <v>4785</v>
      </c>
      <c r="V4827" s="197">
        <v>445.07556197491817</v>
      </c>
    </row>
    <row r="4828" spans="21:22">
      <c r="U4828">
        <v>4786</v>
      </c>
      <c r="V4828" s="197">
        <v>723.00338658918395</v>
      </c>
    </row>
    <row r="4829" spans="21:22">
      <c r="U4829">
        <v>4787</v>
      </c>
      <c r="V4829" s="197">
        <v>-167.32016958613076</v>
      </c>
    </row>
    <row r="4830" spans="21:22">
      <c r="U4830">
        <v>4788</v>
      </c>
      <c r="V4830" s="197">
        <v>292.23302804799664</v>
      </c>
    </row>
    <row r="4831" spans="21:22">
      <c r="U4831">
        <v>4789</v>
      </c>
      <c r="V4831" s="197">
        <v>603.26272213017955</v>
      </c>
    </row>
    <row r="4832" spans="21:22">
      <c r="U4832">
        <v>4790</v>
      </c>
      <c r="V4832" s="197">
        <v>1455.2716815569981</v>
      </c>
    </row>
    <row r="4833" spans="21:22">
      <c r="U4833">
        <v>4791</v>
      </c>
      <c r="V4833" s="197">
        <v>1518.5753870859073</v>
      </c>
    </row>
    <row r="4834" spans="21:22">
      <c r="U4834">
        <v>4792</v>
      </c>
      <c r="V4834" s="197">
        <v>1082.9611273371449</v>
      </c>
    </row>
    <row r="4835" spans="21:22">
      <c r="U4835">
        <v>4793</v>
      </c>
      <c r="V4835" s="197">
        <v>-467.85965565822818</v>
      </c>
    </row>
    <row r="4836" spans="21:22">
      <c r="U4836">
        <v>4794</v>
      </c>
      <c r="V4836" s="197">
        <v>729.11005546407637</v>
      </c>
    </row>
    <row r="4837" spans="21:22">
      <c r="U4837">
        <v>4795</v>
      </c>
      <c r="V4837" s="197">
        <v>-590.21321771674934</v>
      </c>
    </row>
    <row r="4838" spans="21:22">
      <c r="U4838">
        <v>4796</v>
      </c>
      <c r="V4838" s="197">
        <v>266.60229224116119</v>
      </c>
    </row>
    <row r="4839" spans="21:22">
      <c r="U4839">
        <v>4797</v>
      </c>
      <c r="V4839" s="197">
        <v>554.06145957673618</v>
      </c>
    </row>
    <row r="4840" spans="21:22">
      <c r="U4840">
        <v>4798</v>
      </c>
      <c r="V4840" s="197">
        <v>1203.3893917225114</v>
      </c>
    </row>
    <row r="4841" spans="21:22">
      <c r="U4841">
        <v>4799</v>
      </c>
      <c r="V4841" s="197">
        <v>861.85900991621156</v>
      </c>
    </row>
    <row r="4842" spans="21:22">
      <c r="U4842">
        <v>4800</v>
      </c>
      <c r="V4842" s="197">
        <v>-1024.8370206507748</v>
      </c>
    </row>
    <row r="4843" spans="21:22">
      <c r="U4843">
        <v>4801</v>
      </c>
      <c r="V4843" s="197">
        <v>258.26741818607979</v>
      </c>
    </row>
    <row r="4844" spans="21:22">
      <c r="U4844">
        <v>4802</v>
      </c>
      <c r="V4844" s="197">
        <v>150.80275717342153</v>
      </c>
    </row>
    <row r="4845" spans="21:22">
      <c r="U4845">
        <v>4803</v>
      </c>
      <c r="V4845" s="197">
        <v>-292.75718492814246</v>
      </c>
    </row>
    <row r="4846" spans="21:22">
      <c r="U4846">
        <v>4804</v>
      </c>
      <c r="V4846" s="197">
        <v>234.85516761625104</v>
      </c>
    </row>
    <row r="4847" spans="21:22">
      <c r="U4847">
        <v>4805</v>
      </c>
      <c r="V4847" s="197">
        <v>125.4793074682792</v>
      </c>
    </row>
    <row r="4848" spans="21:22">
      <c r="U4848">
        <v>4806</v>
      </c>
      <c r="V4848" s="197">
        <v>-176.71271739389357</v>
      </c>
    </row>
    <row r="4849" spans="21:22">
      <c r="U4849">
        <v>4807</v>
      </c>
      <c r="V4849" s="197">
        <v>1281.7147639816164</v>
      </c>
    </row>
    <row r="4850" spans="21:22">
      <c r="U4850">
        <v>4808</v>
      </c>
      <c r="V4850" s="197">
        <v>-506.02255047603234</v>
      </c>
    </row>
    <row r="4851" spans="21:22">
      <c r="U4851">
        <v>4809</v>
      </c>
      <c r="V4851" s="197">
        <v>788.29895522917218</v>
      </c>
    </row>
    <row r="4852" spans="21:22">
      <c r="U4852">
        <v>4810</v>
      </c>
      <c r="V4852" s="197">
        <v>-787.86102622360659</v>
      </c>
    </row>
    <row r="4853" spans="21:22">
      <c r="U4853">
        <v>4811</v>
      </c>
      <c r="V4853" s="197">
        <v>959.90393892397242</v>
      </c>
    </row>
    <row r="4854" spans="21:22">
      <c r="U4854">
        <v>4812</v>
      </c>
      <c r="V4854" s="197">
        <v>-955.4881551383869</v>
      </c>
    </row>
    <row r="4855" spans="21:22">
      <c r="U4855">
        <v>4813</v>
      </c>
      <c r="V4855" s="197">
        <v>751.50319402002492</v>
      </c>
    </row>
    <row r="4856" spans="21:22">
      <c r="U4856">
        <v>4814</v>
      </c>
      <c r="V4856" s="197">
        <v>-1343.8943335144909</v>
      </c>
    </row>
    <row r="4857" spans="21:22">
      <c r="U4857">
        <v>4815</v>
      </c>
      <c r="V4857" s="197">
        <v>-68.414409636422533</v>
      </c>
    </row>
    <row r="4858" spans="21:22">
      <c r="U4858">
        <v>4816</v>
      </c>
      <c r="V4858" s="197">
        <v>872.17287471046143</v>
      </c>
    </row>
    <row r="4859" spans="21:22">
      <c r="U4859">
        <v>4817</v>
      </c>
      <c r="V4859" s="197">
        <v>-1596.2342466480591</v>
      </c>
    </row>
    <row r="4860" spans="21:22">
      <c r="U4860">
        <v>4818</v>
      </c>
      <c r="V4860" s="197">
        <v>-424.55026105005555</v>
      </c>
    </row>
    <row r="4861" spans="21:22">
      <c r="U4861">
        <v>4819</v>
      </c>
      <c r="V4861" s="197">
        <v>-1194.5717965912145</v>
      </c>
    </row>
    <row r="4862" spans="21:22">
      <c r="U4862">
        <v>4820</v>
      </c>
      <c r="V4862" s="197">
        <v>-187.6067434175115</v>
      </c>
    </row>
    <row r="4863" spans="21:22">
      <c r="U4863">
        <v>4821</v>
      </c>
      <c r="V4863" s="197">
        <v>-766.46324549788437</v>
      </c>
    </row>
    <row r="4864" spans="21:22">
      <c r="U4864">
        <v>4822</v>
      </c>
      <c r="V4864" s="197">
        <v>291.55988027938099</v>
      </c>
    </row>
    <row r="4865" spans="21:22">
      <c r="U4865">
        <v>4823</v>
      </c>
      <c r="V4865" s="197">
        <v>-1027.7611839172173</v>
      </c>
    </row>
    <row r="4866" spans="21:22">
      <c r="U4866">
        <v>4824</v>
      </c>
      <c r="V4866" s="197">
        <v>-1343.1933023461042</v>
      </c>
    </row>
    <row r="4867" spans="21:22">
      <c r="U4867">
        <v>4825</v>
      </c>
      <c r="V4867" s="197">
        <v>527.84793334344135</v>
      </c>
    </row>
    <row r="4868" spans="21:22">
      <c r="U4868">
        <v>4826</v>
      </c>
      <c r="V4868" s="197">
        <v>-1431.0858311122356</v>
      </c>
    </row>
    <row r="4869" spans="21:22">
      <c r="U4869">
        <v>4827</v>
      </c>
      <c r="V4869" s="197">
        <v>2354.2120068183426</v>
      </c>
    </row>
    <row r="4870" spans="21:22">
      <c r="U4870">
        <v>4828</v>
      </c>
      <c r="V4870" s="197">
        <v>541.47552913228969</v>
      </c>
    </row>
    <row r="4871" spans="21:22">
      <c r="U4871">
        <v>4829</v>
      </c>
      <c r="V4871" s="197">
        <v>786.0393349924268</v>
      </c>
    </row>
    <row r="4872" spans="21:22">
      <c r="U4872">
        <v>4830</v>
      </c>
      <c r="V4872" s="197">
        <v>36.096599578789167</v>
      </c>
    </row>
    <row r="4873" spans="21:22">
      <c r="U4873">
        <v>4831</v>
      </c>
      <c r="V4873" s="197">
        <v>-843.41649973485733</v>
      </c>
    </row>
    <row r="4874" spans="21:22">
      <c r="U4874">
        <v>4832</v>
      </c>
      <c r="V4874" s="197">
        <v>1266.0121436934078</v>
      </c>
    </row>
    <row r="4875" spans="21:22">
      <c r="U4875">
        <v>4833</v>
      </c>
      <c r="V4875" s="197">
        <v>-1196.0730736710216</v>
      </c>
    </row>
    <row r="4876" spans="21:22">
      <c r="U4876">
        <v>4834</v>
      </c>
      <c r="V4876" s="197">
        <v>-10.470005816097455</v>
      </c>
    </row>
    <row r="4877" spans="21:22">
      <c r="U4877">
        <v>4835</v>
      </c>
      <c r="V4877" s="197">
        <v>363.12579642246772</v>
      </c>
    </row>
    <row r="4878" spans="21:22">
      <c r="U4878">
        <v>4836</v>
      </c>
      <c r="V4878" s="197">
        <v>837.3158748299627</v>
      </c>
    </row>
    <row r="4879" spans="21:22">
      <c r="U4879">
        <v>4837</v>
      </c>
      <c r="V4879" s="197">
        <v>2120.8242256607941</v>
      </c>
    </row>
    <row r="4880" spans="21:22">
      <c r="U4880">
        <v>4838</v>
      </c>
      <c r="V4880" s="197">
        <v>-2331.7244875532865</v>
      </c>
    </row>
    <row r="4881" spans="21:22">
      <c r="U4881">
        <v>4839</v>
      </c>
      <c r="V4881" s="197">
        <v>-282.21241391098511</v>
      </c>
    </row>
    <row r="4882" spans="21:22">
      <c r="U4882">
        <v>4840</v>
      </c>
      <c r="V4882" s="197">
        <v>-292.34305161145699</v>
      </c>
    </row>
    <row r="4883" spans="21:22">
      <c r="U4883">
        <v>4841</v>
      </c>
      <c r="V4883" s="197">
        <v>-2608.6240704607922</v>
      </c>
    </row>
    <row r="4884" spans="21:22">
      <c r="U4884">
        <v>4842</v>
      </c>
      <c r="V4884" s="197">
        <v>1921.5648992866784</v>
      </c>
    </row>
    <row r="4885" spans="21:22">
      <c r="U4885">
        <v>4843</v>
      </c>
      <c r="V4885" s="197">
        <v>-375.10542895342957</v>
      </c>
    </row>
    <row r="4886" spans="21:22">
      <c r="U4886">
        <v>4844</v>
      </c>
      <c r="V4886" s="197">
        <v>-972.0805364463381</v>
      </c>
    </row>
    <row r="4887" spans="21:22">
      <c r="U4887">
        <v>4845</v>
      </c>
      <c r="V4887" s="197">
        <v>-77.745007893273339</v>
      </c>
    </row>
    <row r="4888" spans="21:22">
      <c r="U4888">
        <v>4846</v>
      </c>
      <c r="V4888" s="197">
        <v>-1264.0336072178879</v>
      </c>
    </row>
    <row r="4889" spans="21:22">
      <c r="U4889">
        <v>4847</v>
      </c>
      <c r="V4889" s="197">
        <v>289.42186970170843</v>
      </c>
    </row>
    <row r="4890" spans="21:22">
      <c r="U4890">
        <v>4848</v>
      </c>
      <c r="V4890" s="197">
        <v>-1326.1878905554302</v>
      </c>
    </row>
    <row r="4891" spans="21:22">
      <c r="U4891">
        <v>4849</v>
      </c>
      <c r="V4891" s="197">
        <v>-1943.0872861135717</v>
      </c>
    </row>
    <row r="4892" spans="21:22">
      <c r="U4892">
        <v>4850</v>
      </c>
      <c r="V4892" s="197">
        <v>-1361.5610208885828</v>
      </c>
    </row>
    <row r="4893" spans="21:22">
      <c r="U4893">
        <v>4851</v>
      </c>
      <c r="V4893" s="197">
        <v>-1233.9970975169786</v>
      </c>
    </row>
    <row r="4894" spans="21:22">
      <c r="U4894">
        <v>4852</v>
      </c>
      <c r="V4894" s="197">
        <v>1533.9567459501475</v>
      </c>
    </row>
    <row r="4895" spans="21:22">
      <c r="U4895">
        <v>4853</v>
      </c>
      <c r="V4895" s="197">
        <v>946.44544603424993</v>
      </c>
    </row>
    <row r="4896" spans="21:22">
      <c r="U4896">
        <v>4854</v>
      </c>
      <c r="V4896" s="197">
        <v>1118.327853363201</v>
      </c>
    </row>
    <row r="4897" spans="21:22">
      <c r="U4897">
        <v>4855</v>
      </c>
      <c r="V4897" s="197">
        <v>-750.07644559262917</v>
      </c>
    </row>
    <row r="4898" spans="21:22">
      <c r="U4898">
        <v>4856</v>
      </c>
      <c r="V4898" s="197">
        <v>-1424.277679542176</v>
      </c>
    </row>
    <row r="4899" spans="21:22">
      <c r="U4899">
        <v>4857</v>
      </c>
      <c r="V4899" s="197">
        <v>1682.1655729188326</v>
      </c>
    </row>
    <row r="4900" spans="21:22">
      <c r="U4900">
        <v>4858</v>
      </c>
      <c r="V4900" s="197">
        <v>1131.8308703627067</v>
      </c>
    </row>
    <row r="4901" spans="21:22">
      <c r="U4901">
        <v>4859</v>
      </c>
      <c r="V4901" s="197">
        <v>470.17720238860232</v>
      </c>
    </row>
    <row r="4902" spans="21:22">
      <c r="U4902">
        <v>4860</v>
      </c>
      <c r="V4902" s="197">
        <v>672.10927576239737</v>
      </c>
    </row>
    <row r="4903" spans="21:22">
      <c r="U4903">
        <v>4861</v>
      </c>
      <c r="V4903" s="197">
        <v>267.53754212501565</v>
      </c>
    </row>
    <row r="4904" spans="21:22">
      <c r="U4904">
        <v>4862</v>
      </c>
      <c r="V4904" s="197">
        <v>70.086441814427971</v>
      </c>
    </row>
    <row r="4905" spans="21:22">
      <c r="U4905">
        <v>4863</v>
      </c>
      <c r="V4905" s="197">
        <v>935.63727819520477</v>
      </c>
    </row>
    <row r="4906" spans="21:22">
      <c r="U4906">
        <v>4864</v>
      </c>
      <c r="V4906" s="197">
        <v>854.59591186139869</v>
      </c>
    </row>
    <row r="4907" spans="21:22">
      <c r="U4907">
        <v>4865</v>
      </c>
      <c r="V4907" s="197">
        <v>748.89412978023597</v>
      </c>
    </row>
    <row r="4908" spans="21:22">
      <c r="U4908">
        <v>4866</v>
      </c>
      <c r="V4908" s="197">
        <v>-449.18305762612505</v>
      </c>
    </row>
    <row r="4909" spans="21:22">
      <c r="U4909">
        <v>4867</v>
      </c>
      <c r="V4909" s="197">
        <v>532.87758062079092</v>
      </c>
    </row>
    <row r="4910" spans="21:22">
      <c r="U4910">
        <v>4868</v>
      </c>
      <c r="V4910" s="197">
        <v>-903.80213002106143</v>
      </c>
    </row>
    <row r="4911" spans="21:22">
      <c r="U4911">
        <v>4869</v>
      </c>
      <c r="V4911" s="197">
        <v>-258.21406764545878</v>
      </c>
    </row>
    <row r="4912" spans="21:22">
      <c r="U4912">
        <v>4870</v>
      </c>
      <c r="V4912" s="197">
        <v>1026.9068859058495</v>
      </c>
    </row>
    <row r="4913" spans="21:22">
      <c r="U4913">
        <v>4871</v>
      </c>
      <c r="V4913" s="197">
        <v>283.01075524277405</v>
      </c>
    </row>
    <row r="4914" spans="21:22">
      <c r="U4914">
        <v>4872</v>
      </c>
      <c r="V4914" s="197">
        <v>587.34007651072977</v>
      </c>
    </row>
    <row r="4915" spans="21:22">
      <c r="U4915">
        <v>4873</v>
      </c>
      <c r="V4915" s="197">
        <v>385.10300690726314</v>
      </c>
    </row>
    <row r="4916" spans="21:22">
      <c r="U4916">
        <v>4874</v>
      </c>
      <c r="V4916" s="197">
        <v>1201.9440080259155</v>
      </c>
    </row>
    <row r="4917" spans="21:22">
      <c r="U4917">
        <v>4875</v>
      </c>
      <c r="V4917" s="197">
        <v>-1100.8770106483257</v>
      </c>
    </row>
    <row r="4918" spans="21:22">
      <c r="U4918">
        <v>4876</v>
      </c>
      <c r="V4918" s="197">
        <v>-830.82553654887465</v>
      </c>
    </row>
    <row r="4919" spans="21:22">
      <c r="U4919">
        <v>4877</v>
      </c>
      <c r="V4919" s="197">
        <v>-743.84064029424235</v>
      </c>
    </row>
    <row r="4920" spans="21:22">
      <c r="U4920">
        <v>4878</v>
      </c>
      <c r="V4920" s="197">
        <v>-904.57737835726903</v>
      </c>
    </row>
    <row r="4921" spans="21:22">
      <c r="U4921">
        <v>4879</v>
      </c>
      <c r="V4921" s="197">
        <v>1115.9864700981282</v>
      </c>
    </row>
    <row r="4922" spans="21:22">
      <c r="U4922">
        <v>4880</v>
      </c>
      <c r="V4922" s="197">
        <v>-1578.8066353374554</v>
      </c>
    </row>
    <row r="4923" spans="21:22">
      <c r="U4923">
        <v>4881</v>
      </c>
      <c r="V4923" s="197">
        <v>447.52277147476559</v>
      </c>
    </row>
    <row r="4924" spans="21:22">
      <c r="U4924">
        <v>4882</v>
      </c>
      <c r="V4924" s="197">
        <v>-2707.2707425330045</v>
      </c>
    </row>
    <row r="4925" spans="21:22">
      <c r="U4925">
        <v>4883</v>
      </c>
      <c r="V4925" s="197">
        <v>538.08417283699009</v>
      </c>
    </row>
    <row r="4926" spans="21:22">
      <c r="U4926">
        <v>4884</v>
      </c>
      <c r="V4926" s="197">
        <v>-501.07306270862233</v>
      </c>
    </row>
    <row r="4927" spans="21:22">
      <c r="U4927">
        <v>4885</v>
      </c>
      <c r="V4927" s="197">
        <v>-1254.4410614808028</v>
      </c>
    </row>
    <row r="4928" spans="21:22">
      <c r="U4928">
        <v>4886</v>
      </c>
      <c r="V4928" s="197">
        <v>-775.720798885965</v>
      </c>
    </row>
    <row r="4929" spans="21:22">
      <c r="U4929">
        <v>4887</v>
      </c>
      <c r="V4929" s="197">
        <v>1207.6837505564272</v>
      </c>
    </row>
    <row r="4930" spans="21:22">
      <c r="U4930">
        <v>4888</v>
      </c>
      <c r="V4930" s="197">
        <v>912.9904203663782</v>
      </c>
    </row>
    <row r="4931" spans="21:22">
      <c r="U4931">
        <v>4889</v>
      </c>
      <c r="V4931" s="197">
        <v>1630.0657074833184</v>
      </c>
    </row>
    <row r="4932" spans="21:22">
      <c r="U4932">
        <v>4890</v>
      </c>
      <c r="V4932" s="197">
        <v>1358.0129304044822</v>
      </c>
    </row>
    <row r="4933" spans="21:22">
      <c r="U4933">
        <v>4891</v>
      </c>
      <c r="V4933" s="197">
        <v>1536.2090705652272</v>
      </c>
    </row>
    <row r="4934" spans="21:22">
      <c r="U4934">
        <v>4892</v>
      </c>
      <c r="V4934" s="197">
        <v>-123.82292926256824</v>
      </c>
    </row>
    <row r="4935" spans="21:22">
      <c r="U4935">
        <v>4893</v>
      </c>
      <c r="V4935" s="197">
        <v>1077.014359738884</v>
      </c>
    </row>
    <row r="4936" spans="21:22">
      <c r="U4936">
        <v>4894</v>
      </c>
      <c r="V4936" s="197">
        <v>-1384.0080428763542</v>
      </c>
    </row>
    <row r="4937" spans="21:22">
      <c r="U4937">
        <v>4895</v>
      </c>
      <c r="V4937" s="197">
        <v>-616.40681844369851</v>
      </c>
    </row>
    <row r="4938" spans="21:22">
      <c r="U4938">
        <v>4896</v>
      </c>
      <c r="V4938" s="197">
        <v>-1072.5828472640983</v>
      </c>
    </row>
    <row r="4939" spans="21:22">
      <c r="U4939">
        <v>4897</v>
      </c>
      <c r="V4939" s="197">
        <v>700.21361934819333</v>
      </c>
    </row>
    <row r="4940" spans="21:22">
      <c r="U4940">
        <v>4898</v>
      </c>
      <c r="V4940" s="197">
        <v>-522.3980598796245</v>
      </c>
    </row>
    <row r="4941" spans="21:22">
      <c r="U4941">
        <v>4899</v>
      </c>
      <c r="V4941" s="197">
        <v>246.12240978425095</v>
      </c>
    </row>
    <row r="4942" spans="21:22">
      <c r="U4942">
        <v>4900</v>
      </c>
      <c r="V4942" s="197">
        <v>410.34169414632129</v>
      </c>
    </row>
    <row r="4943" spans="21:22">
      <c r="U4943">
        <v>4901</v>
      </c>
      <c r="V4943" s="197">
        <v>2076.7376307141917</v>
      </c>
    </row>
    <row r="4944" spans="21:22">
      <c r="U4944">
        <v>4902</v>
      </c>
      <c r="V4944" s="197">
        <v>1157.0425043791306</v>
      </c>
    </row>
    <row r="4945" spans="21:22">
      <c r="U4945">
        <v>4903</v>
      </c>
      <c r="V4945" s="197">
        <v>-474.72263322835687</v>
      </c>
    </row>
    <row r="4946" spans="21:22">
      <c r="U4946">
        <v>4904</v>
      </c>
      <c r="V4946" s="197">
        <v>508.64679507902446</v>
      </c>
    </row>
    <row r="4947" spans="21:22">
      <c r="U4947">
        <v>4905</v>
      </c>
      <c r="V4947" s="197">
        <v>1821.5922267529684</v>
      </c>
    </row>
    <row r="4948" spans="21:22">
      <c r="U4948">
        <v>4906</v>
      </c>
      <c r="V4948" s="197">
        <v>593.65408684910312</v>
      </c>
    </row>
    <row r="4949" spans="21:22">
      <c r="U4949">
        <v>4907</v>
      </c>
      <c r="V4949" s="197">
        <v>-366.82768182147652</v>
      </c>
    </row>
    <row r="4950" spans="21:22">
      <c r="U4950">
        <v>4908</v>
      </c>
      <c r="V4950" s="197">
        <v>121.25788952598604</v>
      </c>
    </row>
    <row r="4951" spans="21:22">
      <c r="U4951">
        <v>4909</v>
      </c>
      <c r="V4951" s="197">
        <v>-749.63350766513986</v>
      </c>
    </row>
    <row r="4952" spans="21:22">
      <c r="U4952">
        <v>4910</v>
      </c>
      <c r="V4952" s="197">
        <v>1387.7167051339288</v>
      </c>
    </row>
    <row r="4953" spans="21:22">
      <c r="U4953">
        <v>4911</v>
      </c>
      <c r="V4953" s="197">
        <v>393.70361494492306</v>
      </c>
    </row>
    <row r="4954" spans="21:22">
      <c r="U4954">
        <v>4912</v>
      </c>
      <c r="V4954" s="197">
        <v>1067.8496637804528</v>
      </c>
    </row>
    <row r="4955" spans="21:22">
      <c r="U4955">
        <v>4913</v>
      </c>
      <c r="V4955" s="197">
        <v>636.84916537952245</v>
      </c>
    </row>
    <row r="4956" spans="21:22">
      <c r="U4956">
        <v>4914</v>
      </c>
      <c r="V4956" s="197">
        <v>1071.6617907144785</v>
      </c>
    </row>
    <row r="4957" spans="21:22">
      <c r="U4957">
        <v>4915</v>
      </c>
      <c r="V4957" s="197">
        <v>-1099.1321331786812</v>
      </c>
    </row>
    <row r="4958" spans="21:22">
      <c r="U4958">
        <v>4916</v>
      </c>
      <c r="V4958" s="197">
        <v>1602.7171024939678</v>
      </c>
    </row>
    <row r="4959" spans="21:22">
      <c r="U4959">
        <v>4917</v>
      </c>
      <c r="V4959" s="197">
        <v>729.98526063011604</v>
      </c>
    </row>
    <row r="4960" spans="21:22">
      <c r="U4960">
        <v>4918</v>
      </c>
      <c r="V4960" s="197">
        <v>606.03924803162261</v>
      </c>
    </row>
    <row r="4961" spans="21:22">
      <c r="U4961">
        <v>4919</v>
      </c>
      <c r="V4961" s="197">
        <v>517.58464979037035</v>
      </c>
    </row>
    <row r="4962" spans="21:22">
      <c r="U4962">
        <v>4920</v>
      </c>
      <c r="V4962" s="197">
        <v>-1128.8405681931113</v>
      </c>
    </row>
    <row r="4963" spans="21:22">
      <c r="U4963">
        <v>4921</v>
      </c>
      <c r="V4963" s="197">
        <v>598.97822264224556</v>
      </c>
    </row>
    <row r="4964" spans="21:22">
      <c r="U4964">
        <v>4922</v>
      </c>
      <c r="V4964" s="197">
        <v>-1591.9576636595455</v>
      </c>
    </row>
    <row r="4965" spans="21:22">
      <c r="U4965">
        <v>4923</v>
      </c>
      <c r="V4965" s="197">
        <v>-21.118701690874076</v>
      </c>
    </row>
    <row r="4966" spans="21:22">
      <c r="U4966">
        <v>4924</v>
      </c>
      <c r="V4966" s="197">
        <v>-506.07296262062249</v>
      </c>
    </row>
    <row r="4967" spans="21:22">
      <c r="U4967">
        <v>4925</v>
      </c>
      <c r="V4967" s="197">
        <v>-1066.7306084997329</v>
      </c>
    </row>
    <row r="4968" spans="21:22">
      <c r="U4968">
        <v>4926</v>
      </c>
      <c r="V4968" s="197">
        <v>107.379550600768</v>
      </c>
    </row>
    <row r="4969" spans="21:22">
      <c r="U4969">
        <v>4927</v>
      </c>
      <c r="V4969" s="197">
        <v>570.34918678471888</v>
      </c>
    </row>
    <row r="4970" spans="21:22">
      <c r="U4970">
        <v>4928</v>
      </c>
      <c r="V4970" s="197">
        <v>2122.4554021918811</v>
      </c>
    </row>
    <row r="4971" spans="21:22">
      <c r="U4971">
        <v>4929</v>
      </c>
      <c r="V4971" s="197">
        <v>-605.74224307505847</v>
      </c>
    </row>
    <row r="4972" spans="21:22">
      <c r="U4972">
        <v>4930</v>
      </c>
      <c r="V4972" s="197">
        <v>-1801.9672437553447</v>
      </c>
    </row>
    <row r="4973" spans="21:22">
      <c r="U4973">
        <v>4931</v>
      </c>
      <c r="V4973" s="197">
        <v>-291.86145114451318</v>
      </c>
    </row>
    <row r="4974" spans="21:22">
      <c r="U4974">
        <v>4932</v>
      </c>
      <c r="V4974" s="197">
        <v>-716.13574465214447</v>
      </c>
    </row>
    <row r="4975" spans="21:22">
      <c r="U4975">
        <v>4933</v>
      </c>
      <c r="V4975" s="197">
        <v>651.33841991685858</v>
      </c>
    </row>
    <row r="4976" spans="21:22">
      <c r="U4976">
        <v>4934</v>
      </c>
      <c r="V4976" s="197">
        <v>839.21002782836285</v>
      </c>
    </row>
    <row r="4977" spans="21:22">
      <c r="U4977">
        <v>4935</v>
      </c>
      <c r="V4977" s="197">
        <v>299.23422120399721</v>
      </c>
    </row>
    <row r="4978" spans="21:22">
      <c r="U4978">
        <v>4936</v>
      </c>
      <c r="V4978" s="197">
        <v>-852.3121282569316</v>
      </c>
    </row>
    <row r="4979" spans="21:22">
      <c r="U4979">
        <v>4937</v>
      </c>
      <c r="V4979" s="197">
        <v>-1740.2129724577201</v>
      </c>
    </row>
    <row r="4980" spans="21:22">
      <c r="U4980">
        <v>4938</v>
      </c>
      <c r="V4980" s="197">
        <v>-245.08275727539046</v>
      </c>
    </row>
    <row r="4981" spans="21:22">
      <c r="U4981">
        <v>4939</v>
      </c>
      <c r="V4981" s="197">
        <v>1071.4529691027362</v>
      </c>
    </row>
    <row r="4982" spans="21:22">
      <c r="U4982">
        <v>4940</v>
      </c>
      <c r="V4982" s="197">
        <v>366.6006792328036</v>
      </c>
    </row>
    <row r="4983" spans="21:22">
      <c r="U4983">
        <v>4941</v>
      </c>
      <c r="V4983" s="197">
        <v>-13.132471633619232</v>
      </c>
    </row>
    <row r="4984" spans="21:22">
      <c r="U4984">
        <v>4942</v>
      </c>
      <c r="V4984" s="197">
        <v>586.29089715561599</v>
      </c>
    </row>
    <row r="4985" spans="21:22">
      <c r="U4985">
        <v>4943</v>
      </c>
      <c r="V4985" s="197">
        <v>1927.005086381625</v>
      </c>
    </row>
    <row r="4986" spans="21:22">
      <c r="U4986">
        <v>4944</v>
      </c>
      <c r="V4986" s="197">
        <v>1000.055429490496</v>
      </c>
    </row>
    <row r="4987" spans="21:22">
      <c r="U4987">
        <v>4945</v>
      </c>
      <c r="V4987" s="197">
        <v>573.08161703537326</v>
      </c>
    </row>
    <row r="4988" spans="21:22">
      <c r="U4988">
        <v>4946</v>
      </c>
      <c r="V4988" s="197">
        <v>-963.02451627518303</v>
      </c>
    </row>
    <row r="4989" spans="21:22">
      <c r="U4989">
        <v>4947</v>
      </c>
      <c r="V4989" s="197">
        <v>124.12352057708216</v>
      </c>
    </row>
    <row r="4990" spans="21:22">
      <c r="U4990">
        <v>4948</v>
      </c>
      <c r="V4990" s="197">
        <v>1323.8395558867123</v>
      </c>
    </row>
    <row r="4991" spans="21:22">
      <c r="U4991">
        <v>4949</v>
      </c>
      <c r="V4991" s="197">
        <v>720.2374360697645</v>
      </c>
    </row>
    <row r="4992" spans="21:22">
      <c r="U4992">
        <v>4950</v>
      </c>
      <c r="V4992" s="197">
        <v>-310.41622654799119</v>
      </c>
    </row>
    <row r="4993" spans="21:22">
      <c r="U4993">
        <v>4951</v>
      </c>
      <c r="V4993" s="197">
        <v>-2012.6853140260557</v>
      </c>
    </row>
    <row r="4994" spans="21:22">
      <c r="U4994">
        <v>4952</v>
      </c>
      <c r="V4994" s="197">
        <v>-386.32122076532755</v>
      </c>
    </row>
    <row r="4995" spans="21:22">
      <c r="U4995">
        <v>4953</v>
      </c>
      <c r="V4995" s="197">
        <v>-470.91572430918808</v>
      </c>
    </row>
    <row r="4996" spans="21:22">
      <c r="U4996">
        <v>4954</v>
      </c>
      <c r="V4996" s="197">
        <v>-1071.612371386233</v>
      </c>
    </row>
    <row r="4997" spans="21:22">
      <c r="U4997">
        <v>4955</v>
      </c>
      <c r="V4997" s="197">
        <v>-663.15875209584874</v>
      </c>
    </row>
    <row r="4998" spans="21:22">
      <c r="U4998">
        <v>4956</v>
      </c>
      <c r="V4998" s="197">
        <v>-971.21527931662081</v>
      </c>
    </row>
    <row r="4999" spans="21:22">
      <c r="U4999">
        <v>4957</v>
      </c>
      <c r="V4999" s="197">
        <v>1509.446111505971</v>
      </c>
    </row>
    <row r="5000" spans="21:22">
      <c r="U5000">
        <v>4958</v>
      </c>
      <c r="V5000" s="197">
        <v>1451.1001138124916</v>
      </c>
    </row>
    <row r="5001" spans="21:22">
      <c r="U5001">
        <v>4959</v>
      </c>
      <c r="V5001" s="197">
        <v>545.51298318337024</v>
      </c>
    </row>
    <row r="5002" spans="21:22">
      <c r="U5002">
        <v>4960</v>
      </c>
      <c r="V5002" s="197">
        <v>-320.93961800779527</v>
      </c>
    </row>
    <row r="5003" spans="21:22">
      <c r="U5003">
        <v>4961</v>
      </c>
      <c r="V5003" s="197">
        <v>-534.51287539955661</v>
      </c>
    </row>
    <row r="5004" spans="21:22">
      <c r="U5004">
        <v>4962</v>
      </c>
      <c r="V5004" s="197">
        <v>1731.315371232314</v>
      </c>
    </row>
    <row r="5005" spans="21:22">
      <c r="U5005">
        <v>4963</v>
      </c>
      <c r="V5005" s="197">
        <v>-872.94923889181314</v>
      </c>
    </row>
    <row r="5006" spans="21:22">
      <c r="U5006">
        <v>4964</v>
      </c>
      <c r="V5006" s="197">
        <v>-82.496636024101093</v>
      </c>
    </row>
    <row r="5007" spans="21:22">
      <c r="U5007">
        <v>4965</v>
      </c>
      <c r="V5007" s="197">
        <v>-486.97992301264929</v>
      </c>
    </row>
    <row r="5008" spans="21:22">
      <c r="U5008">
        <v>4966</v>
      </c>
      <c r="V5008" s="197">
        <v>425.7329006247603</v>
      </c>
    </row>
    <row r="5009" spans="21:22">
      <c r="U5009">
        <v>4967</v>
      </c>
      <c r="V5009" s="197">
        <v>74.493055550538372</v>
      </c>
    </row>
    <row r="5010" spans="21:22">
      <c r="U5010">
        <v>4968</v>
      </c>
      <c r="V5010" s="197">
        <v>1416.814699567688</v>
      </c>
    </row>
    <row r="5011" spans="21:22">
      <c r="U5011">
        <v>4969</v>
      </c>
      <c r="V5011" s="197">
        <v>875.80254275023503</v>
      </c>
    </row>
    <row r="5012" spans="21:22">
      <c r="U5012">
        <v>4970</v>
      </c>
      <c r="V5012" s="197">
        <v>-642.995427444303</v>
      </c>
    </row>
    <row r="5013" spans="21:22">
      <c r="U5013">
        <v>4971</v>
      </c>
      <c r="V5013" s="197">
        <v>-352.83376915689598</v>
      </c>
    </row>
    <row r="5014" spans="21:22">
      <c r="U5014">
        <v>4972</v>
      </c>
      <c r="V5014" s="197">
        <v>328.38507840384068</v>
      </c>
    </row>
    <row r="5015" spans="21:22">
      <c r="U5015">
        <v>4973</v>
      </c>
      <c r="V5015" s="197">
        <v>6.0211051341230331</v>
      </c>
    </row>
    <row r="5016" spans="21:22">
      <c r="U5016">
        <v>4974</v>
      </c>
      <c r="V5016" s="197">
        <v>607.25904960517437</v>
      </c>
    </row>
    <row r="5017" spans="21:22">
      <c r="U5017">
        <v>4975</v>
      </c>
      <c r="V5017" s="197">
        <v>-313.19675869967222</v>
      </c>
    </row>
    <row r="5018" spans="21:22">
      <c r="U5018">
        <v>4976</v>
      </c>
      <c r="V5018" s="197">
        <v>974.39588512103774</v>
      </c>
    </row>
    <row r="5019" spans="21:22">
      <c r="U5019">
        <v>4977</v>
      </c>
      <c r="V5019" s="197">
        <v>-491.11588367074995</v>
      </c>
    </row>
    <row r="5020" spans="21:22">
      <c r="U5020">
        <v>4978</v>
      </c>
      <c r="V5020" s="197">
        <v>1225.9579318539761</v>
      </c>
    </row>
    <row r="5021" spans="21:22">
      <c r="U5021">
        <v>4979</v>
      </c>
      <c r="V5021" s="197">
        <v>-339.37867883137596</v>
      </c>
    </row>
    <row r="5022" spans="21:22">
      <c r="U5022">
        <v>4980</v>
      </c>
      <c r="V5022" s="197">
        <v>491.84331581542364</v>
      </c>
    </row>
    <row r="5023" spans="21:22">
      <c r="U5023">
        <v>4981</v>
      </c>
      <c r="V5023" s="197">
        <v>1576.0583787995565</v>
      </c>
    </row>
    <row r="5024" spans="21:22">
      <c r="U5024">
        <v>4982</v>
      </c>
      <c r="V5024" s="197">
        <v>2100.8932796653271</v>
      </c>
    </row>
    <row r="5025" spans="21:22">
      <c r="U5025">
        <v>4983</v>
      </c>
      <c r="V5025" s="197">
        <v>-1761.4158523724918</v>
      </c>
    </row>
    <row r="5026" spans="21:22">
      <c r="U5026">
        <v>4984</v>
      </c>
      <c r="V5026" s="197">
        <v>942.83732721323054</v>
      </c>
    </row>
    <row r="5027" spans="21:22">
      <c r="U5027">
        <v>4985</v>
      </c>
      <c r="V5027" s="197">
        <v>-122.51349225347096</v>
      </c>
    </row>
    <row r="5028" spans="21:22">
      <c r="U5028">
        <v>4986</v>
      </c>
      <c r="V5028" s="197">
        <v>-1440.6647579196715</v>
      </c>
    </row>
    <row r="5029" spans="21:22">
      <c r="U5029">
        <v>4987</v>
      </c>
      <c r="V5029" s="197">
        <v>-575.54585225959636</v>
      </c>
    </row>
    <row r="5030" spans="21:22">
      <c r="U5030">
        <v>4988</v>
      </c>
      <c r="V5030" s="197">
        <v>1122.4673112280664</v>
      </c>
    </row>
    <row r="5031" spans="21:22">
      <c r="U5031">
        <v>4989</v>
      </c>
      <c r="V5031" s="197">
        <v>1399.3137705717177</v>
      </c>
    </row>
    <row r="5032" spans="21:22">
      <c r="U5032">
        <v>4990</v>
      </c>
      <c r="V5032" s="197">
        <v>-278.39928171892484</v>
      </c>
    </row>
    <row r="5033" spans="21:22">
      <c r="U5033">
        <v>4991</v>
      </c>
      <c r="V5033" s="197">
        <v>195.22955815196741</v>
      </c>
    </row>
    <row r="5034" spans="21:22">
      <c r="U5034">
        <v>4992</v>
      </c>
      <c r="V5034" s="197">
        <v>676.8217004923099</v>
      </c>
    </row>
    <row r="5035" spans="21:22">
      <c r="U5035">
        <v>4993</v>
      </c>
      <c r="V5035" s="197">
        <v>-234.78846127700683</v>
      </c>
    </row>
    <row r="5036" spans="21:22">
      <c r="U5036">
        <v>4994</v>
      </c>
      <c r="V5036" s="197">
        <v>-988.27022354797327</v>
      </c>
    </row>
    <row r="5037" spans="21:22">
      <c r="U5037">
        <v>4995</v>
      </c>
      <c r="V5037" s="197">
        <v>-200.30189986961881</v>
      </c>
    </row>
    <row r="5038" spans="21:22">
      <c r="U5038">
        <v>4996</v>
      </c>
      <c r="V5038" s="197">
        <v>-1037.9242964223884</v>
      </c>
    </row>
    <row r="5039" spans="21:22">
      <c r="U5039">
        <v>4997</v>
      </c>
      <c r="V5039" s="197">
        <v>989.19955646529115</v>
      </c>
    </row>
    <row r="5040" spans="21:22">
      <c r="U5040">
        <v>4998</v>
      </c>
      <c r="V5040" s="197">
        <v>-762.83567385958645</v>
      </c>
    </row>
    <row r="5041" spans="21:22">
      <c r="U5041">
        <v>4999</v>
      </c>
      <c r="V5041" s="197">
        <v>747.74237930007143</v>
      </c>
    </row>
    <row r="5042" spans="21:22">
      <c r="U5042">
        <v>5000</v>
      </c>
      <c r="V5042" s="197">
        <v>404.81234718934996</v>
      </c>
    </row>
    <row r="5043" spans="21:22">
      <c r="U5043">
        <v>5001</v>
      </c>
      <c r="V5043" s="197">
        <v>-418.8990763518006</v>
      </c>
    </row>
    <row r="5044" spans="21:22">
      <c r="U5044">
        <v>5002</v>
      </c>
      <c r="V5044" s="197">
        <v>-1359.9258697913288</v>
      </c>
    </row>
    <row r="5045" spans="21:22">
      <c r="U5045">
        <v>5003</v>
      </c>
      <c r="V5045" s="197">
        <v>-1007.0687709073691</v>
      </c>
    </row>
    <row r="5046" spans="21:22">
      <c r="U5046">
        <v>5004</v>
      </c>
      <c r="V5046" s="197">
        <v>-1344.4230474158269</v>
      </c>
    </row>
    <row r="5047" spans="21:22">
      <c r="U5047">
        <v>5005</v>
      </c>
      <c r="V5047" s="197">
        <v>1504.8503450426997</v>
      </c>
    </row>
    <row r="5048" spans="21:22">
      <c r="U5048">
        <v>5006</v>
      </c>
      <c r="V5048" s="197">
        <v>346.81181326484807</v>
      </c>
    </row>
    <row r="5049" spans="21:22">
      <c r="U5049">
        <v>5007</v>
      </c>
      <c r="V5049" s="197">
        <v>-382.93665759280623</v>
      </c>
    </row>
    <row r="5050" spans="21:22">
      <c r="U5050">
        <v>5008</v>
      </c>
      <c r="V5050" s="197">
        <v>381.83538204290647</v>
      </c>
    </row>
    <row r="5051" spans="21:22">
      <c r="U5051">
        <v>5009</v>
      </c>
      <c r="V5051" s="197">
        <v>269.74745081449709</v>
      </c>
    </row>
    <row r="5052" spans="21:22">
      <c r="U5052">
        <v>5010</v>
      </c>
      <c r="V5052" s="197">
        <v>1800.8426834988227</v>
      </c>
    </row>
    <row r="5053" spans="21:22">
      <c r="U5053">
        <v>5011</v>
      </c>
      <c r="V5053" s="197">
        <v>112.70437983766737</v>
      </c>
    </row>
    <row r="5054" spans="21:22">
      <c r="U5054">
        <v>5012</v>
      </c>
      <c r="V5054" s="197">
        <v>-1513.2206122697178</v>
      </c>
    </row>
    <row r="5055" spans="21:22">
      <c r="U5055">
        <v>5013</v>
      </c>
      <c r="V5055" s="197">
        <v>749.23547480476304</v>
      </c>
    </row>
    <row r="5056" spans="21:22">
      <c r="U5056">
        <v>5014</v>
      </c>
      <c r="V5056" s="197">
        <v>717.17960504009989</v>
      </c>
    </row>
    <row r="5057" spans="21:22">
      <c r="U5057">
        <v>5015</v>
      </c>
      <c r="V5057" s="197">
        <v>418.98082624377611</v>
      </c>
    </row>
    <row r="5058" spans="21:22">
      <c r="U5058">
        <v>5016</v>
      </c>
      <c r="V5058" s="197">
        <v>-239.34997608663605</v>
      </c>
    </row>
    <row r="5059" spans="21:22">
      <c r="U5059">
        <v>5017</v>
      </c>
      <c r="V5059" s="197">
        <v>1387.4968450644221</v>
      </c>
    </row>
    <row r="5060" spans="21:22">
      <c r="U5060">
        <v>5018</v>
      </c>
      <c r="V5060" s="197">
        <v>212.83127206034197</v>
      </c>
    </row>
    <row r="5061" spans="21:22">
      <c r="U5061">
        <v>5019</v>
      </c>
      <c r="V5061" s="197">
        <v>-1305.8667405626309</v>
      </c>
    </row>
    <row r="5062" spans="21:22">
      <c r="U5062">
        <v>5020</v>
      </c>
      <c r="V5062" s="197">
        <v>-162.99895042000264</v>
      </c>
    </row>
    <row r="5063" spans="21:22">
      <c r="U5063">
        <v>5021</v>
      </c>
      <c r="V5063" s="197">
        <v>1190.638396396191</v>
      </c>
    </row>
    <row r="5064" spans="21:22">
      <c r="U5064">
        <v>5022</v>
      </c>
      <c r="V5064" s="197">
        <v>-149.08522138249802</v>
      </c>
    </row>
    <row r="5065" spans="21:22">
      <c r="U5065">
        <v>5023</v>
      </c>
      <c r="V5065" s="197">
        <v>929.95925462300215</v>
      </c>
    </row>
    <row r="5066" spans="21:22">
      <c r="U5066">
        <v>5024</v>
      </c>
      <c r="V5066" s="197">
        <v>-487.13745724025756</v>
      </c>
    </row>
    <row r="5067" spans="21:22">
      <c r="U5067">
        <v>5025</v>
      </c>
      <c r="V5067" s="197">
        <v>1786.0599286746753</v>
      </c>
    </row>
    <row r="5068" spans="21:22">
      <c r="U5068">
        <v>5026</v>
      </c>
      <c r="V5068" s="197">
        <v>105.67212128773662</v>
      </c>
    </row>
    <row r="5069" spans="21:22">
      <c r="U5069">
        <v>5027</v>
      </c>
      <c r="V5069" s="197">
        <v>562.18158308549459</v>
      </c>
    </row>
    <row r="5070" spans="21:22">
      <c r="U5070">
        <v>5028</v>
      </c>
      <c r="V5070" s="197">
        <v>-397.19228203169649</v>
      </c>
    </row>
    <row r="5071" spans="21:22">
      <c r="U5071">
        <v>5029</v>
      </c>
      <c r="V5071" s="197">
        <v>-2019.6747933581134</v>
      </c>
    </row>
    <row r="5072" spans="21:22">
      <c r="U5072">
        <v>5030</v>
      </c>
      <c r="V5072" s="197">
        <v>32.36737362572336</v>
      </c>
    </row>
    <row r="5073" spans="21:22">
      <c r="U5073">
        <v>5031</v>
      </c>
      <c r="V5073" s="197">
        <v>-487.05685987485668</v>
      </c>
    </row>
    <row r="5074" spans="21:22">
      <c r="U5074">
        <v>5032</v>
      </c>
      <c r="V5074" s="197">
        <v>875.97723444279291</v>
      </c>
    </row>
    <row r="5075" spans="21:22">
      <c r="U5075">
        <v>5033</v>
      </c>
      <c r="V5075" s="197">
        <v>514.91121418934176</v>
      </c>
    </row>
    <row r="5076" spans="21:22">
      <c r="U5076">
        <v>5034</v>
      </c>
      <c r="V5076" s="197">
        <v>-148.56036293828578</v>
      </c>
    </row>
    <row r="5077" spans="21:22">
      <c r="U5077">
        <v>5035</v>
      </c>
      <c r="V5077" s="197">
        <v>-510.49011466864221</v>
      </c>
    </row>
    <row r="5078" spans="21:22">
      <c r="U5078">
        <v>5036</v>
      </c>
      <c r="V5078" s="197">
        <v>262.26422942141892</v>
      </c>
    </row>
    <row r="5079" spans="21:22">
      <c r="U5079">
        <v>5037</v>
      </c>
      <c r="V5079" s="197">
        <v>782.59522433960797</v>
      </c>
    </row>
    <row r="5080" spans="21:22">
      <c r="U5080">
        <v>5038</v>
      </c>
      <c r="V5080" s="197">
        <v>-83.859631857327059</v>
      </c>
    </row>
    <row r="5081" spans="21:22">
      <c r="U5081">
        <v>5039</v>
      </c>
      <c r="V5081" s="197">
        <v>987.46509406798759</v>
      </c>
    </row>
    <row r="5082" spans="21:22">
      <c r="U5082">
        <v>5040</v>
      </c>
      <c r="V5082" s="197">
        <v>165.50423076038504</v>
      </c>
    </row>
    <row r="5083" spans="21:22">
      <c r="U5083">
        <v>5041</v>
      </c>
      <c r="V5083" s="197">
        <v>281.22172338398866</v>
      </c>
    </row>
    <row r="5084" spans="21:22">
      <c r="U5084">
        <v>5042</v>
      </c>
      <c r="V5084" s="197">
        <v>-606.05624051499535</v>
      </c>
    </row>
    <row r="5085" spans="21:22">
      <c r="U5085">
        <v>5043</v>
      </c>
      <c r="V5085" s="197">
        <v>330.46298509962435</v>
      </c>
    </row>
    <row r="5086" spans="21:22">
      <c r="U5086">
        <v>5044</v>
      </c>
      <c r="V5086" s="197">
        <v>293.21631411643284</v>
      </c>
    </row>
    <row r="5087" spans="21:22">
      <c r="U5087">
        <v>5045</v>
      </c>
      <c r="V5087" s="197">
        <v>-1633.7693623263631</v>
      </c>
    </row>
    <row r="5088" spans="21:22">
      <c r="U5088">
        <v>5046</v>
      </c>
      <c r="V5088" s="197">
        <v>416.6633329479186</v>
      </c>
    </row>
    <row r="5089" spans="21:22">
      <c r="U5089">
        <v>5047</v>
      </c>
      <c r="V5089" s="197">
        <v>1175.7596506337029</v>
      </c>
    </row>
    <row r="5090" spans="21:22">
      <c r="U5090">
        <v>5048</v>
      </c>
      <c r="V5090" s="197">
        <v>-1501.9144612923003</v>
      </c>
    </row>
    <row r="5091" spans="21:22">
      <c r="U5091">
        <v>5049</v>
      </c>
      <c r="V5091" s="197">
        <v>-171.86972421086512</v>
      </c>
    </row>
    <row r="5092" spans="21:22">
      <c r="U5092">
        <v>5050</v>
      </c>
      <c r="V5092" s="197">
        <v>-500.86284938349314</v>
      </c>
    </row>
    <row r="5093" spans="21:22">
      <c r="U5093">
        <v>5051</v>
      </c>
      <c r="V5093" s="197">
        <v>159.23000249289248</v>
      </c>
    </row>
    <row r="5094" spans="21:22">
      <c r="U5094">
        <v>5052</v>
      </c>
      <c r="V5094" s="197">
        <v>1918.3709123771082</v>
      </c>
    </row>
    <row r="5095" spans="21:22">
      <c r="U5095">
        <v>5053</v>
      </c>
      <c r="V5095" s="197">
        <v>904.85106588319263</v>
      </c>
    </row>
    <row r="5096" spans="21:22">
      <c r="U5096">
        <v>5054</v>
      </c>
      <c r="V5096" s="197">
        <v>172.48658646357049</v>
      </c>
    </row>
    <row r="5097" spans="21:22">
      <c r="U5097">
        <v>5055</v>
      </c>
      <c r="V5097" s="197">
        <v>2495.5849226938581</v>
      </c>
    </row>
    <row r="5098" spans="21:22">
      <c r="U5098">
        <v>5056</v>
      </c>
      <c r="V5098" s="197">
        <v>774.10998593833642</v>
      </c>
    </row>
    <row r="5099" spans="21:22">
      <c r="U5099">
        <v>5057</v>
      </c>
      <c r="V5099" s="197">
        <v>1392.6455797594101</v>
      </c>
    </row>
    <row r="5100" spans="21:22">
      <c r="U5100">
        <v>5058</v>
      </c>
      <c r="V5100" s="197">
        <v>-1636.0587446292982</v>
      </c>
    </row>
    <row r="5101" spans="21:22">
      <c r="U5101">
        <v>5059</v>
      </c>
      <c r="V5101" s="197">
        <v>877.84704367514996</v>
      </c>
    </row>
    <row r="5102" spans="21:22">
      <c r="U5102">
        <v>5060</v>
      </c>
      <c r="V5102" s="197">
        <v>889.22306577312816</v>
      </c>
    </row>
    <row r="5103" spans="21:22">
      <c r="U5103">
        <v>5061</v>
      </c>
      <c r="V5103" s="197">
        <v>491.47998974658452</v>
      </c>
    </row>
    <row r="5104" spans="21:22">
      <c r="U5104">
        <v>5062</v>
      </c>
      <c r="V5104" s="197">
        <v>699.89337354468557</v>
      </c>
    </row>
    <row r="5105" spans="21:22">
      <c r="U5105">
        <v>5063</v>
      </c>
      <c r="V5105" s="197">
        <v>281.26138140793574</v>
      </c>
    </row>
    <row r="5106" spans="21:22">
      <c r="U5106">
        <v>5064</v>
      </c>
      <c r="V5106" s="197">
        <v>-2096.5046595609915</v>
      </c>
    </row>
    <row r="5107" spans="21:22">
      <c r="U5107">
        <v>5065</v>
      </c>
      <c r="V5107" s="197">
        <v>271.32345715751262</v>
      </c>
    </row>
    <row r="5108" spans="21:22">
      <c r="U5108">
        <v>5066</v>
      </c>
      <c r="V5108" s="197">
        <v>1334.3781941423208</v>
      </c>
    </row>
    <row r="5109" spans="21:22">
      <c r="U5109">
        <v>5067</v>
      </c>
      <c r="V5109" s="197">
        <v>1166.3628694126044</v>
      </c>
    </row>
    <row r="5110" spans="21:22">
      <c r="U5110">
        <v>5068</v>
      </c>
      <c r="V5110" s="197">
        <v>1265.8223785763807</v>
      </c>
    </row>
    <row r="5111" spans="21:22">
      <c r="U5111">
        <v>5069</v>
      </c>
      <c r="V5111" s="197">
        <v>-358.74741960661021</v>
      </c>
    </row>
    <row r="5112" spans="21:22">
      <c r="U5112">
        <v>5070</v>
      </c>
      <c r="V5112" s="197">
        <v>-608.35794776493481</v>
      </c>
    </row>
    <row r="5113" spans="21:22">
      <c r="U5113">
        <v>5071</v>
      </c>
      <c r="V5113" s="197">
        <v>-1387.7764028556307</v>
      </c>
    </row>
    <row r="5114" spans="21:22">
      <c r="U5114">
        <v>5072</v>
      </c>
      <c r="V5114" s="197">
        <v>-875.21453719342844</v>
      </c>
    </row>
    <row r="5115" spans="21:22">
      <c r="U5115">
        <v>5073</v>
      </c>
      <c r="V5115" s="197">
        <v>2126.5405745386579</v>
      </c>
    </row>
    <row r="5116" spans="21:22">
      <c r="U5116">
        <v>5074</v>
      </c>
      <c r="V5116" s="197">
        <v>-516.10547067879543</v>
      </c>
    </row>
    <row r="5117" spans="21:22">
      <c r="U5117">
        <v>5075</v>
      </c>
      <c r="V5117" s="197">
        <v>-1383.5987143336165</v>
      </c>
    </row>
    <row r="5118" spans="21:22">
      <c r="U5118">
        <v>5076</v>
      </c>
      <c r="V5118" s="197">
        <v>-1808.8053500885094</v>
      </c>
    </row>
    <row r="5119" spans="21:22">
      <c r="U5119">
        <v>5077</v>
      </c>
      <c r="V5119" s="197">
        <v>382.07776213055399</v>
      </c>
    </row>
    <row r="5120" spans="21:22">
      <c r="U5120">
        <v>5078</v>
      </c>
      <c r="V5120" s="197">
        <v>-580.11148343946843</v>
      </c>
    </row>
    <row r="5121" spans="21:22">
      <c r="U5121">
        <v>5079</v>
      </c>
      <c r="V5121" s="197">
        <v>-1066.2242853778646</v>
      </c>
    </row>
    <row r="5122" spans="21:22">
      <c r="U5122">
        <v>5080</v>
      </c>
      <c r="V5122" s="197">
        <v>-214.87504805529534</v>
      </c>
    </row>
    <row r="5123" spans="21:22">
      <c r="U5123">
        <v>5081</v>
      </c>
      <c r="V5123" s="197">
        <v>1627.0766256059273</v>
      </c>
    </row>
    <row r="5124" spans="21:22">
      <c r="U5124">
        <v>5082</v>
      </c>
      <c r="V5124" s="197">
        <v>-492.67849517004589</v>
      </c>
    </row>
    <row r="5125" spans="21:22">
      <c r="U5125">
        <v>5083</v>
      </c>
      <c r="V5125" s="197">
        <v>-1473.5334439475716</v>
      </c>
    </row>
    <row r="5126" spans="21:22">
      <c r="U5126">
        <v>5084</v>
      </c>
      <c r="V5126" s="197">
        <v>-1063.5327802516399</v>
      </c>
    </row>
    <row r="5127" spans="21:22">
      <c r="U5127">
        <v>5085</v>
      </c>
      <c r="V5127" s="197">
        <v>197.59718145142926</v>
      </c>
    </row>
    <row r="5128" spans="21:22">
      <c r="U5128">
        <v>5086</v>
      </c>
      <c r="V5128" s="197">
        <v>-883.24173657671486</v>
      </c>
    </row>
    <row r="5129" spans="21:22">
      <c r="U5129">
        <v>5087</v>
      </c>
      <c r="V5129" s="197">
        <v>237.91305545024144</v>
      </c>
    </row>
    <row r="5130" spans="21:22">
      <c r="U5130">
        <v>5088</v>
      </c>
      <c r="V5130" s="197">
        <v>-205.22775582978625</v>
      </c>
    </row>
    <row r="5131" spans="21:22">
      <c r="U5131">
        <v>5089</v>
      </c>
      <c r="V5131" s="197">
        <v>-623.33355336896261</v>
      </c>
    </row>
    <row r="5132" spans="21:22">
      <c r="U5132">
        <v>5090</v>
      </c>
      <c r="V5132" s="197">
        <v>1473.0309336785604</v>
      </c>
    </row>
    <row r="5133" spans="21:22">
      <c r="U5133">
        <v>5091</v>
      </c>
      <c r="V5133" s="197">
        <v>-1094.4305852125317</v>
      </c>
    </row>
    <row r="5134" spans="21:22">
      <c r="U5134">
        <v>5092</v>
      </c>
      <c r="V5134" s="197">
        <v>1667.9430443305837</v>
      </c>
    </row>
    <row r="5135" spans="21:22">
      <c r="U5135">
        <v>5093</v>
      </c>
      <c r="V5135" s="197">
        <v>562.46887223010458</v>
      </c>
    </row>
    <row r="5136" spans="21:22">
      <c r="U5136">
        <v>5094</v>
      </c>
      <c r="V5136" s="197">
        <v>196.66387773170996</v>
      </c>
    </row>
    <row r="5137" spans="21:22">
      <c r="U5137">
        <v>5095</v>
      </c>
      <c r="V5137" s="197">
        <v>758.60572854444149</v>
      </c>
    </row>
    <row r="5138" spans="21:22">
      <c r="U5138">
        <v>5096</v>
      </c>
      <c r="V5138" s="197">
        <v>-215.07890556642946</v>
      </c>
    </row>
    <row r="5139" spans="21:22">
      <c r="U5139">
        <v>5097</v>
      </c>
      <c r="V5139" s="197">
        <v>324.82685653172467</v>
      </c>
    </row>
    <row r="5140" spans="21:22">
      <c r="U5140">
        <v>5098</v>
      </c>
      <c r="V5140" s="197">
        <v>281.17061095751075</v>
      </c>
    </row>
    <row r="5141" spans="21:22">
      <c r="U5141">
        <v>5099</v>
      </c>
      <c r="V5141" s="197">
        <v>247.71834481761266</v>
      </c>
    </row>
    <row r="5142" spans="21:22">
      <c r="U5142">
        <v>5100</v>
      </c>
      <c r="V5142" s="197">
        <v>-707.41481776002229</v>
      </c>
    </row>
    <row r="5143" spans="21:22">
      <c r="U5143">
        <v>5101</v>
      </c>
      <c r="V5143" s="197">
        <v>604.96998817734755</v>
      </c>
    </row>
    <row r="5144" spans="21:22">
      <c r="U5144">
        <v>5102</v>
      </c>
      <c r="V5144" s="197">
        <v>870.5117499735104</v>
      </c>
    </row>
    <row r="5145" spans="21:22">
      <c r="U5145">
        <v>5103</v>
      </c>
      <c r="V5145" s="197">
        <v>-445.06509780116215</v>
      </c>
    </row>
    <row r="5146" spans="21:22">
      <c r="U5146">
        <v>5104</v>
      </c>
      <c r="V5146" s="197">
        <v>-218.50154050360237</v>
      </c>
    </row>
    <row r="5147" spans="21:22">
      <c r="U5147">
        <v>5105</v>
      </c>
      <c r="V5147" s="197">
        <v>-729.89766828070628</v>
      </c>
    </row>
    <row r="5148" spans="21:22">
      <c r="U5148">
        <v>5106</v>
      </c>
      <c r="V5148" s="197">
        <v>-82.74031186737227</v>
      </c>
    </row>
    <row r="5149" spans="21:22">
      <c r="U5149">
        <v>5107</v>
      </c>
      <c r="V5149" s="197">
        <v>-1267.9345055972549</v>
      </c>
    </row>
    <row r="5150" spans="21:22">
      <c r="U5150">
        <v>5108</v>
      </c>
      <c r="V5150" s="197">
        <v>-159.35298433076576</v>
      </c>
    </row>
    <row r="5151" spans="21:22">
      <c r="U5151">
        <v>5109</v>
      </c>
      <c r="V5151" s="197">
        <v>1604.5422740144988</v>
      </c>
    </row>
    <row r="5152" spans="21:22">
      <c r="U5152">
        <v>5110</v>
      </c>
      <c r="V5152" s="197">
        <v>219.1442708041352</v>
      </c>
    </row>
    <row r="5153" spans="21:22">
      <c r="U5153">
        <v>5111</v>
      </c>
      <c r="V5153" s="197">
        <v>643.96991844834179</v>
      </c>
    </row>
    <row r="5154" spans="21:22">
      <c r="U5154">
        <v>5112</v>
      </c>
      <c r="V5154" s="197">
        <v>-588.5383463208027</v>
      </c>
    </row>
    <row r="5155" spans="21:22">
      <c r="U5155">
        <v>5113</v>
      </c>
      <c r="V5155" s="197">
        <v>-577.61436805873427</v>
      </c>
    </row>
    <row r="5156" spans="21:22">
      <c r="U5156">
        <v>5114</v>
      </c>
      <c r="V5156" s="197">
        <v>158.67771890714292</v>
      </c>
    </row>
    <row r="5157" spans="21:22">
      <c r="U5157">
        <v>5115</v>
      </c>
      <c r="V5157" s="197">
        <v>57.79990852495699</v>
      </c>
    </row>
    <row r="5158" spans="21:22">
      <c r="U5158">
        <v>5116</v>
      </c>
      <c r="V5158" s="197">
        <v>338.29697591589672</v>
      </c>
    </row>
    <row r="5159" spans="21:22">
      <c r="U5159">
        <v>5117</v>
      </c>
      <c r="V5159" s="197">
        <v>-866.41271875274788</v>
      </c>
    </row>
    <row r="5160" spans="21:22">
      <c r="U5160">
        <v>5118</v>
      </c>
      <c r="V5160" s="197">
        <v>-582.29323580187838</v>
      </c>
    </row>
    <row r="5161" spans="21:22">
      <c r="U5161">
        <v>5119</v>
      </c>
      <c r="V5161" s="197">
        <v>-447.95411797331548</v>
      </c>
    </row>
    <row r="5162" spans="21:22">
      <c r="U5162">
        <v>5120</v>
      </c>
      <c r="V5162" s="197">
        <v>-46.136821514459427</v>
      </c>
    </row>
    <row r="5163" spans="21:22">
      <c r="U5163">
        <v>5121</v>
      </c>
      <c r="V5163" s="197">
        <v>-127.296798264638</v>
      </c>
    </row>
    <row r="5164" spans="21:22">
      <c r="U5164">
        <v>5122</v>
      </c>
      <c r="V5164" s="197">
        <v>117.15458514179983</v>
      </c>
    </row>
    <row r="5165" spans="21:22">
      <c r="U5165">
        <v>5123</v>
      </c>
      <c r="V5165" s="197">
        <v>-606.50360092060805</v>
      </c>
    </row>
    <row r="5166" spans="21:22">
      <c r="U5166">
        <v>5124</v>
      </c>
      <c r="V5166" s="197">
        <v>-453.95535185006412</v>
      </c>
    </row>
    <row r="5167" spans="21:22">
      <c r="U5167">
        <v>5125</v>
      </c>
      <c r="V5167" s="197">
        <v>-508.04077088134324</v>
      </c>
    </row>
    <row r="5168" spans="21:22">
      <c r="U5168">
        <v>5126</v>
      </c>
      <c r="V5168" s="197">
        <v>433.65624355241397</v>
      </c>
    </row>
    <row r="5169" spans="21:22">
      <c r="U5169">
        <v>5127</v>
      </c>
      <c r="V5169" s="197">
        <v>1870.8501612437533</v>
      </c>
    </row>
    <row r="5170" spans="21:22">
      <c r="U5170">
        <v>5128</v>
      </c>
      <c r="V5170" s="197">
        <v>-812.65257644258281</v>
      </c>
    </row>
    <row r="5171" spans="21:22">
      <c r="U5171">
        <v>5129</v>
      </c>
      <c r="V5171" s="197">
        <v>-792.11571082023193</v>
      </c>
    </row>
    <row r="5172" spans="21:22">
      <c r="U5172">
        <v>5130</v>
      </c>
      <c r="V5172" s="197">
        <v>-799.46012760132817</v>
      </c>
    </row>
    <row r="5173" spans="21:22">
      <c r="U5173">
        <v>5131</v>
      </c>
      <c r="V5173" s="197">
        <v>1214.0158148552664</v>
      </c>
    </row>
    <row r="5174" spans="21:22">
      <c r="U5174">
        <v>5132</v>
      </c>
      <c r="V5174" s="197">
        <v>-127.17927923127786</v>
      </c>
    </row>
    <row r="5175" spans="21:22">
      <c r="U5175">
        <v>5133</v>
      </c>
      <c r="V5175" s="197">
        <v>523.18451908600082</v>
      </c>
    </row>
    <row r="5176" spans="21:22">
      <c r="U5176">
        <v>5134</v>
      </c>
      <c r="V5176" s="197">
        <v>-40.131630530160379</v>
      </c>
    </row>
    <row r="5177" spans="21:22">
      <c r="U5177">
        <v>5135</v>
      </c>
      <c r="V5177" s="197">
        <v>462.06921595682621</v>
      </c>
    </row>
    <row r="5178" spans="21:22">
      <c r="U5178">
        <v>5136</v>
      </c>
      <c r="V5178" s="197">
        <v>-190.98495806996544</v>
      </c>
    </row>
    <row r="5179" spans="21:22">
      <c r="U5179">
        <v>5137</v>
      </c>
      <c r="V5179" s="197">
        <v>-97.779417684153827</v>
      </c>
    </row>
    <row r="5180" spans="21:22">
      <c r="U5180">
        <v>5138</v>
      </c>
      <c r="V5180" s="197">
        <v>-2000.1298335723761</v>
      </c>
    </row>
    <row r="5181" spans="21:22">
      <c r="U5181">
        <v>5139</v>
      </c>
      <c r="V5181" s="197">
        <v>119.77371847055355</v>
      </c>
    </row>
    <row r="5182" spans="21:22">
      <c r="U5182">
        <v>5140</v>
      </c>
      <c r="V5182" s="197">
        <v>-1315.3147413159838</v>
      </c>
    </row>
    <row r="5183" spans="21:22">
      <c r="U5183">
        <v>5141</v>
      </c>
      <c r="V5183" s="197">
        <v>-1377.548862175991</v>
      </c>
    </row>
    <row r="5184" spans="21:22">
      <c r="U5184">
        <v>5142</v>
      </c>
      <c r="V5184" s="197">
        <v>2023.5611405413765</v>
      </c>
    </row>
    <row r="5185" spans="21:22">
      <c r="U5185">
        <v>5143</v>
      </c>
      <c r="V5185" s="197">
        <v>-273.06631265488369</v>
      </c>
    </row>
    <row r="5186" spans="21:22">
      <c r="U5186">
        <v>5144</v>
      </c>
      <c r="V5186" s="197">
        <v>411.03934358864046</v>
      </c>
    </row>
    <row r="5187" spans="21:22">
      <c r="U5187">
        <v>5145</v>
      </c>
      <c r="V5187" s="197">
        <v>385.37989668226464</v>
      </c>
    </row>
    <row r="5188" spans="21:22">
      <c r="U5188">
        <v>5146</v>
      </c>
      <c r="V5188" s="197">
        <v>-429.21492850679289</v>
      </c>
    </row>
    <row r="5189" spans="21:22">
      <c r="U5189">
        <v>5147</v>
      </c>
      <c r="V5189" s="197">
        <v>-1447.1887667621936</v>
      </c>
    </row>
    <row r="5190" spans="21:22">
      <c r="U5190">
        <v>5148</v>
      </c>
      <c r="V5190" s="197">
        <v>-378.91131402966499</v>
      </c>
    </row>
    <row r="5191" spans="21:22">
      <c r="U5191">
        <v>5149</v>
      </c>
      <c r="V5191" s="197">
        <v>-748.50744475770148</v>
      </c>
    </row>
    <row r="5192" spans="21:22">
      <c r="U5192">
        <v>5150</v>
      </c>
      <c r="V5192" s="197">
        <v>1738.4142271778537</v>
      </c>
    </row>
    <row r="5193" spans="21:22">
      <c r="U5193">
        <v>5151</v>
      </c>
      <c r="V5193" s="197">
        <v>-969.82356025943045</v>
      </c>
    </row>
    <row r="5194" spans="21:22">
      <c r="U5194">
        <v>5152</v>
      </c>
      <c r="V5194" s="197">
        <v>242.10569363999454</v>
      </c>
    </row>
    <row r="5195" spans="21:22">
      <c r="U5195">
        <v>5153</v>
      </c>
      <c r="V5195" s="197">
        <v>487.69100315775364</v>
      </c>
    </row>
    <row r="5196" spans="21:22">
      <c r="U5196">
        <v>5154</v>
      </c>
      <c r="V5196" s="197">
        <v>1206.5591893199733</v>
      </c>
    </row>
    <row r="5197" spans="21:22">
      <c r="U5197">
        <v>5155</v>
      </c>
      <c r="V5197" s="197">
        <v>600.07964683680939</v>
      </c>
    </row>
    <row r="5198" spans="21:22">
      <c r="U5198">
        <v>5156</v>
      </c>
      <c r="V5198" s="197">
        <v>321.59250428996285</v>
      </c>
    </row>
    <row r="5199" spans="21:22">
      <c r="U5199">
        <v>5157</v>
      </c>
      <c r="V5199" s="197">
        <v>-1131.1644124180959</v>
      </c>
    </row>
    <row r="5200" spans="21:22">
      <c r="U5200">
        <v>5158</v>
      </c>
      <c r="V5200" s="197">
        <v>-592.12961444637904</v>
      </c>
    </row>
    <row r="5201" spans="21:22">
      <c r="U5201">
        <v>5159</v>
      </c>
      <c r="V5201" s="197">
        <v>-939.0553735018143</v>
      </c>
    </row>
    <row r="5202" spans="21:22">
      <c r="U5202">
        <v>5160</v>
      </c>
      <c r="V5202" s="197">
        <v>-822.10219313777702</v>
      </c>
    </row>
    <row r="5203" spans="21:22">
      <c r="U5203">
        <v>5161</v>
      </c>
      <c r="V5203" s="197">
        <v>-317.2089318647204</v>
      </c>
    </row>
    <row r="5204" spans="21:22">
      <c r="U5204">
        <v>5162</v>
      </c>
      <c r="V5204" s="197">
        <v>227.07987545587483</v>
      </c>
    </row>
    <row r="5205" spans="21:22">
      <c r="U5205">
        <v>5163</v>
      </c>
      <c r="V5205" s="197">
        <v>-635.29059754587934</v>
      </c>
    </row>
    <row r="5206" spans="21:22">
      <c r="U5206">
        <v>5164</v>
      </c>
      <c r="V5206" s="197">
        <v>-389.27275031787167</v>
      </c>
    </row>
    <row r="5207" spans="21:22">
      <c r="U5207">
        <v>5165</v>
      </c>
      <c r="V5207" s="197">
        <v>-1518.5843165551028</v>
      </c>
    </row>
    <row r="5208" spans="21:22">
      <c r="U5208">
        <v>5166</v>
      </c>
      <c r="V5208" s="197">
        <v>-626.41995201686109</v>
      </c>
    </row>
    <row r="5209" spans="21:22">
      <c r="U5209">
        <v>5167</v>
      </c>
      <c r="V5209" s="197">
        <v>-530.21388060622917</v>
      </c>
    </row>
    <row r="5210" spans="21:22">
      <c r="U5210">
        <v>5168</v>
      </c>
      <c r="V5210" s="197">
        <v>-249.50547874383881</v>
      </c>
    </row>
    <row r="5211" spans="21:22">
      <c r="U5211">
        <v>5169</v>
      </c>
      <c r="V5211" s="197">
        <v>1248.8354327607394</v>
      </c>
    </row>
    <row r="5212" spans="21:22">
      <c r="U5212">
        <v>5170</v>
      </c>
      <c r="V5212" s="197">
        <v>-54.026726576900444</v>
      </c>
    </row>
    <row r="5213" spans="21:22">
      <c r="U5213">
        <v>5171</v>
      </c>
      <c r="V5213" s="197">
        <v>972.54679845272449</v>
      </c>
    </row>
    <row r="5214" spans="21:22">
      <c r="U5214">
        <v>5172</v>
      </c>
      <c r="V5214" s="197">
        <v>-745.57157684381241</v>
      </c>
    </row>
    <row r="5215" spans="21:22">
      <c r="U5215">
        <v>5173</v>
      </c>
      <c r="V5215" s="197">
        <v>720.99161823349959</v>
      </c>
    </row>
    <row r="5216" spans="21:22">
      <c r="U5216">
        <v>5174</v>
      </c>
      <c r="V5216" s="197">
        <v>304.6484597020488</v>
      </c>
    </row>
    <row r="5217" spans="21:22">
      <c r="U5217">
        <v>5175</v>
      </c>
      <c r="V5217" s="197">
        <v>-1002.8462556085328</v>
      </c>
    </row>
    <row r="5218" spans="21:22">
      <c r="U5218">
        <v>5176</v>
      </c>
      <c r="V5218" s="197">
        <v>-212.32025812644093</v>
      </c>
    </row>
    <row r="5219" spans="21:22">
      <c r="U5219">
        <v>5177</v>
      </c>
      <c r="V5219" s="197">
        <v>11.432374675288585</v>
      </c>
    </row>
    <row r="5220" spans="21:22">
      <c r="U5220">
        <v>5178</v>
      </c>
      <c r="V5220" s="197">
        <v>849.8108890014712</v>
      </c>
    </row>
    <row r="5221" spans="21:22">
      <c r="U5221">
        <v>5179</v>
      </c>
      <c r="V5221" s="197">
        <v>-124.26414228436329</v>
      </c>
    </row>
    <row r="5222" spans="21:22">
      <c r="U5222">
        <v>5180</v>
      </c>
      <c r="V5222" s="197">
        <v>154.87031907967452</v>
      </c>
    </row>
    <row r="5223" spans="21:22">
      <c r="U5223">
        <v>5181</v>
      </c>
      <c r="V5223" s="197">
        <v>1414.3809300959772</v>
      </c>
    </row>
    <row r="5224" spans="21:22">
      <c r="U5224">
        <v>5182</v>
      </c>
      <c r="V5224" s="197">
        <v>1518.14029859325</v>
      </c>
    </row>
    <row r="5225" spans="21:22">
      <c r="U5225">
        <v>5183</v>
      </c>
      <c r="V5225" s="197">
        <v>247.39650191552667</v>
      </c>
    </row>
    <row r="5226" spans="21:22">
      <c r="U5226">
        <v>5184</v>
      </c>
      <c r="V5226" s="197">
        <v>428.499571807336</v>
      </c>
    </row>
    <row r="5227" spans="21:22">
      <c r="U5227">
        <v>5185</v>
      </c>
      <c r="V5227" s="197">
        <v>620.14967244777267</v>
      </c>
    </row>
    <row r="5228" spans="21:22">
      <c r="U5228">
        <v>5186</v>
      </c>
      <c r="V5228" s="197">
        <v>49.629439661736868</v>
      </c>
    </row>
    <row r="5229" spans="21:22">
      <c r="U5229">
        <v>5187</v>
      </c>
      <c r="V5229" s="197">
        <v>197.87421751854424</v>
      </c>
    </row>
    <row r="5230" spans="21:22">
      <c r="U5230">
        <v>5188</v>
      </c>
      <c r="V5230" s="197">
        <v>-1456.85869012986</v>
      </c>
    </row>
    <row r="5231" spans="21:22">
      <c r="U5231">
        <v>5189</v>
      </c>
      <c r="V5231" s="197">
        <v>768.20916627132306</v>
      </c>
    </row>
    <row r="5232" spans="21:22">
      <c r="U5232">
        <v>5190</v>
      </c>
      <c r="V5232" s="197">
        <v>1582.8363612761689</v>
      </c>
    </row>
    <row r="5233" spans="21:22">
      <c r="U5233">
        <v>5191</v>
      </c>
      <c r="V5233" s="197">
        <v>1764.0340869664537</v>
      </c>
    </row>
    <row r="5234" spans="21:22">
      <c r="U5234">
        <v>5192</v>
      </c>
      <c r="V5234" s="197">
        <v>678.56630101960877</v>
      </c>
    </row>
    <row r="5235" spans="21:22">
      <c r="U5235">
        <v>5193</v>
      </c>
      <c r="V5235" s="197">
        <v>-397.42719512897344</v>
      </c>
    </row>
    <row r="5236" spans="21:22">
      <c r="U5236">
        <v>5194</v>
      </c>
      <c r="V5236" s="197">
        <v>-487.14463799059416</v>
      </c>
    </row>
    <row r="5237" spans="21:22">
      <c r="U5237">
        <v>5195</v>
      </c>
      <c r="V5237" s="197">
        <v>1451.0597716174686</v>
      </c>
    </row>
    <row r="5238" spans="21:22">
      <c r="U5238">
        <v>5196</v>
      </c>
      <c r="V5238" s="197">
        <v>26.250070218729007</v>
      </c>
    </row>
    <row r="5239" spans="21:22">
      <c r="U5239">
        <v>5197</v>
      </c>
      <c r="V5239" s="197">
        <v>480.53369747992059</v>
      </c>
    </row>
    <row r="5240" spans="21:22">
      <c r="U5240">
        <v>5198</v>
      </c>
      <c r="V5240" s="197">
        <v>-54.62764268607674</v>
      </c>
    </row>
    <row r="5241" spans="21:22">
      <c r="U5241">
        <v>5199</v>
      </c>
      <c r="V5241" s="197">
        <v>2197.9574428092169</v>
      </c>
    </row>
    <row r="5242" spans="21:22">
      <c r="U5242">
        <v>5200</v>
      </c>
      <c r="V5242" s="197">
        <v>529.63031075118306</v>
      </c>
    </row>
    <row r="5243" spans="21:22">
      <c r="U5243">
        <v>5201</v>
      </c>
      <c r="V5243" s="197">
        <v>873.77705268796444</v>
      </c>
    </row>
    <row r="5244" spans="21:22">
      <c r="U5244">
        <v>5202</v>
      </c>
      <c r="V5244" s="197">
        <v>-866.81576961626683</v>
      </c>
    </row>
    <row r="5245" spans="21:22">
      <c r="U5245">
        <v>5203</v>
      </c>
      <c r="V5245" s="197">
        <v>-184.00419199091488</v>
      </c>
    </row>
    <row r="5246" spans="21:22">
      <c r="U5246">
        <v>5204</v>
      </c>
      <c r="V5246" s="197">
        <v>151.316673542773</v>
      </c>
    </row>
    <row r="5247" spans="21:22">
      <c r="U5247">
        <v>5205</v>
      </c>
      <c r="V5247" s="197">
        <v>1527.4938161745883</v>
      </c>
    </row>
    <row r="5248" spans="21:22">
      <c r="U5248">
        <v>5206</v>
      </c>
      <c r="V5248" s="197">
        <v>-211.04180341174879</v>
      </c>
    </row>
    <row r="5249" spans="21:22">
      <c r="U5249">
        <v>5207</v>
      </c>
      <c r="V5249" s="197">
        <v>1144.108132107235</v>
      </c>
    </row>
    <row r="5250" spans="21:22">
      <c r="U5250">
        <v>5208</v>
      </c>
      <c r="V5250" s="197">
        <v>-643.37092088974055</v>
      </c>
    </row>
    <row r="5251" spans="21:22">
      <c r="U5251">
        <v>5209</v>
      </c>
      <c r="V5251" s="197">
        <v>-342.42667215909989</v>
      </c>
    </row>
    <row r="5252" spans="21:22">
      <c r="U5252">
        <v>5210</v>
      </c>
      <c r="V5252" s="197">
        <v>-992.42552869975566</v>
      </c>
    </row>
    <row r="5253" spans="21:22">
      <c r="U5253">
        <v>5211</v>
      </c>
      <c r="V5253" s="197">
        <v>247.99436504280536</v>
      </c>
    </row>
    <row r="5254" spans="21:22">
      <c r="U5254">
        <v>5212</v>
      </c>
      <c r="V5254" s="197">
        <v>1233.6754892568442</v>
      </c>
    </row>
    <row r="5255" spans="21:22">
      <c r="U5255">
        <v>5213</v>
      </c>
      <c r="V5255" s="197">
        <v>-304.66845954520051</v>
      </c>
    </row>
    <row r="5256" spans="21:22">
      <c r="U5256">
        <v>5214</v>
      </c>
      <c r="V5256" s="197">
        <v>869.06579005965227</v>
      </c>
    </row>
    <row r="5257" spans="21:22">
      <c r="U5257">
        <v>5215</v>
      </c>
      <c r="V5257" s="197">
        <v>261.27573466228273</v>
      </c>
    </row>
    <row r="5258" spans="21:22">
      <c r="U5258">
        <v>5216</v>
      </c>
      <c r="V5258" s="197">
        <v>289.1247953187293</v>
      </c>
    </row>
    <row r="5259" spans="21:22">
      <c r="U5259">
        <v>5217</v>
      </c>
      <c r="V5259" s="197">
        <v>-341.27324149715076</v>
      </c>
    </row>
    <row r="5260" spans="21:22">
      <c r="U5260">
        <v>5218</v>
      </c>
      <c r="V5260" s="197">
        <v>353.04044741004526</v>
      </c>
    </row>
    <row r="5261" spans="21:22">
      <c r="U5261">
        <v>5219</v>
      </c>
      <c r="V5261" s="197">
        <v>827.27383929663847</v>
      </c>
    </row>
    <row r="5262" spans="21:22">
      <c r="U5262">
        <v>5220</v>
      </c>
      <c r="V5262" s="197">
        <v>-634.77525929180547</v>
      </c>
    </row>
    <row r="5263" spans="21:22">
      <c r="U5263">
        <v>5221</v>
      </c>
      <c r="V5263" s="197">
        <v>-522.69293185855599</v>
      </c>
    </row>
    <row r="5264" spans="21:22">
      <c r="U5264">
        <v>5222</v>
      </c>
      <c r="V5264" s="197">
        <v>717.23387661720199</v>
      </c>
    </row>
    <row r="5265" spans="21:22">
      <c r="U5265">
        <v>5223</v>
      </c>
      <c r="V5265" s="197">
        <v>-1048.2971906721621</v>
      </c>
    </row>
    <row r="5266" spans="21:22">
      <c r="U5266">
        <v>5224</v>
      </c>
      <c r="V5266" s="197">
        <v>151.56558371271873</v>
      </c>
    </row>
    <row r="5267" spans="21:22">
      <c r="U5267">
        <v>5225</v>
      </c>
      <c r="V5267" s="197">
        <v>242.10229820572584</v>
      </c>
    </row>
    <row r="5268" spans="21:22">
      <c r="U5268">
        <v>5226</v>
      </c>
      <c r="V5268" s="197">
        <v>-48.939615612894272</v>
      </c>
    </row>
    <row r="5269" spans="21:22">
      <c r="U5269">
        <v>5227</v>
      </c>
      <c r="V5269" s="197">
        <v>-1057.9207216275574</v>
      </c>
    </row>
    <row r="5270" spans="21:22">
      <c r="U5270">
        <v>5228</v>
      </c>
      <c r="V5270" s="197">
        <v>684.03519787951996</v>
      </c>
    </row>
    <row r="5271" spans="21:22">
      <c r="U5271">
        <v>5229</v>
      </c>
      <c r="V5271" s="197">
        <v>90.605083659439089</v>
      </c>
    </row>
    <row r="5272" spans="21:22">
      <c r="U5272">
        <v>5230</v>
      </c>
      <c r="V5272" s="197">
        <v>762.65530328820705</v>
      </c>
    </row>
    <row r="5273" spans="21:22">
      <c r="U5273">
        <v>5231</v>
      </c>
      <c r="V5273" s="197">
        <v>1959.8826164166144</v>
      </c>
    </row>
    <row r="5274" spans="21:22">
      <c r="U5274">
        <v>5232</v>
      </c>
      <c r="V5274" s="197">
        <v>246.84925169418844</v>
      </c>
    </row>
    <row r="5275" spans="21:22">
      <c r="U5275">
        <v>5233</v>
      </c>
      <c r="V5275" s="197">
        <v>-38.167283688888688</v>
      </c>
    </row>
    <row r="5276" spans="21:22">
      <c r="U5276">
        <v>5234</v>
      </c>
      <c r="V5276" s="197">
        <v>-926.09962060609973</v>
      </c>
    </row>
    <row r="5277" spans="21:22">
      <c r="U5277">
        <v>5235</v>
      </c>
      <c r="V5277" s="197">
        <v>828.78658414288952</v>
      </c>
    </row>
    <row r="5278" spans="21:22">
      <c r="U5278">
        <v>5236</v>
      </c>
      <c r="V5278" s="197">
        <v>-1246.4189532727187</v>
      </c>
    </row>
    <row r="5279" spans="21:22">
      <c r="U5279">
        <v>5237</v>
      </c>
      <c r="V5279" s="197">
        <v>1249.711381172855</v>
      </c>
    </row>
    <row r="5280" spans="21:22">
      <c r="U5280">
        <v>5238</v>
      </c>
      <c r="V5280" s="197">
        <v>801.31619921852484</v>
      </c>
    </row>
    <row r="5281" spans="21:22">
      <c r="U5281">
        <v>5239</v>
      </c>
      <c r="V5281" s="197">
        <v>146.8397494844358</v>
      </c>
    </row>
    <row r="5282" spans="21:22">
      <c r="U5282">
        <v>5240</v>
      </c>
      <c r="V5282" s="197">
        <v>64.406487015081098</v>
      </c>
    </row>
    <row r="5283" spans="21:22">
      <c r="U5283">
        <v>5241</v>
      </c>
      <c r="V5283" s="197">
        <v>-187.03113943511266</v>
      </c>
    </row>
    <row r="5284" spans="21:22">
      <c r="U5284">
        <v>5242</v>
      </c>
      <c r="V5284" s="197">
        <v>-781.32694256901686</v>
      </c>
    </row>
    <row r="5285" spans="21:22">
      <c r="U5285">
        <v>5243</v>
      </c>
      <c r="V5285" s="197">
        <v>-793.9798707596708</v>
      </c>
    </row>
    <row r="5286" spans="21:22">
      <c r="U5286">
        <v>5244</v>
      </c>
      <c r="V5286" s="197">
        <v>-329.26755316193618</v>
      </c>
    </row>
    <row r="5287" spans="21:22">
      <c r="U5287">
        <v>5245</v>
      </c>
      <c r="V5287" s="197">
        <v>567.21891338527234</v>
      </c>
    </row>
    <row r="5288" spans="21:22">
      <c r="U5288">
        <v>5246</v>
      </c>
      <c r="V5288" s="197">
        <v>2182.456102581812</v>
      </c>
    </row>
    <row r="5289" spans="21:22">
      <c r="U5289">
        <v>5247</v>
      </c>
      <c r="V5289" s="197">
        <v>1195.9497704791318</v>
      </c>
    </row>
    <row r="5290" spans="21:22">
      <c r="U5290">
        <v>5248</v>
      </c>
      <c r="V5290" s="197">
        <v>-955.0073886196617</v>
      </c>
    </row>
    <row r="5291" spans="21:22">
      <c r="U5291">
        <v>5249</v>
      </c>
      <c r="V5291" s="197">
        <v>-281.42413948660317</v>
      </c>
    </row>
    <row r="5292" spans="21:22">
      <c r="U5292">
        <v>5250</v>
      </c>
      <c r="V5292" s="197">
        <v>-878.35597697550224</v>
      </c>
    </row>
    <row r="5293" spans="21:22">
      <c r="U5293">
        <v>5251</v>
      </c>
      <c r="V5293" s="197">
        <v>-425.58091064246099</v>
      </c>
    </row>
    <row r="5294" spans="21:22">
      <c r="U5294">
        <v>5252</v>
      </c>
      <c r="V5294" s="197">
        <v>-274.32657488729552</v>
      </c>
    </row>
    <row r="5295" spans="21:22">
      <c r="U5295">
        <v>5253</v>
      </c>
      <c r="V5295" s="197">
        <v>-1356.2215504147121</v>
      </c>
    </row>
    <row r="5296" spans="21:22">
      <c r="U5296">
        <v>5254</v>
      </c>
      <c r="V5296" s="197">
        <v>-161.43146442129694</v>
      </c>
    </row>
    <row r="5297" spans="21:22">
      <c r="U5297">
        <v>5255</v>
      </c>
      <c r="V5297" s="197">
        <v>1066.1662983277174</v>
      </c>
    </row>
    <row r="5298" spans="21:22">
      <c r="U5298">
        <v>5256</v>
      </c>
      <c r="V5298" s="197">
        <v>315.66778283771725</v>
      </c>
    </row>
    <row r="5299" spans="21:22">
      <c r="U5299">
        <v>5257</v>
      </c>
      <c r="V5299" s="197">
        <v>178.26936554448324</v>
      </c>
    </row>
    <row r="5300" spans="21:22">
      <c r="U5300">
        <v>5258</v>
      </c>
      <c r="V5300" s="197">
        <v>-282.69934902974148</v>
      </c>
    </row>
    <row r="5301" spans="21:22">
      <c r="U5301">
        <v>5259</v>
      </c>
      <c r="V5301" s="197">
        <v>656.60067276182531</v>
      </c>
    </row>
    <row r="5302" spans="21:22">
      <c r="U5302">
        <v>5260</v>
      </c>
      <c r="V5302" s="197">
        <v>2132.1560555996662</v>
      </c>
    </row>
    <row r="5303" spans="21:22">
      <c r="U5303">
        <v>5261</v>
      </c>
      <c r="V5303" s="197">
        <v>2164.7036735185002</v>
      </c>
    </row>
    <row r="5304" spans="21:22">
      <c r="U5304">
        <v>5262</v>
      </c>
      <c r="V5304" s="197">
        <v>-428.64135464374118</v>
      </c>
    </row>
    <row r="5305" spans="21:22">
      <c r="U5305">
        <v>5263</v>
      </c>
      <c r="V5305" s="197">
        <v>680.22679038418073</v>
      </c>
    </row>
    <row r="5306" spans="21:22">
      <c r="U5306">
        <v>5264</v>
      </c>
      <c r="V5306" s="197">
        <v>-593.63197381470172</v>
      </c>
    </row>
    <row r="5307" spans="21:22">
      <c r="U5307">
        <v>5265</v>
      </c>
      <c r="V5307" s="197">
        <v>907.85783983513124</v>
      </c>
    </row>
    <row r="5308" spans="21:22">
      <c r="U5308">
        <v>5266</v>
      </c>
      <c r="V5308" s="197">
        <v>2771.3986585941193</v>
      </c>
    </row>
    <row r="5309" spans="21:22">
      <c r="U5309">
        <v>5267</v>
      </c>
      <c r="V5309" s="197">
        <v>2239.3220164018835</v>
      </c>
    </row>
    <row r="5310" spans="21:22">
      <c r="U5310">
        <v>5268</v>
      </c>
      <c r="V5310" s="197">
        <v>-421.49002510088718</v>
      </c>
    </row>
    <row r="5311" spans="21:22">
      <c r="U5311">
        <v>5269</v>
      </c>
      <c r="V5311" s="197">
        <v>227.8221758461614</v>
      </c>
    </row>
    <row r="5312" spans="21:22">
      <c r="U5312">
        <v>5270</v>
      </c>
      <c r="V5312" s="197">
        <v>301.06874720906023</v>
      </c>
    </row>
    <row r="5313" spans="21:22">
      <c r="U5313">
        <v>5271</v>
      </c>
      <c r="V5313" s="197">
        <v>1451.5394447184071</v>
      </c>
    </row>
    <row r="5314" spans="21:22">
      <c r="U5314">
        <v>5272</v>
      </c>
      <c r="V5314" s="197">
        <v>-623.95170430502549</v>
      </c>
    </row>
    <row r="5315" spans="21:22">
      <c r="U5315">
        <v>5273</v>
      </c>
      <c r="V5315" s="197">
        <v>-1935.1670735590724</v>
      </c>
    </row>
    <row r="5316" spans="21:22">
      <c r="U5316">
        <v>5274</v>
      </c>
      <c r="V5316" s="197">
        <v>-2.4592184548065035</v>
      </c>
    </row>
    <row r="5317" spans="21:22">
      <c r="U5317">
        <v>5275</v>
      </c>
      <c r="V5317" s="197">
        <v>-432.84945226375117</v>
      </c>
    </row>
    <row r="5318" spans="21:22">
      <c r="U5318">
        <v>5276</v>
      </c>
      <c r="V5318" s="197">
        <v>622.94701379191633</v>
      </c>
    </row>
    <row r="5319" spans="21:22">
      <c r="U5319">
        <v>5277</v>
      </c>
      <c r="V5319" s="197">
        <v>981.93029232462436</v>
      </c>
    </row>
    <row r="5320" spans="21:22">
      <c r="U5320">
        <v>5278</v>
      </c>
      <c r="V5320" s="197">
        <v>-1259.9001794920389</v>
      </c>
    </row>
    <row r="5321" spans="21:22">
      <c r="U5321">
        <v>5279</v>
      </c>
      <c r="V5321" s="197">
        <v>-1392.3695852657186</v>
      </c>
    </row>
    <row r="5322" spans="21:22">
      <c r="U5322">
        <v>5280</v>
      </c>
      <c r="V5322" s="197">
        <v>858.42893933190635</v>
      </c>
    </row>
    <row r="5323" spans="21:22">
      <c r="U5323">
        <v>5281</v>
      </c>
      <c r="V5323" s="197">
        <v>-179.46873978860839</v>
      </c>
    </row>
    <row r="5324" spans="21:22">
      <c r="U5324">
        <v>5282</v>
      </c>
      <c r="V5324" s="197">
        <v>1306.0346291746696</v>
      </c>
    </row>
    <row r="5325" spans="21:22">
      <c r="U5325">
        <v>5283</v>
      </c>
      <c r="V5325" s="197">
        <v>-837.67887711041453</v>
      </c>
    </row>
    <row r="5326" spans="21:22">
      <c r="U5326">
        <v>5284</v>
      </c>
      <c r="V5326" s="197">
        <v>763.1282355382084</v>
      </c>
    </row>
    <row r="5327" spans="21:22">
      <c r="U5327">
        <v>5285</v>
      </c>
      <c r="V5327" s="197">
        <v>1861.6810550726163</v>
      </c>
    </row>
    <row r="5328" spans="21:22">
      <c r="U5328">
        <v>5286</v>
      </c>
      <c r="V5328" s="197">
        <v>-318.66190268193253</v>
      </c>
    </row>
    <row r="5329" spans="21:22">
      <c r="U5329">
        <v>5287</v>
      </c>
      <c r="V5329" s="197">
        <v>444.76696490982891</v>
      </c>
    </row>
    <row r="5330" spans="21:22">
      <c r="U5330">
        <v>5288</v>
      </c>
      <c r="V5330" s="197">
        <v>241.22452923961762</v>
      </c>
    </row>
    <row r="5331" spans="21:22">
      <c r="U5331">
        <v>5289</v>
      </c>
      <c r="V5331" s="197">
        <v>813.88632447115106</v>
      </c>
    </row>
    <row r="5332" spans="21:22">
      <c r="U5332">
        <v>5290</v>
      </c>
      <c r="V5332" s="197">
        <v>500.83965701659866</v>
      </c>
    </row>
    <row r="5333" spans="21:22">
      <c r="U5333">
        <v>5291</v>
      </c>
      <c r="V5333" s="197">
        <v>-230.58119311566918</v>
      </c>
    </row>
    <row r="5334" spans="21:22">
      <c r="U5334">
        <v>5292</v>
      </c>
      <c r="V5334" s="197">
        <v>870.86970019475712</v>
      </c>
    </row>
    <row r="5335" spans="21:22">
      <c r="U5335">
        <v>5293</v>
      </c>
      <c r="V5335" s="197">
        <v>-184.55928786460112</v>
      </c>
    </row>
    <row r="5336" spans="21:22">
      <c r="U5336">
        <v>5294</v>
      </c>
      <c r="V5336" s="197">
        <v>-219.88256517391932</v>
      </c>
    </row>
    <row r="5337" spans="21:22">
      <c r="U5337">
        <v>5295</v>
      </c>
      <c r="V5337" s="197">
        <v>590.31735179115503</v>
      </c>
    </row>
    <row r="5338" spans="21:22">
      <c r="U5338">
        <v>5296</v>
      </c>
      <c r="V5338" s="197">
        <v>-97.451574281684515</v>
      </c>
    </row>
    <row r="5339" spans="21:22">
      <c r="U5339">
        <v>5297</v>
      </c>
      <c r="V5339" s="197">
        <v>-429.27789674576235</v>
      </c>
    </row>
    <row r="5340" spans="21:22">
      <c r="U5340">
        <v>5298</v>
      </c>
      <c r="V5340" s="197">
        <v>-1164.9032346642734</v>
      </c>
    </row>
    <row r="5341" spans="21:22">
      <c r="U5341">
        <v>5299</v>
      </c>
      <c r="V5341" s="197">
        <v>384.17123692318381</v>
      </c>
    </row>
    <row r="5342" spans="21:22">
      <c r="U5342">
        <v>5300</v>
      </c>
      <c r="V5342" s="197">
        <v>-1282.9406672052189</v>
      </c>
    </row>
    <row r="5343" spans="21:22">
      <c r="U5343">
        <v>5301</v>
      </c>
      <c r="V5343" s="197">
        <v>-42.763226395610303</v>
      </c>
    </row>
    <row r="5344" spans="21:22">
      <c r="U5344">
        <v>5302</v>
      </c>
      <c r="V5344" s="197">
        <v>-67.25387298050677</v>
      </c>
    </row>
    <row r="5345" spans="21:22">
      <c r="U5345">
        <v>5303</v>
      </c>
      <c r="V5345" s="197">
        <v>-262.49191804290746</v>
      </c>
    </row>
    <row r="5346" spans="21:22">
      <c r="U5346">
        <v>5304</v>
      </c>
      <c r="V5346" s="197">
        <v>1469.5695125073892</v>
      </c>
    </row>
    <row r="5347" spans="21:22">
      <c r="U5347">
        <v>5305</v>
      </c>
      <c r="V5347" s="197">
        <v>1800.9655029010858</v>
      </c>
    </row>
    <row r="5348" spans="21:22">
      <c r="U5348">
        <v>5306</v>
      </c>
      <c r="V5348" s="197">
        <v>426.56135486783825</v>
      </c>
    </row>
    <row r="5349" spans="21:22">
      <c r="U5349">
        <v>5307</v>
      </c>
      <c r="V5349" s="197">
        <v>-21.267889170501462</v>
      </c>
    </row>
    <row r="5350" spans="21:22">
      <c r="U5350">
        <v>5308</v>
      </c>
      <c r="V5350" s="197">
        <v>449.14454851156506</v>
      </c>
    </row>
    <row r="5351" spans="21:22">
      <c r="U5351">
        <v>5309</v>
      </c>
      <c r="V5351" s="197">
        <v>666.30346272408542</v>
      </c>
    </row>
    <row r="5352" spans="21:22">
      <c r="U5352">
        <v>5310</v>
      </c>
      <c r="V5352" s="197">
        <v>-187.66807801278043</v>
      </c>
    </row>
    <row r="5353" spans="21:22">
      <c r="U5353">
        <v>5311</v>
      </c>
      <c r="V5353" s="197">
        <v>-580.39296401384559</v>
      </c>
    </row>
    <row r="5354" spans="21:22">
      <c r="U5354">
        <v>5312</v>
      </c>
      <c r="V5354" s="197">
        <v>8.6332674907749123</v>
      </c>
    </row>
    <row r="5355" spans="21:22">
      <c r="U5355">
        <v>5313</v>
      </c>
      <c r="V5355" s="197">
        <v>962.76721022346601</v>
      </c>
    </row>
    <row r="5356" spans="21:22">
      <c r="U5356">
        <v>5314</v>
      </c>
      <c r="V5356" s="197">
        <v>-649.82344927841905</v>
      </c>
    </row>
    <row r="5357" spans="21:22">
      <c r="U5357">
        <v>5315</v>
      </c>
      <c r="V5357" s="197">
        <v>428.36362363286503</v>
      </c>
    </row>
    <row r="5358" spans="21:22">
      <c r="U5358">
        <v>5316</v>
      </c>
      <c r="V5358" s="197">
        <v>1209.9294450643974</v>
      </c>
    </row>
    <row r="5359" spans="21:22">
      <c r="U5359">
        <v>5317</v>
      </c>
      <c r="V5359" s="197">
        <v>-209.96313546099356</v>
      </c>
    </row>
    <row r="5360" spans="21:22">
      <c r="U5360">
        <v>5318</v>
      </c>
      <c r="V5360" s="197">
        <v>-616.73695415095222</v>
      </c>
    </row>
    <row r="5361" spans="21:22">
      <c r="U5361">
        <v>5319</v>
      </c>
      <c r="V5361" s="197">
        <v>1437.4067361080415</v>
      </c>
    </row>
    <row r="5362" spans="21:22">
      <c r="U5362">
        <v>5320</v>
      </c>
      <c r="V5362" s="197">
        <v>-353.85121439225992</v>
      </c>
    </row>
    <row r="5363" spans="21:22">
      <c r="U5363">
        <v>5321</v>
      </c>
      <c r="V5363" s="197">
        <v>1596.2939431471536</v>
      </c>
    </row>
    <row r="5364" spans="21:22">
      <c r="U5364">
        <v>5322</v>
      </c>
      <c r="V5364" s="197">
        <v>-726.56068088535744</v>
      </c>
    </row>
    <row r="5365" spans="21:22">
      <c r="U5365">
        <v>5323</v>
      </c>
      <c r="V5365" s="197">
        <v>261.85029055507096</v>
      </c>
    </row>
    <row r="5366" spans="21:22">
      <c r="U5366">
        <v>5324</v>
      </c>
      <c r="V5366" s="197">
        <v>-384.99081978367656</v>
      </c>
    </row>
    <row r="5367" spans="21:22">
      <c r="U5367">
        <v>5325</v>
      </c>
      <c r="V5367" s="197">
        <v>-382.56681741799173</v>
      </c>
    </row>
    <row r="5368" spans="21:22">
      <c r="U5368">
        <v>5326</v>
      </c>
      <c r="V5368" s="197">
        <v>104.12524339379665</v>
      </c>
    </row>
    <row r="5369" spans="21:22">
      <c r="U5369">
        <v>5327</v>
      </c>
      <c r="V5369" s="197">
        <v>-185.99650904302445</v>
      </c>
    </row>
    <row r="5370" spans="21:22">
      <c r="U5370">
        <v>5328</v>
      </c>
      <c r="V5370" s="197">
        <v>751.86191593398758</v>
      </c>
    </row>
    <row r="5371" spans="21:22">
      <c r="U5371">
        <v>5329</v>
      </c>
      <c r="V5371" s="197">
        <v>-1077.7185483875546</v>
      </c>
    </row>
    <row r="5372" spans="21:22">
      <c r="U5372">
        <v>5330</v>
      </c>
      <c r="V5372" s="197">
        <v>1267.4686062988769</v>
      </c>
    </row>
    <row r="5373" spans="21:22">
      <c r="U5373">
        <v>5331</v>
      </c>
      <c r="V5373" s="197">
        <v>-910.59063176452105</v>
      </c>
    </row>
    <row r="5374" spans="21:22">
      <c r="U5374">
        <v>5332</v>
      </c>
      <c r="V5374" s="197">
        <v>-1063.1360764825163</v>
      </c>
    </row>
    <row r="5375" spans="21:22">
      <c r="U5375">
        <v>5333</v>
      </c>
      <c r="V5375" s="197">
        <v>920.47312849042009</v>
      </c>
    </row>
    <row r="5376" spans="21:22">
      <c r="U5376">
        <v>5334</v>
      </c>
      <c r="V5376" s="197">
        <v>531.11622661492754</v>
      </c>
    </row>
    <row r="5377" spans="21:22">
      <c r="U5377">
        <v>5335</v>
      </c>
      <c r="V5377" s="197">
        <v>157.52679019726139</v>
      </c>
    </row>
    <row r="5378" spans="21:22">
      <c r="U5378">
        <v>5336</v>
      </c>
      <c r="V5378" s="197">
        <v>434.23736834334716</v>
      </c>
    </row>
    <row r="5379" spans="21:22">
      <c r="U5379">
        <v>5337</v>
      </c>
      <c r="V5379" s="197">
        <v>382.26089428955282</v>
      </c>
    </row>
    <row r="5380" spans="21:22">
      <c r="U5380">
        <v>5338</v>
      </c>
      <c r="V5380" s="197">
        <v>999.40836748529728</v>
      </c>
    </row>
    <row r="5381" spans="21:22">
      <c r="U5381">
        <v>5339</v>
      </c>
      <c r="V5381" s="197">
        <v>963.96672586005275</v>
      </c>
    </row>
    <row r="5382" spans="21:22">
      <c r="U5382">
        <v>5340</v>
      </c>
      <c r="V5382" s="197">
        <v>133.30589571342327</v>
      </c>
    </row>
    <row r="5383" spans="21:22">
      <c r="U5383">
        <v>5341</v>
      </c>
      <c r="V5383" s="197">
        <v>2454.5305650630312</v>
      </c>
    </row>
    <row r="5384" spans="21:22">
      <c r="U5384">
        <v>5342</v>
      </c>
      <c r="V5384" s="197">
        <v>336.42312438173008</v>
      </c>
    </row>
    <row r="5385" spans="21:22">
      <c r="U5385">
        <v>5343</v>
      </c>
      <c r="V5385" s="197">
        <v>396.08274432699403</v>
      </c>
    </row>
    <row r="5386" spans="21:22">
      <c r="U5386">
        <v>5344</v>
      </c>
      <c r="V5386" s="197">
        <v>198.48596817907281</v>
      </c>
    </row>
    <row r="5387" spans="21:22">
      <c r="U5387">
        <v>5345</v>
      </c>
      <c r="V5387" s="197">
        <v>-2374.3316815694329</v>
      </c>
    </row>
    <row r="5388" spans="21:22">
      <c r="U5388">
        <v>5346</v>
      </c>
      <c r="V5388" s="197">
        <v>-915.79034486068281</v>
      </c>
    </row>
    <row r="5389" spans="21:22">
      <c r="U5389">
        <v>5347</v>
      </c>
      <c r="V5389" s="197">
        <v>1027.1929553128159</v>
      </c>
    </row>
    <row r="5390" spans="21:22">
      <c r="U5390">
        <v>5348</v>
      </c>
      <c r="V5390" s="197">
        <v>1842.8986870122005</v>
      </c>
    </row>
    <row r="5391" spans="21:22">
      <c r="U5391">
        <v>5349</v>
      </c>
      <c r="V5391" s="197">
        <v>-264.84039597966159</v>
      </c>
    </row>
    <row r="5392" spans="21:22">
      <c r="U5392">
        <v>5350</v>
      </c>
      <c r="V5392" s="197">
        <v>-921.58258043243882</v>
      </c>
    </row>
    <row r="5393" spans="21:22">
      <c r="U5393">
        <v>5351</v>
      </c>
      <c r="V5393" s="197">
        <v>-329.60076530330093</v>
      </c>
    </row>
    <row r="5394" spans="21:22">
      <c r="U5394">
        <v>5352</v>
      </c>
      <c r="V5394" s="197">
        <v>604.98546693621529</v>
      </c>
    </row>
    <row r="5395" spans="21:22">
      <c r="U5395">
        <v>5353</v>
      </c>
      <c r="V5395" s="197">
        <v>689.57317226999135</v>
      </c>
    </row>
    <row r="5396" spans="21:22">
      <c r="U5396">
        <v>5354</v>
      </c>
      <c r="V5396" s="197">
        <v>592.66885525288262</v>
      </c>
    </row>
    <row r="5397" spans="21:22">
      <c r="U5397">
        <v>5355</v>
      </c>
      <c r="V5397" s="197">
        <v>129.97125309247883</v>
      </c>
    </row>
    <row r="5398" spans="21:22">
      <c r="U5398">
        <v>5356</v>
      </c>
      <c r="V5398" s="197">
        <v>-822.23602392908833</v>
      </c>
    </row>
    <row r="5399" spans="21:22">
      <c r="U5399">
        <v>5357</v>
      </c>
      <c r="V5399" s="197">
        <v>-1254.6497494180762</v>
      </c>
    </row>
    <row r="5400" spans="21:22">
      <c r="U5400">
        <v>5358</v>
      </c>
      <c r="V5400" s="197">
        <v>-563.64877019299161</v>
      </c>
    </row>
    <row r="5401" spans="21:22">
      <c r="U5401">
        <v>5359</v>
      </c>
      <c r="V5401" s="197">
        <v>-333.21904789399531</v>
      </c>
    </row>
    <row r="5402" spans="21:22">
      <c r="U5402">
        <v>5360</v>
      </c>
      <c r="V5402" s="197">
        <v>551.89609109996979</v>
      </c>
    </row>
    <row r="5403" spans="21:22">
      <c r="U5403">
        <v>5361</v>
      </c>
      <c r="V5403" s="197">
        <v>67.917337983749448</v>
      </c>
    </row>
    <row r="5404" spans="21:22">
      <c r="U5404">
        <v>5362</v>
      </c>
      <c r="V5404" s="197">
        <v>418.56460882164737</v>
      </c>
    </row>
    <row r="5405" spans="21:22">
      <c r="U5405">
        <v>5363</v>
      </c>
      <c r="V5405" s="197">
        <v>1984.9549162350802</v>
      </c>
    </row>
    <row r="5406" spans="21:22">
      <c r="U5406">
        <v>5364</v>
      </c>
      <c r="V5406" s="197">
        <v>1375.9348235611362</v>
      </c>
    </row>
    <row r="5407" spans="21:22">
      <c r="U5407">
        <v>5365</v>
      </c>
      <c r="V5407" s="197">
        <v>1311.4326582657079</v>
      </c>
    </row>
    <row r="5408" spans="21:22">
      <c r="U5408">
        <v>5366</v>
      </c>
      <c r="V5408" s="197">
        <v>2.4370296259783117</v>
      </c>
    </row>
    <row r="5409" spans="21:22">
      <c r="U5409">
        <v>5367</v>
      </c>
      <c r="V5409" s="197">
        <v>-1091.3717661963092</v>
      </c>
    </row>
    <row r="5410" spans="21:22">
      <c r="U5410">
        <v>5368</v>
      </c>
      <c r="V5410" s="197">
        <v>1103.6704502531334</v>
      </c>
    </row>
    <row r="5411" spans="21:22">
      <c r="U5411">
        <v>5369</v>
      </c>
      <c r="V5411" s="197">
        <v>178.07886380518113</v>
      </c>
    </row>
    <row r="5412" spans="21:22">
      <c r="U5412">
        <v>5370</v>
      </c>
      <c r="V5412" s="197">
        <v>340.64834454563299</v>
      </c>
    </row>
    <row r="5413" spans="21:22">
      <c r="U5413">
        <v>5371</v>
      </c>
      <c r="V5413" s="197">
        <v>-608.83374713112062</v>
      </c>
    </row>
    <row r="5414" spans="21:22">
      <c r="U5414">
        <v>5372</v>
      </c>
      <c r="V5414" s="197">
        <v>797.92628325008423</v>
      </c>
    </row>
    <row r="5415" spans="21:22">
      <c r="U5415">
        <v>5373</v>
      </c>
      <c r="V5415" s="197">
        <v>464.91920752369549</v>
      </c>
    </row>
    <row r="5416" spans="21:22">
      <c r="U5416">
        <v>5374</v>
      </c>
      <c r="V5416" s="197">
        <v>918.17062587706118</v>
      </c>
    </row>
    <row r="5417" spans="21:22">
      <c r="U5417">
        <v>5375</v>
      </c>
      <c r="V5417" s="197">
        <v>118.44103066943498</v>
      </c>
    </row>
    <row r="5418" spans="21:22">
      <c r="U5418">
        <v>5376</v>
      </c>
      <c r="V5418" s="197">
        <v>698.68212836625344</v>
      </c>
    </row>
    <row r="5419" spans="21:22">
      <c r="U5419">
        <v>5377</v>
      </c>
      <c r="V5419" s="197">
        <v>117.83191142490568</v>
      </c>
    </row>
    <row r="5420" spans="21:22">
      <c r="U5420">
        <v>5378</v>
      </c>
      <c r="V5420" s="197">
        <v>-693.69795143818237</v>
      </c>
    </row>
    <row r="5421" spans="21:22">
      <c r="U5421">
        <v>5379</v>
      </c>
      <c r="V5421" s="197">
        <v>-1170.7761120583443</v>
      </c>
    </row>
    <row r="5422" spans="21:22">
      <c r="U5422">
        <v>5380</v>
      </c>
      <c r="V5422" s="197">
        <v>-168.60210384812746</v>
      </c>
    </row>
    <row r="5423" spans="21:22">
      <c r="U5423">
        <v>5381</v>
      </c>
      <c r="V5423" s="197">
        <v>2408.5919514352058</v>
      </c>
    </row>
    <row r="5424" spans="21:22">
      <c r="U5424">
        <v>5382</v>
      </c>
      <c r="V5424" s="197">
        <v>-1046.4525828719773</v>
      </c>
    </row>
    <row r="5425" spans="21:22">
      <c r="U5425">
        <v>5383</v>
      </c>
      <c r="V5425" s="197">
        <v>-509.27829728349724</v>
      </c>
    </row>
    <row r="5426" spans="21:22">
      <c r="U5426">
        <v>5384</v>
      </c>
      <c r="V5426" s="197">
        <v>-468.49760609650804</v>
      </c>
    </row>
    <row r="5427" spans="21:22">
      <c r="U5427">
        <v>5385</v>
      </c>
      <c r="V5427" s="197">
        <v>1121.2269523797593</v>
      </c>
    </row>
    <row r="5428" spans="21:22">
      <c r="U5428">
        <v>5386</v>
      </c>
      <c r="V5428" s="197">
        <v>148.69560196609302</v>
      </c>
    </row>
    <row r="5429" spans="21:22">
      <c r="U5429">
        <v>5387</v>
      </c>
      <c r="V5429" s="197">
        <v>526.47039548735211</v>
      </c>
    </row>
    <row r="5430" spans="21:22">
      <c r="U5430">
        <v>5388</v>
      </c>
      <c r="V5430" s="197">
        <v>-572.40344268960916</v>
      </c>
    </row>
    <row r="5431" spans="21:22">
      <c r="U5431">
        <v>5389</v>
      </c>
      <c r="V5431" s="197">
        <v>-394.69321928700475</v>
      </c>
    </row>
    <row r="5432" spans="21:22">
      <c r="U5432">
        <v>5390</v>
      </c>
      <c r="V5432" s="197">
        <v>-317.97770509231242</v>
      </c>
    </row>
    <row r="5433" spans="21:22">
      <c r="U5433">
        <v>5391</v>
      </c>
      <c r="V5433" s="197">
        <v>-90.286886985953714</v>
      </c>
    </row>
    <row r="5434" spans="21:22">
      <c r="U5434">
        <v>5392</v>
      </c>
      <c r="V5434" s="197">
        <v>148.68028032972336</v>
      </c>
    </row>
    <row r="5435" spans="21:22">
      <c r="U5435">
        <v>5393</v>
      </c>
      <c r="V5435" s="197">
        <v>-1127.6491161861063</v>
      </c>
    </row>
    <row r="5436" spans="21:22">
      <c r="U5436">
        <v>5394</v>
      </c>
      <c r="V5436" s="197">
        <v>-1454.6143440364601</v>
      </c>
    </row>
    <row r="5437" spans="21:22">
      <c r="U5437">
        <v>5395</v>
      </c>
      <c r="V5437" s="197">
        <v>-986.00498371515869</v>
      </c>
    </row>
    <row r="5438" spans="21:22">
      <c r="U5438">
        <v>5396</v>
      </c>
      <c r="V5438" s="197">
        <v>288.81128272701108</v>
      </c>
    </row>
    <row r="5439" spans="21:22">
      <c r="U5439">
        <v>5397</v>
      </c>
      <c r="V5439" s="197">
        <v>-353.47176210131488</v>
      </c>
    </row>
    <row r="5440" spans="21:22">
      <c r="U5440">
        <v>5398</v>
      </c>
      <c r="V5440" s="197">
        <v>323.58508034389587</v>
      </c>
    </row>
    <row r="5441" spans="21:22">
      <c r="U5441">
        <v>5399</v>
      </c>
      <c r="V5441" s="197">
        <v>-413.12868207403369</v>
      </c>
    </row>
    <row r="5442" spans="21:22">
      <c r="U5442">
        <v>5400</v>
      </c>
      <c r="V5442" s="197">
        <v>-154.15257702736997</v>
      </c>
    </row>
    <row r="5443" spans="21:22">
      <c r="U5443">
        <v>5401</v>
      </c>
      <c r="V5443" s="197">
        <v>-492.21165581834595</v>
      </c>
    </row>
    <row r="5444" spans="21:22">
      <c r="U5444">
        <v>5402</v>
      </c>
      <c r="V5444" s="197">
        <v>1685.0256169257823</v>
      </c>
    </row>
    <row r="5445" spans="21:22">
      <c r="U5445">
        <v>5403</v>
      </c>
      <c r="V5445" s="197">
        <v>131.32649707499405</v>
      </c>
    </row>
    <row r="5446" spans="21:22">
      <c r="U5446">
        <v>5404</v>
      </c>
      <c r="V5446" s="197">
        <v>-1508.8754711601916</v>
      </c>
    </row>
    <row r="5447" spans="21:22">
      <c r="U5447">
        <v>5405</v>
      </c>
      <c r="V5447" s="197">
        <v>666.79700821675851</v>
      </c>
    </row>
    <row r="5448" spans="21:22">
      <c r="U5448">
        <v>5406</v>
      </c>
      <c r="V5448" s="197">
        <v>-400.85265185900386</v>
      </c>
    </row>
    <row r="5449" spans="21:22">
      <c r="U5449">
        <v>5407</v>
      </c>
      <c r="V5449" s="197">
        <v>1244.6210417570887</v>
      </c>
    </row>
    <row r="5450" spans="21:22">
      <c r="U5450">
        <v>5408</v>
      </c>
      <c r="V5450" s="197">
        <v>1212.9999319511519</v>
      </c>
    </row>
    <row r="5451" spans="21:22">
      <c r="U5451">
        <v>5409</v>
      </c>
      <c r="V5451" s="197">
        <v>1167.7724409526654</v>
      </c>
    </row>
    <row r="5452" spans="21:22">
      <c r="U5452">
        <v>5410</v>
      </c>
      <c r="V5452" s="197">
        <v>-632.20210899808831</v>
      </c>
    </row>
    <row r="5453" spans="21:22">
      <c r="U5453">
        <v>5411</v>
      </c>
      <c r="V5453" s="197">
        <v>-2026.3673255987208</v>
      </c>
    </row>
    <row r="5454" spans="21:22">
      <c r="U5454">
        <v>5412</v>
      </c>
      <c r="V5454" s="197">
        <v>-1766.4824365452475</v>
      </c>
    </row>
    <row r="5455" spans="21:22">
      <c r="U5455">
        <v>5413</v>
      </c>
      <c r="V5455" s="197">
        <v>1346.7459706262875</v>
      </c>
    </row>
    <row r="5456" spans="21:22">
      <c r="U5456">
        <v>5414</v>
      </c>
      <c r="V5456" s="197">
        <v>-737.58305541617665</v>
      </c>
    </row>
    <row r="5457" spans="21:22">
      <c r="U5457">
        <v>5415</v>
      </c>
      <c r="V5457" s="197">
        <v>224.45182401913598</v>
      </c>
    </row>
    <row r="5458" spans="21:22">
      <c r="U5458">
        <v>5416</v>
      </c>
      <c r="V5458" s="197">
        <v>264.4636623254828</v>
      </c>
    </row>
    <row r="5459" spans="21:22">
      <c r="U5459">
        <v>5417</v>
      </c>
      <c r="V5459" s="197">
        <v>-789.62252228475336</v>
      </c>
    </row>
    <row r="5460" spans="21:22">
      <c r="U5460">
        <v>5418</v>
      </c>
      <c r="V5460" s="197">
        <v>-856.23179626290471</v>
      </c>
    </row>
    <row r="5461" spans="21:22">
      <c r="U5461">
        <v>5419</v>
      </c>
      <c r="V5461" s="197">
        <v>923.00132587572466</v>
      </c>
    </row>
    <row r="5462" spans="21:22">
      <c r="U5462">
        <v>5420</v>
      </c>
      <c r="V5462" s="197">
        <v>-1071.7548297240323</v>
      </c>
    </row>
    <row r="5463" spans="21:22">
      <c r="U5463">
        <v>5421</v>
      </c>
      <c r="V5463" s="197">
        <v>-406.50025632201607</v>
      </c>
    </row>
    <row r="5464" spans="21:22">
      <c r="U5464">
        <v>5422</v>
      </c>
      <c r="V5464" s="197">
        <v>1880.5055587382549</v>
      </c>
    </row>
    <row r="5465" spans="21:22">
      <c r="U5465">
        <v>5423</v>
      </c>
      <c r="V5465" s="197">
        <v>494.1143527462832</v>
      </c>
    </row>
    <row r="5466" spans="21:22">
      <c r="U5466">
        <v>5424</v>
      </c>
      <c r="V5466" s="197">
        <v>-34.954565941272733</v>
      </c>
    </row>
    <row r="5467" spans="21:22">
      <c r="U5467">
        <v>5425</v>
      </c>
      <c r="V5467" s="197">
        <v>-574.10083621539366</v>
      </c>
    </row>
    <row r="5468" spans="21:22">
      <c r="U5468">
        <v>5426</v>
      </c>
      <c r="V5468" s="197">
        <v>-965.19670339900722</v>
      </c>
    </row>
    <row r="5469" spans="21:22">
      <c r="U5469">
        <v>5427</v>
      </c>
      <c r="V5469" s="197">
        <v>-10.011373364822546</v>
      </c>
    </row>
    <row r="5470" spans="21:22">
      <c r="U5470">
        <v>5428</v>
      </c>
      <c r="V5470" s="197">
        <v>-167.88253280222352</v>
      </c>
    </row>
    <row r="5471" spans="21:22">
      <c r="U5471">
        <v>5429</v>
      </c>
      <c r="V5471" s="197">
        <v>-1007.2760802145783</v>
      </c>
    </row>
    <row r="5472" spans="21:22">
      <c r="U5472">
        <v>5430</v>
      </c>
      <c r="V5472" s="197">
        <v>1230.6983546946383</v>
      </c>
    </row>
    <row r="5473" spans="21:22">
      <c r="U5473">
        <v>5431</v>
      </c>
      <c r="V5473" s="197">
        <v>1000.7155451553808</v>
      </c>
    </row>
    <row r="5474" spans="21:22">
      <c r="U5474">
        <v>5432</v>
      </c>
      <c r="V5474" s="197">
        <v>1996.3490667444253</v>
      </c>
    </row>
    <row r="5475" spans="21:22">
      <c r="U5475">
        <v>5433</v>
      </c>
      <c r="V5475" s="197">
        <v>-1171.7298390565936</v>
      </c>
    </row>
    <row r="5476" spans="21:22">
      <c r="U5476">
        <v>5434</v>
      </c>
      <c r="V5476" s="197">
        <v>546.47757959890566</v>
      </c>
    </row>
    <row r="5477" spans="21:22">
      <c r="U5477">
        <v>5435</v>
      </c>
      <c r="V5477" s="197">
        <v>181.63296515840955</v>
      </c>
    </row>
    <row r="5478" spans="21:22">
      <c r="U5478">
        <v>5436</v>
      </c>
      <c r="V5478" s="197">
        <v>-559.83452594263872</v>
      </c>
    </row>
    <row r="5479" spans="21:22">
      <c r="U5479">
        <v>5437</v>
      </c>
      <c r="V5479" s="197">
        <v>-1817.0955551323179</v>
      </c>
    </row>
    <row r="5480" spans="21:22">
      <c r="U5480">
        <v>5438</v>
      </c>
      <c r="V5480" s="197">
        <v>546.9221364877792</v>
      </c>
    </row>
    <row r="5481" spans="21:22">
      <c r="U5481">
        <v>5439</v>
      </c>
      <c r="V5481" s="197">
        <v>82.656462390908359</v>
      </c>
    </row>
    <row r="5482" spans="21:22">
      <c r="U5482">
        <v>5440</v>
      </c>
      <c r="V5482" s="197">
        <v>-116.02603782883048</v>
      </c>
    </row>
    <row r="5483" spans="21:22">
      <c r="U5483">
        <v>5441</v>
      </c>
      <c r="V5483" s="197">
        <v>7.2335563666093776</v>
      </c>
    </row>
    <row r="5484" spans="21:22">
      <c r="U5484">
        <v>5442</v>
      </c>
      <c r="V5484" s="197">
        <v>633.74228783336662</v>
      </c>
    </row>
    <row r="5485" spans="21:22">
      <c r="U5485">
        <v>5443</v>
      </c>
      <c r="V5485" s="197">
        <v>513.39445202493494</v>
      </c>
    </row>
    <row r="5486" spans="21:22">
      <c r="U5486">
        <v>5444</v>
      </c>
      <c r="V5486" s="197">
        <v>1004.5036094847392</v>
      </c>
    </row>
    <row r="5487" spans="21:22">
      <c r="U5487">
        <v>5445</v>
      </c>
      <c r="V5487" s="197">
        <v>1698.5429426860453</v>
      </c>
    </row>
    <row r="5488" spans="21:22">
      <c r="U5488">
        <v>5446</v>
      </c>
      <c r="V5488" s="197">
        <v>1159.4667236089865</v>
      </c>
    </row>
    <row r="5489" spans="21:22">
      <c r="U5489">
        <v>5447</v>
      </c>
      <c r="V5489" s="197">
        <v>28.605398955992314</v>
      </c>
    </row>
    <row r="5490" spans="21:22">
      <c r="U5490">
        <v>5448</v>
      </c>
      <c r="V5490" s="197">
        <v>-1408.2767125067878</v>
      </c>
    </row>
    <row r="5491" spans="21:22">
      <c r="U5491">
        <v>5449</v>
      </c>
      <c r="V5491" s="197">
        <v>211.3280462949599</v>
      </c>
    </row>
    <row r="5492" spans="21:22">
      <c r="U5492">
        <v>5450</v>
      </c>
      <c r="V5492" s="197">
        <v>-1435.8779251357687</v>
      </c>
    </row>
    <row r="5493" spans="21:22">
      <c r="U5493">
        <v>5451</v>
      </c>
      <c r="V5493" s="197">
        <v>-234.16606088602668</v>
      </c>
    </row>
    <row r="5494" spans="21:22">
      <c r="U5494">
        <v>5452</v>
      </c>
      <c r="V5494" s="197">
        <v>-73.319359922791222</v>
      </c>
    </row>
    <row r="5495" spans="21:22">
      <c r="U5495">
        <v>5453</v>
      </c>
      <c r="V5495" s="197">
        <v>-2289.2662427050318</v>
      </c>
    </row>
    <row r="5496" spans="21:22">
      <c r="U5496">
        <v>5454</v>
      </c>
      <c r="V5496" s="197">
        <v>631.50308569434378</v>
      </c>
    </row>
    <row r="5497" spans="21:22">
      <c r="U5497">
        <v>5455</v>
      </c>
      <c r="V5497" s="197">
        <v>138.3084414801468</v>
      </c>
    </row>
    <row r="5498" spans="21:22">
      <c r="U5498">
        <v>5456</v>
      </c>
      <c r="V5498" s="197">
        <v>595.6332391568136</v>
      </c>
    </row>
    <row r="5499" spans="21:22">
      <c r="U5499">
        <v>5457</v>
      </c>
      <c r="V5499" s="197">
        <v>-831.06164152930751</v>
      </c>
    </row>
    <row r="5500" spans="21:22">
      <c r="U5500">
        <v>5458</v>
      </c>
      <c r="V5500" s="197">
        <v>-167.94767241856158</v>
      </c>
    </row>
    <row r="5501" spans="21:22">
      <c r="U5501">
        <v>5459</v>
      </c>
      <c r="V5501" s="197">
        <v>1717.813204551047</v>
      </c>
    </row>
    <row r="5502" spans="21:22">
      <c r="U5502">
        <v>5460</v>
      </c>
      <c r="V5502" s="197">
        <v>531.07985186934911</v>
      </c>
    </row>
    <row r="5503" spans="21:22">
      <c r="U5503">
        <v>5461</v>
      </c>
      <c r="V5503" s="197">
        <v>-111.25752496299214</v>
      </c>
    </row>
    <row r="5504" spans="21:22">
      <c r="U5504">
        <v>5462</v>
      </c>
      <c r="V5504" s="197">
        <v>554.91813641863166</v>
      </c>
    </row>
    <row r="5505" spans="21:22">
      <c r="U5505">
        <v>5463</v>
      </c>
      <c r="V5505" s="197">
        <v>-217.18724014470308</v>
      </c>
    </row>
    <row r="5506" spans="21:22">
      <c r="U5506">
        <v>5464</v>
      </c>
      <c r="V5506" s="197">
        <v>277.45729112137087</v>
      </c>
    </row>
    <row r="5507" spans="21:22">
      <c r="U5507">
        <v>5465</v>
      </c>
      <c r="V5507" s="197">
        <v>435.75332121586399</v>
      </c>
    </row>
    <row r="5508" spans="21:22">
      <c r="U5508">
        <v>5466</v>
      </c>
      <c r="V5508" s="197">
        <v>48.401307838162182</v>
      </c>
    </row>
    <row r="5509" spans="21:22">
      <c r="U5509">
        <v>5467</v>
      </c>
      <c r="V5509" s="197">
        <v>-116.0636350500651</v>
      </c>
    </row>
    <row r="5510" spans="21:22">
      <c r="U5510">
        <v>5468</v>
      </c>
      <c r="V5510" s="197">
        <v>19.562077143630461</v>
      </c>
    </row>
    <row r="5511" spans="21:22">
      <c r="U5511">
        <v>5469</v>
      </c>
      <c r="V5511" s="197">
        <v>-125.20623116497686</v>
      </c>
    </row>
    <row r="5512" spans="21:22">
      <c r="U5512">
        <v>5470</v>
      </c>
      <c r="V5512" s="197">
        <v>2242.6750504699762</v>
      </c>
    </row>
    <row r="5513" spans="21:22">
      <c r="U5513">
        <v>5471</v>
      </c>
      <c r="V5513" s="197">
        <v>-178.3017701296979</v>
      </c>
    </row>
    <row r="5514" spans="21:22">
      <c r="U5514">
        <v>5472</v>
      </c>
      <c r="V5514" s="197">
        <v>-838.06421936644892</v>
      </c>
    </row>
    <row r="5515" spans="21:22">
      <c r="U5515">
        <v>5473</v>
      </c>
      <c r="V5515" s="197">
        <v>-1105.7787385300592</v>
      </c>
    </row>
    <row r="5516" spans="21:22">
      <c r="U5516">
        <v>5474</v>
      </c>
      <c r="V5516" s="197">
        <v>-84.190652978025355</v>
      </c>
    </row>
    <row r="5517" spans="21:22">
      <c r="U5517">
        <v>5475</v>
      </c>
      <c r="V5517" s="197">
        <v>-1511.6534120256222</v>
      </c>
    </row>
    <row r="5518" spans="21:22">
      <c r="U5518">
        <v>5476</v>
      </c>
      <c r="V5518" s="197">
        <v>-381.11441492789675</v>
      </c>
    </row>
    <row r="5519" spans="21:22">
      <c r="U5519">
        <v>5477</v>
      </c>
      <c r="V5519" s="197">
        <v>-249.557867125033</v>
      </c>
    </row>
    <row r="5520" spans="21:22">
      <c r="U5520">
        <v>5478</v>
      </c>
      <c r="V5520" s="197">
        <v>458.19397653153248</v>
      </c>
    </row>
    <row r="5521" spans="21:22">
      <c r="U5521">
        <v>5479</v>
      </c>
      <c r="V5521" s="197">
        <v>800.34433954179349</v>
      </c>
    </row>
    <row r="5522" spans="21:22">
      <c r="U5522">
        <v>5480</v>
      </c>
      <c r="V5522" s="197">
        <v>342.07214770900117</v>
      </c>
    </row>
    <row r="5523" spans="21:22">
      <c r="U5523">
        <v>5481</v>
      </c>
      <c r="V5523" s="197">
        <v>-578.27898924088049</v>
      </c>
    </row>
    <row r="5524" spans="21:22">
      <c r="U5524">
        <v>5482</v>
      </c>
      <c r="V5524" s="197">
        <v>-540.78746181899578</v>
      </c>
    </row>
    <row r="5525" spans="21:22">
      <c r="U5525">
        <v>5483</v>
      </c>
      <c r="V5525" s="197">
        <v>-1014.2574320903918</v>
      </c>
    </row>
    <row r="5526" spans="21:22">
      <c r="U5526">
        <v>5484</v>
      </c>
      <c r="V5526" s="197">
        <v>-1017.3590395492213</v>
      </c>
    </row>
    <row r="5527" spans="21:22">
      <c r="U5527">
        <v>5485</v>
      </c>
      <c r="V5527" s="197">
        <v>-67.171569506431922</v>
      </c>
    </row>
    <row r="5528" spans="21:22">
      <c r="U5528">
        <v>5486</v>
      </c>
      <c r="V5528" s="197">
        <v>697.57405899588662</v>
      </c>
    </row>
    <row r="5529" spans="21:22">
      <c r="U5529">
        <v>5487</v>
      </c>
      <c r="V5529" s="197">
        <v>-1064.4358819107224</v>
      </c>
    </row>
    <row r="5530" spans="21:22">
      <c r="U5530">
        <v>5488</v>
      </c>
      <c r="V5530" s="197">
        <v>-147.7196517927743</v>
      </c>
    </row>
    <row r="5531" spans="21:22">
      <c r="U5531">
        <v>5489</v>
      </c>
      <c r="V5531" s="197">
        <v>1291.5741124347162</v>
      </c>
    </row>
    <row r="5532" spans="21:22">
      <c r="U5532">
        <v>5490</v>
      </c>
      <c r="V5532" s="197">
        <v>201.80400172597484</v>
      </c>
    </row>
    <row r="5533" spans="21:22">
      <c r="U5533">
        <v>5491</v>
      </c>
      <c r="V5533" s="197">
        <v>-843.19283337474758</v>
      </c>
    </row>
    <row r="5534" spans="21:22">
      <c r="U5534">
        <v>5492</v>
      </c>
      <c r="V5534" s="197">
        <v>-151.45561272965389</v>
      </c>
    </row>
    <row r="5535" spans="21:22">
      <c r="U5535">
        <v>5493</v>
      </c>
      <c r="V5535" s="197">
        <v>-385.67545382691389</v>
      </c>
    </row>
    <row r="5536" spans="21:22">
      <c r="U5536">
        <v>5494</v>
      </c>
      <c r="V5536" s="197">
        <v>363.2128771456052</v>
      </c>
    </row>
    <row r="5537" spans="21:22">
      <c r="U5537">
        <v>5495</v>
      </c>
      <c r="V5537" s="197">
        <v>803.40184994979904</v>
      </c>
    </row>
    <row r="5538" spans="21:22">
      <c r="U5538">
        <v>5496</v>
      </c>
      <c r="V5538" s="197">
        <v>136.63864722542522</v>
      </c>
    </row>
    <row r="5539" spans="21:22">
      <c r="U5539">
        <v>5497</v>
      </c>
      <c r="V5539" s="197">
        <v>-1797.981994445589</v>
      </c>
    </row>
    <row r="5540" spans="21:22">
      <c r="U5540">
        <v>5498</v>
      </c>
      <c r="V5540" s="197">
        <v>1331.6302107557619</v>
      </c>
    </row>
    <row r="5541" spans="21:22">
      <c r="U5541">
        <v>5499</v>
      </c>
      <c r="V5541" s="197">
        <v>548.84711036578267</v>
      </c>
    </row>
    <row r="5542" spans="21:22">
      <c r="U5542">
        <v>5500</v>
      </c>
      <c r="V5542" s="197">
        <v>-1631.3134356135083</v>
      </c>
    </row>
    <row r="5543" spans="21:22">
      <c r="U5543">
        <v>5501</v>
      </c>
      <c r="V5543" s="197">
        <v>190.20106846585645</v>
      </c>
    </row>
    <row r="5544" spans="21:22">
      <c r="U5544">
        <v>5502</v>
      </c>
      <c r="V5544" s="197">
        <v>1341.9098426239566</v>
      </c>
    </row>
    <row r="5545" spans="21:22">
      <c r="U5545">
        <v>5503</v>
      </c>
      <c r="V5545" s="197">
        <v>-819.85889356157577</v>
      </c>
    </row>
    <row r="5546" spans="21:22">
      <c r="U5546">
        <v>5504</v>
      </c>
      <c r="V5546" s="197">
        <v>-979.35566288797577</v>
      </c>
    </row>
    <row r="5547" spans="21:22">
      <c r="U5547">
        <v>5505</v>
      </c>
      <c r="V5547" s="197">
        <v>1342.5657883144977</v>
      </c>
    </row>
    <row r="5548" spans="21:22">
      <c r="U5548">
        <v>5506</v>
      </c>
      <c r="V5548" s="197">
        <v>178.73929317053131</v>
      </c>
    </row>
    <row r="5549" spans="21:22">
      <c r="U5549">
        <v>5507</v>
      </c>
      <c r="V5549" s="197">
        <v>2272.4867857588433</v>
      </c>
    </row>
    <row r="5550" spans="21:22">
      <c r="U5550">
        <v>5508</v>
      </c>
      <c r="V5550" s="197">
        <v>-1535.1359656376421</v>
      </c>
    </row>
    <row r="5551" spans="21:22">
      <c r="U5551">
        <v>5509</v>
      </c>
      <c r="V5551" s="197">
        <v>133.87001715168216</v>
      </c>
    </row>
    <row r="5552" spans="21:22">
      <c r="U5552">
        <v>5510</v>
      </c>
      <c r="V5552" s="197">
        <v>-939.78970561083133</v>
      </c>
    </row>
    <row r="5553" spans="21:22">
      <c r="U5553">
        <v>5511</v>
      </c>
      <c r="V5553" s="197">
        <v>129.31190879604188</v>
      </c>
    </row>
    <row r="5554" spans="21:22">
      <c r="U5554">
        <v>5512</v>
      </c>
      <c r="V5554" s="197">
        <v>1111.5015352204211</v>
      </c>
    </row>
    <row r="5555" spans="21:22">
      <c r="U5555">
        <v>5513</v>
      </c>
      <c r="V5555" s="197">
        <v>356.91844216844351</v>
      </c>
    </row>
    <row r="5556" spans="21:22">
      <c r="U5556">
        <v>5514</v>
      </c>
      <c r="V5556" s="197">
        <v>-609.04866169500428</v>
      </c>
    </row>
    <row r="5557" spans="21:22">
      <c r="U5557">
        <v>5515</v>
      </c>
      <c r="V5557" s="197">
        <v>-1082.1357184793799</v>
      </c>
    </row>
    <row r="5558" spans="21:22">
      <c r="U5558">
        <v>5516</v>
      </c>
      <c r="V5558" s="197">
        <v>-130.20187701209682</v>
      </c>
    </row>
    <row r="5559" spans="21:22">
      <c r="U5559">
        <v>5517</v>
      </c>
      <c r="V5559" s="197">
        <v>1447.0262718871275</v>
      </c>
    </row>
    <row r="5560" spans="21:22">
      <c r="U5560">
        <v>5518</v>
      </c>
      <c r="V5560" s="197">
        <v>25.375253769612684</v>
      </c>
    </row>
    <row r="5561" spans="21:22">
      <c r="U5561">
        <v>5519</v>
      </c>
      <c r="V5561" s="197">
        <v>1244.244229994559</v>
      </c>
    </row>
    <row r="5562" spans="21:22">
      <c r="U5562">
        <v>5520</v>
      </c>
      <c r="V5562" s="197">
        <v>465.76359458705224</v>
      </c>
    </row>
    <row r="5563" spans="21:22">
      <c r="U5563">
        <v>5521</v>
      </c>
      <c r="V5563" s="197">
        <v>508.62023312179861</v>
      </c>
    </row>
    <row r="5564" spans="21:22">
      <c r="U5564">
        <v>5522</v>
      </c>
      <c r="V5564" s="197">
        <v>-1160.2236381414571</v>
      </c>
    </row>
    <row r="5565" spans="21:22">
      <c r="U5565">
        <v>5523</v>
      </c>
      <c r="V5565" s="197">
        <v>-2935.2950406821055</v>
      </c>
    </row>
    <row r="5566" spans="21:22">
      <c r="U5566">
        <v>5524</v>
      </c>
      <c r="V5566" s="197">
        <v>-1443.093773268726</v>
      </c>
    </row>
    <row r="5567" spans="21:22">
      <c r="U5567">
        <v>5525</v>
      </c>
      <c r="V5567" s="197">
        <v>390.69065869597586</v>
      </c>
    </row>
    <row r="5568" spans="21:22">
      <c r="U5568">
        <v>5526</v>
      </c>
      <c r="V5568" s="197">
        <v>821.42267363539167</v>
      </c>
    </row>
    <row r="5569" spans="21:22">
      <c r="U5569">
        <v>5527</v>
      </c>
      <c r="V5569" s="197">
        <v>105.41804714988911</v>
      </c>
    </row>
    <row r="5570" spans="21:22">
      <c r="U5570">
        <v>5528</v>
      </c>
      <c r="V5570" s="197">
        <v>1721.9647684677916</v>
      </c>
    </row>
    <row r="5571" spans="21:22">
      <c r="U5571">
        <v>5529</v>
      </c>
      <c r="V5571" s="197">
        <v>83.643957860548255</v>
      </c>
    </row>
    <row r="5572" spans="21:22">
      <c r="U5572">
        <v>5530</v>
      </c>
      <c r="V5572" s="197">
        <v>254.67844741811351</v>
      </c>
    </row>
    <row r="5573" spans="21:22">
      <c r="U5573">
        <v>5531</v>
      </c>
      <c r="V5573" s="197">
        <v>-351.84974680608997</v>
      </c>
    </row>
    <row r="5574" spans="21:22">
      <c r="U5574">
        <v>5532</v>
      </c>
      <c r="V5574" s="197">
        <v>2707.1475671464677</v>
      </c>
    </row>
    <row r="5575" spans="21:22">
      <c r="U5575">
        <v>5533</v>
      </c>
      <c r="V5575" s="197">
        <v>-419.43235056913801</v>
      </c>
    </row>
    <row r="5576" spans="21:22">
      <c r="U5576">
        <v>5534</v>
      </c>
      <c r="V5576" s="197">
        <v>1310.4472484593234</v>
      </c>
    </row>
    <row r="5577" spans="21:22">
      <c r="U5577">
        <v>5535</v>
      </c>
      <c r="V5577" s="197">
        <v>-178.89304797866339</v>
      </c>
    </row>
    <row r="5578" spans="21:22">
      <c r="U5578">
        <v>5536</v>
      </c>
      <c r="V5578" s="197">
        <v>-1030.8104991093676</v>
      </c>
    </row>
    <row r="5579" spans="21:22">
      <c r="U5579">
        <v>5537</v>
      </c>
      <c r="V5579" s="197">
        <v>-786.92137686900833</v>
      </c>
    </row>
    <row r="5580" spans="21:22">
      <c r="U5580">
        <v>5538</v>
      </c>
      <c r="V5580" s="197">
        <v>-1030.1663145886928</v>
      </c>
    </row>
    <row r="5581" spans="21:22">
      <c r="U5581">
        <v>5539</v>
      </c>
      <c r="V5581" s="197">
        <v>-1012.7274481579771</v>
      </c>
    </row>
    <row r="5582" spans="21:22">
      <c r="U5582">
        <v>5540</v>
      </c>
      <c r="V5582" s="197">
        <v>-903.51650186157394</v>
      </c>
    </row>
    <row r="5583" spans="21:22">
      <c r="U5583">
        <v>5541</v>
      </c>
      <c r="V5583" s="197">
        <v>509.26395998308959</v>
      </c>
    </row>
    <row r="5584" spans="21:22">
      <c r="U5584">
        <v>5542</v>
      </c>
      <c r="V5584" s="197">
        <v>-864.18581991471729</v>
      </c>
    </row>
    <row r="5585" spans="21:22">
      <c r="U5585">
        <v>5543</v>
      </c>
      <c r="V5585" s="197">
        <v>-1785.1961583254968</v>
      </c>
    </row>
    <row r="5586" spans="21:22">
      <c r="U5586">
        <v>5544</v>
      </c>
      <c r="V5586" s="197">
        <v>-294.87290285880169</v>
      </c>
    </row>
    <row r="5587" spans="21:22">
      <c r="U5587">
        <v>5545</v>
      </c>
      <c r="V5587" s="197">
        <v>1744.156691319703</v>
      </c>
    </row>
    <row r="5588" spans="21:22">
      <c r="U5588">
        <v>5546</v>
      </c>
      <c r="V5588" s="197">
        <v>-336.0720085224616</v>
      </c>
    </row>
    <row r="5589" spans="21:22">
      <c r="U5589">
        <v>5547</v>
      </c>
      <c r="V5589" s="197">
        <v>-650.96039216346026</v>
      </c>
    </row>
    <row r="5590" spans="21:22">
      <c r="U5590">
        <v>5548</v>
      </c>
      <c r="V5590" s="197">
        <v>-357.80563073513571</v>
      </c>
    </row>
    <row r="5591" spans="21:22">
      <c r="U5591">
        <v>5549</v>
      </c>
      <c r="V5591" s="197">
        <v>1641.5864351298512</v>
      </c>
    </row>
    <row r="5592" spans="21:22">
      <c r="U5592">
        <v>5550</v>
      </c>
      <c r="V5592" s="197">
        <v>1069.3436013212222</v>
      </c>
    </row>
    <row r="5593" spans="21:22">
      <c r="U5593">
        <v>5551</v>
      </c>
      <c r="V5593" s="197">
        <v>-447.74342201792712</v>
      </c>
    </row>
    <row r="5594" spans="21:22">
      <c r="U5594">
        <v>5552</v>
      </c>
      <c r="V5594" s="197">
        <v>-41.092850190671896</v>
      </c>
    </row>
    <row r="5595" spans="21:22">
      <c r="U5595">
        <v>5553</v>
      </c>
      <c r="V5595" s="197">
        <v>1650.5481542588439</v>
      </c>
    </row>
    <row r="5596" spans="21:22">
      <c r="U5596">
        <v>5554</v>
      </c>
      <c r="V5596" s="197">
        <v>-2073.2148337381823</v>
      </c>
    </row>
    <row r="5597" spans="21:22">
      <c r="U5597">
        <v>5555</v>
      </c>
      <c r="V5597" s="197">
        <v>-705.59889693294349</v>
      </c>
    </row>
    <row r="5598" spans="21:22">
      <c r="U5598">
        <v>5556</v>
      </c>
      <c r="V5598" s="197">
        <v>569.51267794942976</v>
      </c>
    </row>
    <row r="5599" spans="21:22">
      <c r="U5599">
        <v>5557</v>
      </c>
      <c r="V5599" s="197">
        <v>986.69588832752993</v>
      </c>
    </row>
    <row r="5600" spans="21:22">
      <c r="U5600">
        <v>5558</v>
      </c>
      <c r="V5600" s="197">
        <v>158.46531771114235</v>
      </c>
    </row>
    <row r="5601" spans="21:22">
      <c r="U5601">
        <v>5559</v>
      </c>
      <c r="V5601" s="197">
        <v>542.02547477127553</v>
      </c>
    </row>
    <row r="5602" spans="21:22">
      <c r="U5602">
        <v>5560</v>
      </c>
      <c r="V5602" s="197">
        <v>-353.18106210836527</v>
      </c>
    </row>
    <row r="5603" spans="21:22">
      <c r="U5603">
        <v>5561</v>
      </c>
      <c r="V5603" s="197">
        <v>657.725457302118</v>
      </c>
    </row>
    <row r="5604" spans="21:22">
      <c r="U5604">
        <v>5562</v>
      </c>
      <c r="V5604" s="197">
        <v>806.98989249466695</v>
      </c>
    </row>
    <row r="5605" spans="21:22">
      <c r="U5605">
        <v>5563</v>
      </c>
      <c r="V5605" s="197">
        <v>-95.120216992222197</v>
      </c>
    </row>
    <row r="5606" spans="21:22">
      <c r="U5606">
        <v>5564</v>
      </c>
      <c r="V5606" s="197">
        <v>757.72531276367931</v>
      </c>
    </row>
    <row r="5607" spans="21:22">
      <c r="U5607">
        <v>5565</v>
      </c>
      <c r="V5607" s="197">
        <v>-677.03210650699339</v>
      </c>
    </row>
    <row r="5608" spans="21:22">
      <c r="U5608">
        <v>5566</v>
      </c>
      <c r="V5608" s="197">
        <v>370.23474997341918</v>
      </c>
    </row>
    <row r="5609" spans="21:22">
      <c r="U5609">
        <v>5567</v>
      </c>
      <c r="V5609" s="197">
        <v>-64.798181362372219</v>
      </c>
    </row>
    <row r="5610" spans="21:22">
      <c r="U5610">
        <v>5568</v>
      </c>
      <c r="V5610" s="197">
        <v>-407.15794659950666</v>
      </c>
    </row>
    <row r="5611" spans="21:22">
      <c r="U5611">
        <v>5569</v>
      </c>
      <c r="V5611" s="197">
        <v>-724.12475031056852</v>
      </c>
    </row>
    <row r="5612" spans="21:22">
      <c r="U5612">
        <v>5570</v>
      </c>
      <c r="V5612" s="197">
        <v>934.46091011170165</v>
      </c>
    </row>
    <row r="5613" spans="21:22">
      <c r="U5613">
        <v>5571</v>
      </c>
      <c r="V5613" s="197">
        <v>1441.0042160199891</v>
      </c>
    </row>
    <row r="5614" spans="21:22">
      <c r="U5614">
        <v>5572</v>
      </c>
      <c r="V5614" s="197">
        <v>85.110402351439291</v>
      </c>
    </row>
    <row r="5615" spans="21:22">
      <c r="U5615">
        <v>5573</v>
      </c>
      <c r="V5615" s="197">
        <v>577.90895663832271</v>
      </c>
    </row>
    <row r="5616" spans="21:22">
      <c r="U5616">
        <v>5574</v>
      </c>
      <c r="V5616" s="197">
        <v>-45.59461025878494</v>
      </c>
    </row>
    <row r="5617" spans="21:22">
      <c r="U5617">
        <v>5575</v>
      </c>
      <c r="V5617" s="197">
        <v>351.86106396317592</v>
      </c>
    </row>
    <row r="5618" spans="21:22">
      <c r="U5618">
        <v>5576</v>
      </c>
      <c r="V5618" s="197">
        <v>1065.5269860456619</v>
      </c>
    </row>
    <row r="5619" spans="21:22">
      <c r="U5619">
        <v>5577</v>
      </c>
      <c r="V5619" s="197">
        <v>-144.96275970775372</v>
      </c>
    </row>
    <row r="5620" spans="21:22">
      <c r="U5620">
        <v>5578</v>
      </c>
      <c r="V5620" s="197">
        <v>-1062.2195090128712</v>
      </c>
    </row>
    <row r="5621" spans="21:22">
      <c r="U5621">
        <v>5579</v>
      </c>
      <c r="V5621" s="197">
        <v>902.43337681255753</v>
      </c>
    </row>
    <row r="5622" spans="21:22">
      <c r="U5622">
        <v>5580</v>
      </c>
      <c r="V5622" s="197">
        <v>-226.13743487079103</v>
      </c>
    </row>
    <row r="5623" spans="21:22">
      <c r="U5623">
        <v>5581</v>
      </c>
      <c r="V5623" s="197">
        <v>614.87839788978999</v>
      </c>
    </row>
    <row r="5624" spans="21:22">
      <c r="U5624">
        <v>5582</v>
      </c>
      <c r="V5624" s="197">
        <v>-914.20406886346404</v>
      </c>
    </row>
    <row r="5625" spans="21:22">
      <c r="U5625">
        <v>5583</v>
      </c>
      <c r="V5625" s="197">
        <v>-1838.3793835065544</v>
      </c>
    </row>
    <row r="5626" spans="21:22">
      <c r="U5626">
        <v>5584</v>
      </c>
      <c r="V5626" s="197">
        <v>-2154.638856913607</v>
      </c>
    </row>
    <row r="5627" spans="21:22">
      <c r="U5627">
        <v>5585</v>
      </c>
      <c r="V5627" s="197">
        <v>-14.329142399347575</v>
      </c>
    </row>
    <row r="5628" spans="21:22">
      <c r="U5628">
        <v>5586</v>
      </c>
      <c r="V5628" s="197">
        <v>-136.19444949526905</v>
      </c>
    </row>
    <row r="5629" spans="21:22">
      <c r="U5629">
        <v>5587</v>
      </c>
      <c r="V5629" s="197">
        <v>-1135.296931418236</v>
      </c>
    </row>
    <row r="5630" spans="21:22">
      <c r="U5630">
        <v>5588</v>
      </c>
      <c r="V5630" s="197">
        <v>-1350.7900689033522</v>
      </c>
    </row>
    <row r="5631" spans="21:22">
      <c r="U5631">
        <v>5589</v>
      </c>
      <c r="V5631" s="197">
        <v>-1500.2318935947769</v>
      </c>
    </row>
    <row r="5632" spans="21:22">
      <c r="U5632">
        <v>5590</v>
      </c>
      <c r="V5632" s="197">
        <v>1290.7231372918134</v>
      </c>
    </row>
    <row r="5633" spans="21:22">
      <c r="U5633">
        <v>5591</v>
      </c>
      <c r="V5633" s="197">
        <v>1994.6190828849776</v>
      </c>
    </row>
    <row r="5634" spans="21:22">
      <c r="U5634">
        <v>5592</v>
      </c>
      <c r="V5634" s="197">
        <v>1024.7780714705584</v>
      </c>
    </row>
    <row r="5635" spans="21:22">
      <c r="U5635">
        <v>5593</v>
      </c>
      <c r="V5635" s="197">
        <v>-1275.8580138571967</v>
      </c>
    </row>
    <row r="5636" spans="21:22">
      <c r="U5636">
        <v>5594</v>
      </c>
      <c r="V5636" s="197">
        <v>-518.15549739499488</v>
      </c>
    </row>
    <row r="5637" spans="21:22">
      <c r="U5637">
        <v>5595</v>
      </c>
      <c r="V5637" s="197">
        <v>1004.9533338742551</v>
      </c>
    </row>
    <row r="5638" spans="21:22">
      <c r="U5638">
        <v>5596</v>
      </c>
      <c r="V5638" s="197">
        <v>307.68745034469396</v>
      </c>
    </row>
    <row r="5639" spans="21:22">
      <c r="U5639">
        <v>5597</v>
      </c>
      <c r="V5639" s="197">
        <v>-561.62610393682075</v>
      </c>
    </row>
    <row r="5640" spans="21:22">
      <c r="U5640">
        <v>5598</v>
      </c>
      <c r="V5640" s="197">
        <v>1233.6167915330982</v>
      </c>
    </row>
    <row r="5641" spans="21:22">
      <c r="U5641">
        <v>5599</v>
      </c>
      <c r="V5641" s="197">
        <v>-2167.0602727793098</v>
      </c>
    </row>
    <row r="5642" spans="21:22">
      <c r="U5642">
        <v>5600</v>
      </c>
      <c r="V5642" s="197">
        <v>149.39038926429453</v>
      </c>
    </row>
    <row r="5643" spans="21:22">
      <c r="U5643">
        <v>5601</v>
      </c>
      <c r="V5643" s="197">
        <v>1148.0566078466577</v>
      </c>
    </row>
    <row r="5644" spans="21:22">
      <c r="U5644">
        <v>5602</v>
      </c>
      <c r="V5644" s="197">
        <v>-708.82284116889991</v>
      </c>
    </row>
    <row r="5645" spans="21:22">
      <c r="U5645">
        <v>5603</v>
      </c>
      <c r="V5645" s="197">
        <v>1013.6996567517392</v>
      </c>
    </row>
    <row r="5646" spans="21:22">
      <c r="U5646">
        <v>5604</v>
      </c>
      <c r="V5646" s="197">
        <v>-758.7464703127016</v>
      </c>
    </row>
    <row r="5647" spans="21:22">
      <c r="U5647">
        <v>5605</v>
      </c>
      <c r="V5647" s="197">
        <v>1143.3477022541374</v>
      </c>
    </row>
    <row r="5648" spans="21:22">
      <c r="U5648">
        <v>5606</v>
      </c>
      <c r="V5648" s="197">
        <v>353.93971012573394</v>
      </c>
    </row>
    <row r="5649" spans="21:22">
      <c r="U5649">
        <v>5607</v>
      </c>
      <c r="V5649" s="197">
        <v>-1125.1614720906184</v>
      </c>
    </row>
    <row r="5650" spans="21:22">
      <c r="U5650">
        <v>5608</v>
      </c>
      <c r="V5650" s="197">
        <v>1087.3396968654226</v>
      </c>
    </row>
    <row r="5651" spans="21:22">
      <c r="U5651">
        <v>5609</v>
      </c>
      <c r="V5651" s="197">
        <v>-55.653199460836504</v>
      </c>
    </row>
    <row r="5652" spans="21:22">
      <c r="U5652">
        <v>5610</v>
      </c>
      <c r="V5652" s="197">
        <v>186.50966753887235</v>
      </c>
    </row>
    <row r="5653" spans="21:22">
      <c r="U5653">
        <v>5611</v>
      </c>
      <c r="V5653" s="197">
        <v>-218.20388984995066</v>
      </c>
    </row>
    <row r="5654" spans="21:22">
      <c r="U5654">
        <v>5612</v>
      </c>
      <c r="V5654" s="197">
        <v>94.890123365388618</v>
      </c>
    </row>
    <row r="5655" spans="21:22">
      <c r="U5655">
        <v>5613</v>
      </c>
      <c r="V5655" s="197">
        <v>-1046.7901492674905</v>
      </c>
    </row>
    <row r="5656" spans="21:22">
      <c r="U5656">
        <v>5614</v>
      </c>
      <c r="V5656" s="197">
        <v>-2.235571041359492</v>
      </c>
    </row>
    <row r="5657" spans="21:22">
      <c r="U5657">
        <v>5615</v>
      </c>
      <c r="V5657" s="197">
        <v>-1012.1133910117783</v>
      </c>
    </row>
    <row r="5658" spans="21:22">
      <c r="U5658">
        <v>5616</v>
      </c>
      <c r="V5658" s="197">
        <v>-594.07086641156957</v>
      </c>
    </row>
    <row r="5659" spans="21:22">
      <c r="U5659">
        <v>5617</v>
      </c>
      <c r="V5659" s="197">
        <v>-1219.4245102287573</v>
      </c>
    </row>
    <row r="5660" spans="21:22">
      <c r="U5660">
        <v>5618</v>
      </c>
      <c r="V5660" s="197">
        <v>859.47252157399612</v>
      </c>
    </row>
    <row r="5661" spans="21:22">
      <c r="U5661">
        <v>5619</v>
      </c>
      <c r="V5661" s="197">
        <v>-726.76793788853274</v>
      </c>
    </row>
    <row r="5662" spans="21:22">
      <c r="U5662">
        <v>5620</v>
      </c>
      <c r="V5662" s="197">
        <v>269.03948468798325</v>
      </c>
    </row>
    <row r="5663" spans="21:22">
      <c r="U5663">
        <v>5621</v>
      </c>
      <c r="V5663" s="197">
        <v>-611.92411802137622</v>
      </c>
    </row>
    <row r="5664" spans="21:22">
      <c r="U5664">
        <v>5622</v>
      </c>
      <c r="V5664" s="197">
        <v>-525.06696190567186</v>
      </c>
    </row>
    <row r="5665" spans="21:22">
      <c r="U5665">
        <v>5623</v>
      </c>
      <c r="V5665" s="197">
        <v>830.85013293059046</v>
      </c>
    </row>
    <row r="5666" spans="21:22">
      <c r="U5666">
        <v>5624</v>
      </c>
      <c r="V5666" s="197">
        <v>-830.73194837875849</v>
      </c>
    </row>
    <row r="5667" spans="21:22">
      <c r="U5667">
        <v>5625</v>
      </c>
      <c r="V5667" s="197">
        <v>276.77229409103666</v>
      </c>
    </row>
    <row r="5668" spans="21:22">
      <c r="U5668">
        <v>5626</v>
      </c>
      <c r="V5668" s="197">
        <v>248.39643688883828</v>
      </c>
    </row>
    <row r="5669" spans="21:22">
      <c r="U5669">
        <v>5627</v>
      </c>
      <c r="V5669" s="197">
        <v>2975.5724524585221</v>
      </c>
    </row>
    <row r="5670" spans="21:22">
      <c r="U5670">
        <v>5628</v>
      </c>
      <c r="V5670" s="197">
        <v>340.98216828065279</v>
      </c>
    </row>
    <row r="5671" spans="21:22">
      <c r="U5671">
        <v>5629</v>
      </c>
      <c r="V5671" s="197">
        <v>-347.76888305221235</v>
      </c>
    </row>
    <row r="5672" spans="21:22">
      <c r="U5672">
        <v>5630</v>
      </c>
      <c r="V5672" s="197">
        <v>-555.94951779098187</v>
      </c>
    </row>
    <row r="5673" spans="21:22">
      <c r="U5673">
        <v>5631</v>
      </c>
      <c r="V5673" s="197">
        <v>211.78796643699508</v>
      </c>
    </row>
    <row r="5674" spans="21:22">
      <c r="U5674">
        <v>5632</v>
      </c>
      <c r="V5674" s="197">
        <v>182.05690344795721</v>
      </c>
    </row>
    <row r="5675" spans="21:22">
      <c r="U5675">
        <v>5633</v>
      </c>
      <c r="V5675" s="197">
        <v>-630.63608845789281</v>
      </c>
    </row>
    <row r="5676" spans="21:22">
      <c r="U5676">
        <v>5634</v>
      </c>
      <c r="V5676" s="197">
        <v>-1437.6009642967601</v>
      </c>
    </row>
    <row r="5677" spans="21:22">
      <c r="U5677">
        <v>5635</v>
      </c>
      <c r="V5677" s="197">
        <v>429.81694775474779</v>
      </c>
    </row>
    <row r="5678" spans="21:22">
      <c r="U5678">
        <v>5636</v>
      </c>
      <c r="V5678" s="197">
        <v>-728.73179806205576</v>
      </c>
    </row>
    <row r="5679" spans="21:22">
      <c r="U5679">
        <v>5637</v>
      </c>
      <c r="V5679" s="197">
        <v>-1409.2233796688593</v>
      </c>
    </row>
    <row r="5680" spans="21:22">
      <c r="U5680">
        <v>5638</v>
      </c>
      <c r="V5680" s="197">
        <v>592.48918653602141</v>
      </c>
    </row>
    <row r="5681" spans="21:22">
      <c r="U5681">
        <v>5639</v>
      </c>
      <c r="V5681" s="197">
        <v>-1809.1449988317995</v>
      </c>
    </row>
    <row r="5682" spans="21:22">
      <c r="U5682">
        <v>5640</v>
      </c>
      <c r="V5682" s="197">
        <v>-2394.3633738181661</v>
      </c>
    </row>
    <row r="5683" spans="21:22">
      <c r="U5683">
        <v>5641</v>
      </c>
      <c r="V5683" s="197">
        <v>680.54207691910096</v>
      </c>
    </row>
    <row r="5684" spans="21:22">
      <c r="U5684">
        <v>5642</v>
      </c>
      <c r="V5684" s="197">
        <v>-546.10262319320077</v>
      </c>
    </row>
    <row r="5685" spans="21:22">
      <c r="U5685">
        <v>5643</v>
      </c>
      <c r="V5685" s="197">
        <v>544.56733152661923</v>
      </c>
    </row>
    <row r="5686" spans="21:22">
      <c r="U5686">
        <v>5644</v>
      </c>
      <c r="V5686" s="197">
        <v>1187.200920938632</v>
      </c>
    </row>
    <row r="5687" spans="21:22">
      <c r="U5687">
        <v>5645</v>
      </c>
      <c r="V5687" s="197">
        <v>407.38996290323684</v>
      </c>
    </row>
    <row r="5688" spans="21:22">
      <c r="U5688">
        <v>5646</v>
      </c>
      <c r="V5688" s="197">
        <v>530.47281841153017</v>
      </c>
    </row>
    <row r="5689" spans="21:22">
      <c r="U5689">
        <v>5647</v>
      </c>
      <c r="V5689" s="197">
        <v>1720.5607399241107</v>
      </c>
    </row>
    <row r="5690" spans="21:22">
      <c r="U5690">
        <v>5648</v>
      </c>
      <c r="V5690" s="197">
        <v>213.24948818504961</v>
      </c>
    </row>
    <row r="5691" spans="21:22">
      <c r="U5691">
        <v>5649</v>
      </c>
      <c r="V5691" s="197">
        <v>-1498.0737442325442</v>
      </c>
    </row>
    <row r="5692" spans="21:22">
      <c r="U5692">
        <v>5650</v>
      </c>
      <c r="V5692" s="197">
        <v>-1007.6383746383501</v>
      </c>
    </row>
    <row r="5693" spans="21:22">
      <c r="U5693">
        <v>5651</v>
      </c>
      <c r="V5693" s="197">
        <v>964.18792481560376</v>
      </c>
    </row>
    <row r="5694" spans="21:22">
      <c r="U5694">
        <v>5652</v>
      </c>
      <c r="V5694" s="197">
        <v>-1503.9058531204187</v>
      </c>
    </row>
    <row r="5695" spans="21:22">
      <c r="U5695">
        <v>5653</v>
      </c>
      <c r="V5695" s="197">
        <v>-744.21918006630426</v>
      </c>
    </row>
    <row r="5696" spans="21:22">
      <c r="U5696">
        <v>5654</v>
      </c>
      <c r="V5696" s="197">
        <v>1105.52915685876</v>
      </c>
    </row>
    <row r="5697" spans="21:22">
      <c r="U5697">
        <v>5655</v>
      </c>
      <c r="V5697" s="197">
        <v>408.06617425382825</v>
      </c>
    </row>
    <row r="5698" spans="21:22">
      <c r="U5698">
        <v>5656</v>
      </c>
      <c r="V5698" s="197">
        <v>-747.18618701783703</v>
      </c>
    </row>
    <row r="5699" spans="21:22">
      <c r="U5699">
        <v>5657</v>
      </c>
      <c r="V5699" s="197">
        <v>532.35434830804434</v>
      </c>
    </row>
    <row r="5700" spans="21:22">
      <c r="U5700">
        <v>5658</v>
      </c>
      <c r="V5700" s="197">
        <v>-458.02582290647871</v>
      </c>
    </row>
    <row r="5701" spans="21:22">
      <c r="U5701">
        <v>5659</v>
      </c>
      <c r="V5701" s="197">
        <v>295.54245536312931</v>
      </c>
    </row>
    <row r="5702" spans="21:22">
      <c r="U5702">
        <v>5660</v>
      </c>
      <c r="V5702" s="197">
        <v>73.522179060715189</v>
      </c>
    </row>
    <row r="5703" spans="21:22">
      <c r="U5703">
        <v>5661</v>
      </c>
      <c r="V5703" s="197">
        <v>-586.60654980171057</v>
      </c>
    </row>
    <row r="5704" spans="21:22">
      <c r="U5704">
        <v>5662</v>
      </c>
      <c r="V5704" s="197">
        <v>1060.5358740794154</v>
      </c>
    </row>
    <row r="5705" spans="21:22">
      <c r="U5705">
        <v>5663</v>
      </c>
      <c r="V5705" s="197">
        <v>703.78613692155864</v>
      </c>
    </row>
    <row r="5706" spans="21:22">
      <c r="U5706">
        <v>5664</v>
      </c>
      <c r="V5706" s="197">
        <v>2071.7353186091068</v>
      </c>
    </row>
    <row r="5707" spans="21:22">
      <c r="U5707">
        <v>5665</v>
      </c>
      <c r="V5707" s="197">
        <v>271.28326205311913</v>
      </c>
    </row>
    <row r="5708" spans="21:22">
      <c r="U5708">
        <v>5666</v>
      </c>
      <c r="V5708" s="197">
        <v>848.85074388595831</v>
      </c>
    </row>
    <row r="5709" spans="21:22">
      <c r="U5709">
        <v>5667</v>
      </c>
      <c r="V5709" s="197">
        <v>836.20233795073705</v>
      </c>
    </row>
    <row r="5710" spans="21:22">
      <c r="U5710">
        <v>5668</v>
      </c>
      <c r="V5710" s="197">
        <v>439.62440970780585</v>
      </c>
    </row>
    <row r="5711" spans="21:22">
      <c r="U5711">
        <v>5669</v>
      </c>
      <c r="V5711" s="197">
        <v>282.59815158103424</v>
      </c>
    </row>
    <row r="5712" spans="21:22">
      <c r="U5712">
        <v>5670</v>
      </c>
      <c r="V5712" s="197">
        <v>-240.06342638175812</v>
      </c>
    </row>
    <row r="5713" spans="21:22">
      <c r="U5713">
        <v>5671</v>
      </c>
      <c r="V5713" s="197">
        <v>-1026.1933786321488</v>
      </c>
    </row>
    <row r="5714" spans="21:22">
      <c r="U5714">
        <v>5672</v>
      </c>
      <c r="V5714" s="197">
        <v>709.56784367709565</v>
      </c>
    </row>
    <row r="5715" spans="21:22">
      <c r="U5715">
        <v>5673</v>
      </c>
      <c r="V5715" s="197">
        <v>-2320.1707366558294</v>
      </c>
    </row>
    <row r="5716" spans="21:22">
      <c r="U5716">
        <v>5674</v>
      </c>
      <c r="V5716" s="197">
        <v>-1923.2118784071654</v>
      </c>
    </row>
    <row r="5717" spans="21:22">
      <c r="U5717">
        <v>5675</v>
      </c>
      <c r="V5717" s="197">
        <v>-1062.7933338602875</v>
      </c>
    </row>
    <row r="5718" spans="21:22">
      <c r="U5718">
        <v>5676</v>
      </c>
      <c r="V5718" s="197">
        <v>79.464023073009031</v>
      </c>
    </row>
    <row r="5719" spans="21:22">
      <c r="U5719">
        <v>5677</v>
      </c>
      <c r="V5719" s="197">
        <v>40.883778426986382</v>
      </c>
    </row>
    <row r="5720" spans="21:22">
      <c r="U5720">
        <v>5678</v>
      </c>
      <c r="V5720" s="197">
        <v>526.64323072752177</v>
      </c>
    </row>
    <row r="5721" spans="21:22">
      <c r="U5721">
        <v>5679</v>
      </c>
      <c r="V5721" s="197">
        <v>1975.7679003204498</v>
      </c>
    </row>
    <row r="5722" spans="21:22">
      <c r="U5722">
        <v>5680</v>
      </c>
      <c r="V5722" s="197">
        <v>-1593.8980700256418</v>
      </c>
    </row>
    <row r="5723" spans="21:22">
      <c r="U5723">
        <v>5681</v>
      </c>
      <c r="V5723" s="197">
        <v>46.610851482060575</v>
      </c>
    </row>
    <row r="5724" spans="21:22">
      <c r="U5724">
        <v>5682</v>
      </c>
      <c r="V5724" s="197">
        <v>47.082466146710232</v>
      </c>
    </row>
    <row r="5725" spans="21:22">
      <c r="U5725">
        <v>5683</v>
      </c>
      <c r="V5725" s="197">
        <v>-401.58992726181566</v>
      </c>
    </row>
    <row r="5726" spans="21:22">
      <c r="U5726">
        <v>5684</v>
      </c>
      <c r="V5726" s="197">
        <v>646.39281661010205</v>
      </c>
    </row>
    <row r="5727" spans="21:22">
      <c r="U5727">
        <v>5685</v>
      </c>
      <c r="V5727" s="197">
        <v>700.8281017840543</v>
      </c>
    </row>
    <row r="5728" spans="21:22">
      <c r="U5728">
        <v>5686</v>
      </c>
      <c r="V5728" s="197">
        <v>-980.20202957562924</v>
      </c>
    </row>
    <row r="5729" spans="21:22">
      <c r="U5729">
        <v>5687</v>
      </c>
      <c r="V5729" s="197">
        <v>783.90375769400703</v>
      </c>
    </row>
    <row r="5730" spans="21:22">
      <c r="U5730">
        <v>5688</v>
      </c>
      <c r="V5730" s="197">
        <v>1486.3810934713945</v>
      </c>
    </row>
    <row r="5731" spans="21:22">
      <c r="U5731">
        <v>5689</v>
      </c>
      <c r="V5731" s="197">
        <v>1042.067959970823</v>
      </c>
    </row>
    <row r="5732" spans="21:22">
      <c r="U5732">
        <v>5690</v>
      </c>
      <c r="V5732" s="197">
        <v>2890.9622471692114</v>
      </c>
    </row>
    <row r="5733" spans="21:22">
      <c r="U5733">
        <v>5691</v>
      </c>
      <c r="V5733" s="197">
        <v>-618.42972073939086</v>
      </c>
    </row>
    <row r="5734" spans="21:22">
      <c r="U5734">
        <v>5692</v>
      </c>
      <c r="V5734" s="197">
        <v>1078.5187502089755</v>
      </c>
    </row>
    <row r="5735" spans="21:22">
      <c r="U5735">
        <v>5693</v>
      </c>
      <c r="V5735" s="197">
        <v>260.8973038429333</v>
      </c>
    </row>
    <row r="5736" spans="21:22">
      <c r="U5736">
        <v>5694</v>
      </c>
      <c r="V5736" s="197">
        <v>246.23374334503444</v>
      </c>
    </row>
    <row r="5737" spans="21:22">
      <c r="U5737">
        <v>5695</v>
      </c>
      <c r="V5737" s="197">
        <v>-898.20731027727493</v>
      </c>
    </row>
    <row r="5738" spans="21:22">
      <c r="U5738">
        <v>5696</v>
      </c>
      <c r="V5738" s="197">
        <v>-686.99396033117569</v>
      </c>
    </row>
    <row r="5739" spans="21:22">
      <c r="U5739">
        <v>5697</v>
      </c>
      <c r="V5739" s="197">
        <v>2267.801296248982</v>
      </c>
    </row>
    <row r="5740" spans="21:22">
      <c r="U5740">
        <v>5698</v>
      </c>
      <c r="V5740" s="197">
        <v>-1005.581566147989</v>
      </c>
    </row>
    <row r="5741" spans="21:22">
      <c r="U5741">
        <v>5699</v>
      </c>
      <c r="V5741" s="197">
        <v>588.36333120593395</v>
      </c>
    </row>
    <row r="5742" spans="21:22">
      <c r="U5742">
        <v>5700</v>
      </c>
      <c r="V5742" s="197">
        <v>-66.544058207077995</v>
      </c>
    </row>
    <row r="5743" spans="21:22">
      <c r="U5743">
        <v>5701</v>
      </c>
      <c r="V5743" s="197">
        <v>1662.8345388622683</v>
      </c>
    </row>
    <row r="5744" spans="21:22">
      <c r="U5744">
        <v>5702</v>
      </c>
      <c r="V5744" s="197">
        <v>-432.42504960154389</v>
      </c>
    </row>
    <row r="5745" spans="21:22">
      <c r="U5745">
        <v>5703</v>
      </c>
      <c r="V5745" s="197">
        <v>794.96368369755464</v>
      </c>
    </row>
    <row r="5746" spans="21:22">
      <c r="U5746">
        <v>5704</v>
      </c>
      <c r="V5746" s="197">
        <v>393.58712676950591</v>
      </c>
    </row>
    <row r="5747" spans="21:22">
      <c r="U5747">
        <v>5705</v>
      </c>
      <c r="V5747" s="197">
        <v>955.49367525567209</v>
      </c>
    </row>
    <row r="5748" spans="21:22">
      <c r="U5748">
        <v>5706</v>
      </c>
      <c r="V5748" s="197">
        <v>-646.9720323467966</v>
      </c>
    </row>
    <row r="5749" spans="21:22">
      <c r="U5749">
        <v>5707</v>
      </c>
      <c r="V5749" s="197">
        <v>-1034.1762130024431</v>
      </c>
    </row>
    <row r="5750" spans="21:22">
      <c r="U5750">
        <v>5708</v>
      </c>
      <c r="V5750" s="197">
        <v>-940.51353862516589</v>
      </c>
    </row>
    <row r="5751" spans="21:22">
      <c r="U5751">
        <v>5709</v>
      </c>
      <c r="V5751" s="197">
        <v>-1745.2296149756071</v>
      </c>
    </row>
    <row r="5752" spans="21:22">
      <c r="U5752">
        <v>5710</v>
      </c>
      <c r="V5752" s="197">
        <v>-623.37934433433111</v>
      </c>
    </row>
    <row r="5753" spans="21:22">
      <c r="U5753">
        <v>5711</v>
      </c>
      <c r="V5753" s="197">
        <v>-856.07452873523152</v>
      </c>
    </row>
    <row r="5754" spans="21:22">
      <c r="U5754">
        <v>5712</v>
      </c>
      <c r="V5754" s="197">
        <v>344.21918607902518</v>
      </c>
    </row>
    <row r="5755" spans="21:22">
      <c r="U5755">
        <v>5713</v>
      </c>
      <c r="V5755" s="197">
        <v>864.28822206884001</v>
      </c>
    </row>
    <row r="5756" spans="21:22">
      <c r="U5756">
        <v>5714</v>
      </c>
      <c r="V5756" s="197">
        <v>1500.1801454173167</v>
      </c>
    </row>
    <row r="5757" spans="21:22">
      <c r="U5757">
        <v>5715</v>
      </c>
      <c r="V5757" s="197">
        <v>1176.2682903275622</v>
      </c>
    </row>
    <row r="5758" spans="21:22">
      <c r="U5758">
        <v>5716</v>
      </c>
      <c r="V5758" s="197">
        <v>-94.08102541377994</v>
      </c>
    </row>
    <row r="5759" spans="21:22">
      <c r="U5759">
        <v>5717</v>
      </c>
      <c r="V5759" s="197">
        <v>215.16291604026699</v>
      </c>
    </row>
    <row r="5760" spans="21:22">
      <c r="U5760">
        <v>5718</v>
      </c>
      <c r="V5760" s="197">
        <v>181.67343958472267</v>
      </c>
    </row>
    <row r="5761" spans="21:22">
      <c r="U5761">
        <v>5719</v>
      </c>
      <c r="V5761" s="197">
        <v>489.03444384632809</v>
      </c>
    </row>
    <row r="5762" spans="21:22">
      <c r="U5762">
        <v>5720</v>
      </c>
      <c r="V5762" s="197">
        <v>907.86319667431076</v>
      </c>
    </row>
    <row r="5763" spans="21:22">
      <c r="U5763">
        <v>5721</v>
      </c>
      <c r="V5763" s="197">
        <v>-1746.2406449879056</v>
      </c>
    </row>
    <row r="5764" spans="21:22">
      <c r="U5764">
        <v>5722</v>
      </c>
      <c r="V5764" s="197">
        <v>1556.3608496695581</v>
      </c>
    </row>
    <row r="5765" spans="21:22">
      <c r="U5765">
        <v>5723</v>
      </c>
      <c r="V5765" s="197">
        <v>1485.083294139311</v>
      </c>
    </row>
    <row r="5766" spans="21:22">
      <c r="U5766">
        <v>5724</v>
      </c>
      <c r="V5766" s="197">
        <v>542.1265995527599</v>
      </c>
    </row>
    <row r="5767" spans="21:22">
      <c r="U5767">
        <v>5725</v>
      </c>
      <c r="V5767" s="197">
        <v>-800.0463375413467</v>
      </c>
    </row>
    <row r="5768" spans="21:22">
      <c r="U5768">
        <v>5726</v>
      </c>
      <c r="V5768" s="197">
        <v>309.25125116424232</v>
      </c>
    </row>
    <row r="5769" spans="21:22">
      <c r="U5769">
        <v>5727</v>
      </c>
      <c r="V5769" s="197">
        <v>1260.5092988105869</v>
      </c>
    </row>
    <row r="5770" spans="21:22">
      <c r="U5770">
        <v>5728</v>
      </c>
      <c r="V5770" s="197">
        <v>127.97363566999867</v>
      </c>
    </row>
    <row r="5771" spans="21:22">
      <c r="U5771">
        <v>5729</v>
      </c>
      <c r="V5771" s="197">
        <v>329.38186287341625</v>
      </c>
    </row>
    <row r="5772" spans="21:22">
      <c r="U5772">
        <v>5730</v>
      </c>
      <c r="V5772" s="197">
        <v>1061.2190522673104</v>
      </c>
    </row>
    <row r="5773" spans="21:22">
      <c r="U5773">
        <v>5731</v>
      </c>
      <c r="V5773" s="197">
        <v>-929.22135913287229</v>
      </c>
    </row>
    <row r="5774" spans="21:22">
      <c r="U5774">
        <v>5732</v>
      </c>
      <c r="V5774" s="197">
        <v>-287.19473095557669</v>
      </c>
    </row>
    <row r="5775" spans="21:22">
      <c r="U5775">
        <v>5733</v>
      </c>
      <c r="V5775" s="197">
        <v>1237.3663745228398</v>
      </c>
    </row>
    <row r="5776" spans="21:22">
      <c r="U5776">
        <v>5734</v>
      </c>
      <c r="V5776" s="197">
        <v>2156.575119384604</v>
      </c>
    </row>
    <row r="5777" spans="21:22">
      <c r="U5777">
        <v>5735</v>
      </c>
      <c r="V5777" s="197">
        <v>-303.82685460399017</v>
      </c>
    </row>
    <row r="5778" spans="21:22">
      <c r="U5778">
        <v>5736</v>
      </c>
      <c r="V5778" s="197">
        <v>670.61684231775575</v>
      </c>
    </row>
    <row r="5779" spans="21:22">
      <c r="U5779">
        <v>5737</v>
      </c>
      <c r="V5779" s="197">
        <v>501.11581658815055</v>
      </c>
    </row>
    <row r="5780" spans="21:22">
      <c r="U5780">
        <v>5738</v>
      </c>
      <c r="V5780" s="197">
        <v>1183.4439362207922</v>
      </c>
    </row>
    <row r="5781" spans="21:22">
      <c r="U5781">
        <v>5739</v>
      </c>
      <c r="V5781" s="197">
        <v>208.93481839721466</v>
      </c>
    </row>
    <row r="5782" spans="21:22">
      <c r="U5782">
        <v>5740</v>
      </c>
      <c r="V5782" s="197">
        <v>-246.40557865114067</v>
      </c>
    </row>
    <row r="5783" spans="21:22">
      <c r="U5783">
        <v>5741</v>
      </c>
      <c r="V5783" s="197">
        <v>-702.83058236154716</v>
      </c>
    </row>
    <row r="5784" spans="21:22">
      <c r="U5784">
        <v>5742</v>
      </c>
      <c r="V5784" s="197">
        <v>295.81737942443715</v>
      </c>
    </row>
    <row r="5785" spans="21:22">
      <c r="U5785">
        <v>5743</v>
      </c>
      <c r="V5785" s="197">
        <v>460.11142784405968</v>
      </c>
    </row>
    <row r="5786" spans="21:22">
      <c r="U5786">
        <v>5744</v>
      </c>
      <c r="V5786" s="197">
        <v>534.16213205193662</v>
      </c>
    </row>
    <row r="5787" spans="21:22">
      <c r="U5787">
        <v>5745</v>
      </c>
      <c r="V5787" s="197">
        <v>-524.82002679887523</v>
      </c>
    </row>
    <row r="5788" spans="21:22">
      <c r="U5788">
        <v>5746</v>
      </c>
      <c r="V5788" s="197">
        <v>-168.62320637509464</v>
      </c>
    </row>
    <row r="5789" spans="21:22">
      <c r="U5789">
        <v>5747</v>
      </c>
      <c r="V5789" s="197">
        <v>-746.63116930840079</v>
      </c>
    </row>
    <row r="5790" spans="21:22">
      <c r="U5790">
        <v>5748</v>
      </c>
      <c r="V5790" s="197">
        <v>165.8701949601076</v>
      </c>
    </row>
    <row r="5791" spans="21:22">
      <c r="U5791">
        <v>5749</v>
      </c>
      <c r="V5791" s="197">
        <v>757.79975842874273</v>
      </c>
    </row>
    <row r="5792" spans="21:22">
      <c r="U5792">
        <v>5750</v>
      </c>
      <c r="V5792" s="197">
        <v>-1737.7802405544621</v>
      </c>
    </row>
    <row r="5793" spans="21:22">
      <c r="U5793">
        <v>5751</v>
      </c>
      <c r="V5793" s="197">
        <v>-370.60262106022941</v>
      </c>
    </row>
    <row r="5794" spans="21:22">
      <c r="U5794">
        <v>5752</v>
      </c>
      <c r="V5794" s="197">
        <v>351.1828852834019</v>
      </c>
    </row>
    <row r="5795" spans="21:22">
      <c r="U5795">
        <v>5753</v>
      </c>
      <c r="V5795" s="197">
        <v>-2744.6960179306948</v>
      </c>
    </row>
    <row r="5796" spans="21:22">
      <c r="U5796">
        <v>5754</v>
      </c>
      <c r="V5796" s="197">
        <v>1324.1448589825861</v>
      </c>
    </row>
    <row r="5797" spans="21:22">
      <c r="U5797">
        <v>5755</v>
      </c>
      <c r="V5797" s="197">
        <v>647.86583934801706</v>
      </c>
    </row>
    <row r="5798" spans="21:22">
      <c r="U5798">
        <v>5756</v>
      </c>
      <c r="V5798" s="197">
        <v>1141.9767807425935</v>
      </c>
    </row>
    <row r="5799" spans="21:22">
      <c r="U5799">
        <v>5757</v>
      </c>
      <c r="V5799" s="197">
        <v>375.23033843940516</v>
      </c>
    </row>
    <row r="5800" spans="21:22">
      <c r="U5800">
        <v>5758</v>
      </c>
      <c r="V5800" s="197">
        <v>257.74388019200831</v>
      </c>
    </row>
    <row r="5801" spans="21:22">
      <c r="U5801">
        <v>5759</v>
      </c>
      <c r="V5801" s="197">
        <v>358.60113736044093</v>
      </c>
    </row>
    <row r="5802" spans="21:22">
      <c r="U5802">
        <v>5760</v>
      </c>
      <c r="V5802" s="197">
        <v>1384.5382774874211</v>
      </c>
    </row>
    <row r="5803" spans="21:22">
      <c r="U5803">
        <v>5761</v>
      </c>
      <c r="V5803" s="197">
        <v>-956.4781236221786</v>
      </c>
    </row>
    <row r="5804" spans="21:22">
      <c r="U5804">
        <v>5762</v>
      </c>
      <c r="V5804" s="197">
        <v>-629.86736568204969</v>
      </c>
    </row>
    <row r="5805" spans="21:22">
      <c r="U5805">
        <v>5763</v>
      </c>
      <c r="V5805" s="197">
        <v>-435.97358691045207</v>
      </c>
    </row>
    <row r="5806" spans="21:22">
      <c r="U5806">
        <v>5764</v>
      </c>
      <c r="V5806" s="197">
        <v>-1047.4314491292835</v>
      </c>
    </row>
    <row r="5807" spans="21:22">
      <c r="U5807">
        <v>5765</v>
      </c>
      <c r="V5807" s="197">
        <v>1631.2863980322711</v>
      </c>
    </row>
    <row r="5808" spans="21:22">
      <c r="U5808">
        <v>5766</v>
      </c>
      <c r="V5808" s="197">
        <v>335.51246159710354</v>
      </c>
    </row>
    <row r="5809" spans="21:22">
      <c r="U5809">
        <v>5767</v>
      </c>
      <c r="V5809" s="197">
        <v>-1190.8437572430335</v>
      </c>
    </row>
    <row r="5810" spans="21:22">
      <c r="U5810">
        <v>5768</v>
      </c>
      <c r="V5810" s="197">
        <v>46.066466525721424</v>
      </c>
    </row>
    <row r="5811" spans="21:22">
      <c r="U5811">
        <v>5769</v>
      </c>
      <c r="V5811" s="197">
        <v>186.37396870539789</v>
      </c>
    </row>
    <row r="5812" spans="21:22">
      <c r="U5812">
        <v>5770</v>
      </c>
      <c r="V5812" s="197">
        <v>381.04902376686908</v>
      </c>
    </row>
    <row r="5813" spans="21:22">
      <c r="U5813">
        <v>5771</v>
      </c>
      <c r="V5813" s="197">
        <v>1564.006360713247</v>
      </c>
    </row>
    <row r="5814" spans="21:22">
      <c r="U5814">
        <v>5772</v>
      </c>
      <c r="V5814" s="197">
        <v>-1133.1138959996033</v>
      </c>
    </row>
    <row r="5815" spans="21:22">
      <c r="U5815">
        <v>5773</v>
      </c>
      <c r="V5815" s="197">
        <v>-285.16893450822613</v>
      </c>
    </row>
    <row r="5816" spans="21:22">
      <c r="U5816">
        <v>5774</v>
      </c>
      <c r="V5816" s="197">
        <v>-750.59759161566944</v>
      </c>
    </row>
    <row r="5817" spans="21:22">
      <c r="U5817">
        <v>5775</v>
      </c>
      <c r="V5817" s="197">
        <v>599.51328918534841</v>
      </c>
    </row>
    <row r="5818" spans="21:22">
      <c r="U5818">
        <v>5776</v>
      </c>
      <c r="V5818" s="197">
        <v>-951.74275743920543</v>
      </c>
    </row>
    <row r="5819" spans="21:22">
      <c r="U5819">
        <v>5777</v>
      </c>
      <c r="V5819" s="197">
        <v>236.37858918254548</v>
      </c>
    </row>
    <row r="5820" spans="21:22">
      <c r="U5820">
        <v>5778</v>
      </c>
      <c r="V5820" s="197">
        <v>-627.5851255294599</v>
      </c>
    </row>
    <row r="5821" spans="21:22">
      <c r="U5821">
        <v>5779</v>
      </c>
      <c r="V5821" s="197">
        <v>-84.869597171803662</v>
      </c>
    </row>
    <row r="5822" spans="21:22">
      <c r="U5822">
        <v>5780</v>
      </c>
      <c r="V5822" s="197">
        <v>618.79540612254914</v>
      </c>
    </row>
    <row r="5823" spans="21:22">
      <c r="U5823">
        <v>5781</v>
      </c>
      <c r="V5823" s="197">
        <v>500.03203871977621</v>
      </c>
    </row>
    <row r="5824" spans="21:22">
      <c r="U5824">
        <v>5782</v>
      </c>
      <c r="V5824" s="197">
        <v>207.21683350919261</v>
      </c>
    </row>
    <row r="5825" spans="21:22">
      <c r="U5825">
        <v>5783</v>
      </c>
      <c r="V5825" s="197">
        <v>-141.64407130119798</v>
      </c>
    </row>
    <row r="5826" spans="21:22">
      <c r="U5826">
        <v>5784</v>
      </c>
      <c r="V5826" s="197">
        <v>2102.9180848911979</v>
      </c>
    </row>
    <row r="5827" spans="21:22">
      <c r="U5827">
        <v>5785</v>
      </c>
      <c r="V5827" s="197">
        <v>-1232.4560056212317</v>
      </c>
    </row>
    <row r="5828" spans="21:22">
      <c r="U5828">
        <v>5786</v>
      </c>
      <c r="V5828" s="197">
        <v>-380.80412188329484</v>
      </c>
    </row>
    <row r="5829" spans="21:22">
      <c r="U5829">
        <v>5787</v>
      </c>
      <c r="V5829" s="197">
        <v>721.50485250811448</v>
      </c>
    </row>
    <row r="5830" spans="21:22">
      <c r="U5830">
        <v>5788</v>
      </c>
      <c r="V5830" s="197">
        <v>-997.61299614089057</v>
      </c>
    </row>
    <row r="5831" spans="21:22">
      <c r="U5831">
        <v>5789</v>
      </c>
      <c r="V5831" s="197">
        <v>11.221098394021297</v>
      </c>
    </row>
    <row r="5832" spans="21:22">
      <c r="U5832">
        <v>5790</v>
      </c>
      <c r="V5832" s="197">
        <v>-774.70313425897621</v>
      </c>
    </row>
    <row r="5833" spans="21:22">
      <c r="U5833">
        <v>5791</v>
      </c>
      <c r="V5833" s="197">
        <v>816.63632820649627</v>
      </c>
    </row>
    <row r="5834" spans="21:22">
      <c r="U5834">
        <v>5792</v>
      </c>
      <c r="V5834" s="197">
        <v>-174.70094551187674</v>
      </c>
    </row>
    <row r="5835" spans="21:22">
      <c r="U5835">
        <v>5793</v>
      </c>
      <c r="V5835" s="197">
        <v>-214.3265873014326</v>
      </c>
    </row>
    <row r="5836" spans="21:22">
      <c r="U5836">
        <v>5794</v>
      </c>
      <c r="V5836" s="197">
        <v>-402.8264948255694</v>
      </c>
    </row>
    <row r="5837" spans="21:22">
      <c r="U5837">
        <v>5795</v>
      </c>
      <c r="V5837" s="197">
        <v>597.0754025479107</v>
      </c>
    </row>
    <row r="5838" spans="21:22">
      <c r="U5838">
        <v>5796</v>
      </c>
      <c r="V5838" s="197">
        <v>863.84963351363217</v>
      </c>
    </row>
    <row r="5839" spans="21:22">
      <c r="U5839">
        <v>5797</v>
      </c>
      <c r="V5839" s="197">
        <v>-269.05340227930213</v>
      </c>
    </row>
    <row r="5840" spans="21:22">
      <c r="U5840">
        <v>5798</v>
      </c>
      <c r="V5840" s="197">
        <v>-318.81211231931599</v>
      </c>
    </row>
    <row r="5841" spans="21:22">
      <c r="U5841">
        <v>5799</v>
      </c>
      <c r="V5841" s="197">
        <v>-819.80148804036503</v>
      </c>
    </row>
    <row r="5842" spans="21:22">
      <c r="U5842">
        <v>5800</v>
      </c>
      <c r="V5842" s="197">
        <v>1261.4160943349214</v>
      </c>
    </row>
    <row r="5843" spans="21:22">
      <c r="U5843">
        <v>5801</v>
      </c>
      <c r="V5843" s="197">
        <v>-58.567405868366251</v>
      </c>
    </row>
    <row r="5844" spans="21:22">
      <c r="U5844">
        <v>5802</v>
      </c>
      <c r="V5844" s="197">
        <v>53.486712255988223</v>
      </c>
    </row>
    <row r="5845" spans="21:22">
      <c r="U5845">
        <v>5803</v>
      </c>
      <c r="V5845" s="197">
        <v>101.58436760919126</v>
      </c>
    </row>
    <row r="5846" spans="21:22">
      <c r="U5846">
        <v>5804</v>
      </c>
      <c r="V5846" s="197">
        <v>635.36827928022376</v>
      </c>
    </row>
    <row r="5847" spans="21:22">
      <c r="U5847">
        <v>5805</v>
      </c>
      <c r="V5847" s="197">
        <v>282.36136295070975</v>
      </c>
    </row>
    <row r="5848" spans="21:22">
      <c r="U5848">
        <v>5806</v>
      </c>
      <c r="V5848" s="197">
        <v>-588.44179050594425</v>
      </c>
    </row>
    <row r="5849" spans="21:22">
      <c r="U5849">
        <v>5807</v>
      </c>
      <c r="V5849" s="197">
        <v>-1023.4629850303772</v>
      </c>
    </row>
    <row r="5850" spans="21:22">
      <c r="U5850">
        <v>5808</v>
      </c>
      <c r="V5850" s="197">
        <v>1797.2530770383225</v>
      </c>
    </row>
    <row r="5851" spans="21:22">
      <c r="U5851">
        <v>5809</v>
      </c>
      <c r="V5851" s="197">
        <v>-473.99394291107131</v>
      </c>
    </row>
    <row r="5852" spans="21:22">
      <c r="U5852">
        <v>5810</v>
      </c>
      <c r="V5852" s="197">
        <v>1460.9298571334564</v>
      </c>
    </row>
    <row r="5853" spans="21:22">
      <c r="U5853">
        <v>5811</v>
      </c>
      <c r="V5853" s="197">
        <v>1.8430575643226916</v>
      </c>
    </row>
    <row r="5854" spans="21:22">
      <c r="U5854">
        <v>5812</v>
      </c>
      <c r="V5854" s="197">
        <v>-607.83441473133007</v>
      </c>
    </row>
    <row r="5855" spans="21:22">
      <c r="U5855">
        <v>5813</v>
      </c>
      <c r="V5855" s="197">
        <v>-139.56987152991277</v>
      </c>
    </row>
    <row r="5856" spans="21:22">
      <c r="U5856">
        <v>5814</v>
      </c>
      <c r="V5856" s="197">
        <v>945.23186711487369</v>
      </c>
    </row>
    <row r="5857" spans="21:22">
      <c r="U5857">
        <v>5815</v>
      </c>
      <c r="V5857" s="197">
        <v>-852.16146281838837</v>
      </c>
    </row>
    <row r="5858" spans="21:22">
      <c r="U5858">
        <v>5816</v>
      </c>
      <c r="V5858" s="197">
        <v>-1334.1909496741287</v>
      </c>
    </row>
    <row r="5859" spans="21:22">
      <c r="U5859">
        <v>5817</v>
      </c>
      <c r="V5859" s="197">
        <v>2745.4208944965217</v>
      </c>
    </row>
    <row r="5860" spans="21:22">
      <c r="U5860">
        <v>5818</v>
      </c>
      <c r="V5860" s="197">
        <v>-726.90323340575674</v>
      </c>
    </row>
    <row r="5861" spans="21:22">
      <c r="U5861">
        <v>5819</v>
      </c>
      <c r="V5861" s="197">
        <v>52.917317976317108</v>
      </c>
    </row>
    <row r="5862" spans="21:22">
      <c r="U5862">
        <v>5820</v>
      </c>
      <c r="V5862" s="197">
        <v>1095.8934265151192</v>
      </c>
    </row>
    <row r="5863" spans="21:22">
      <c r="U5863">
        <v>5821</v>
      </c>
      <c r="V5863" s="197">
        <v>1812.5316882061031</v>
      </c>
    </row>
    <row r="5864" spans="21:22">
      <c r="U5864">
        <v>5822</v>
      </c>
      <c r="V5864" s="197">
        <v>434.85008772852575</v>
      </c>
    </row>
    <row r="5865" spans="21:22">
      <c r="U5865">
        <v>5823</v>
      </c>
      <c r="V5865" s="197">
        <v>-887.58741129129385</v>
      </c>
    </row>
    <row r="5866" spans="21:22">
      <c r="U5866">
        <v>5824</v>
      </c>
      <c r="V5866" s="197">
        <v>1204.7893827910864</v>
      </c>
    </row>
    <row r="5867" spans="21:22">
      <c r="U5867">
        <v>5825</v>
      </c>
      <c r="V5867" s="197">
        <v>-1006.6797904009838</v>
      </c>
    </row>
    <row r="5868" spans="21:22">
      <c r="U5868">
        <v>5826</v>
      </c>
      <c r="V5868" s="197">
        <v>6.2873121267820409</v>
      </c>
    </row>
    <row r="5869" spans="21:22">
      <c r="U5869">
        <v>5827</v>
      </c>
      <c r="V5869" s="197">
        <v>-1170.3614960895561</v>
      </c>
    </row>
    <row r="5870" spans="21:22">
      <c r="U5870">
        <v>5828</v>
      </c>
      <c r="V5870" s="197">
        <v>712.71002598971813</v>
      </c>
    </row>
    <row r="5871" spans="21:22">
      <c r="U5871">
        <v>5829</v>
      </c>
      <c r="V5871" s="197">
        <v>-789.81698234696387</v>
      </c>
    </row>
    <row r="5872" spans="21:22">
      <c r="U5872">
        <v>5830</v>
      </c>
      <c r="V5872" s="197">
        <v>-1912.4747150032972</v>
      </c>
    </row>
    <row r="5873" spans="21:22">
      <c r="U5873">
        <v>5831</v>
      </c>
      <c r="V5873" s="197">
        <v>-1083.5196285042155</v>
      </c>
    </row>
    <row r="5874" spans="21:22">
      <c r="U5874">
        <v>5832</v>
      </c>
      <c r="V5874" s="197">
        <v>-228.21156238767878</v>
      </c>
    </row>
    <row r="5875" spans="21:22">
      <c r="U5875">
        <v>5833</v>
      </c>
      <c r="V5875" s="197">
        <v>-1012.3697072461555</v>
      </c>
    </row>
    <row r="5876" spans="21:22">
      <c r="U5876">
        <v>5834</v>
      </c>
      <c r="V5876" s="197">
        <v>590.37671005578136</v>
      </c>
    </row>
    <row r="5877" spans="21:22">
      <c r="U5877">
        <v>5835</v>
      </c>
      <c r="V5877" s="197">
        <v>359.13927211102748</v>
      </c>
    </row>
    <row r="5878" spans="21:22">
      <c r="U5878">
        <v>5836</v>
      </c>
      <c r="V5878" s="197">
        <v>340.15405224293835</v>
      </c>
    </row>
    <row r="5879" spans="21:22">
      <c r="U5879">
        <v>5837</v>
      </c>
      <c r="V5879" s="197">
        <v>486.05078629668816</v>
      </c>
    </row>
    <row r="5880" spans="21:22">
      <c r="U5880">
        <v>5838</v>
      </c>
      <c r="V5880" s="197">
        <v>708.87373510656744</v>
      </c>
    </row>
    <row r="5881" spans="21:22">
      <c r="U5881">
        <v>5839</v>
      </c>
      <c r="V5881" s="197">
        <v>403.30621808771821</v>
      </c>
    </row>
    <row r="5882" spans="21:22">
      <c r="U5882">
        <v>5840</v>
      </c>
      <c r="V5882" s="197">
        <v>831.29306167292089</v>
      </c>
    </row>
    <row r="5883" spans="21:22">
      <c r="U5883">
        <v>5841</v>
      </c>
      <c r="V5883" s="197">
        <v>651.63763366820331</v>
      </c>
    </row>
    <row r="5884" spans="21:22">
      <c r="U5884">
        <v>5842</v>
      </c>
      <c r="V5884" s="197">
        <v>-469.08746459233231</v>
      </c>
    </row>
    <row r="5885" spans="21:22">
      <c r="U5885">
        <v>5843</v>
      </c>
      <c r="V5885" s="197">
        <v>640.14513938197047</v>
      </c>
    </row>
    <row r="5886" spans="21:22">
      <c r="U5886">
        <v>5844</v>
      </c>
      <c r="V5886" s="197">
        <v>1726.4717367701514</v>
      </c>
    </row>
    <row r="5887" spans="21:22">
      <c r="U5887">
        <v>5845</v>
      </c>
      <c r="V5887" s="197">
        <v>-1851.5120069460563</v>
      </c>
    </row>
    <row r="5888" spans="21:22">
      <c r="U5888">
        <v>5846</v>
      </c>
      <c r="V5888" s="197">
        <v>954.35852896666552</v>
      </c>
    </row>
    <row r="5889" spans="21:22">
      <c r="U5889">
        <v>5847</v>
      </c>
      <c r="V5889" s="197">
        <v>-33.917935345974541</v>
      </c>
    </row>
    <row r="5890" spans="21:22">
      <c r="U5890">
        <v>5848</v>
      </c>
      <c r="V5890" s="197">
        <v>-237.68603841001163</v>
      </c>
    </row>
    <row r="5891" spans="21:22">
      <c r="U5891">
        <v>5849</v>
      </c>
      <c r="V5891" s="197">
        <v>-1374.5712175362432</v>
      </c>
    </row>
    <row r="5892" spans="21:22">
      <c r="U5892">
        <v>5850</v>
      </c>
      <c r="V5892" s="197">
        <v>-200.46737822723014</v>
      </c>
    </row>
    <row r="5893" spans="21:22">
      <c r="U5893">
        <v>5851</v>
      </c>
      <c r="V5893" s="197">
        <v>1414.6155697608415</v>
      </c>
    </row>
    <row r="5894" spans="21:22">
      <c r="U5894">
        <v>5852</v>
      </c>
      <c r="V5894" s="197">
        <v>-1769.8155358661918</v>
      </c>
    </row>
    <row r="5895" spans="21:22">
      <c r="U5895">
        <v>5853</v>
      </c>
      <c r="V5895" s="197">
        <v>1515.7462070896947</v>
      </c>
    </row>
    <row r="5896" spans="21:22">
      <c r="U5896">
        <v>5854</v>
      </c>
      <c r="V5896" s="197">
        <v>-514.20175734401278</v>
      </c>
    </row>
    <row r="5897" spans="21:22">
      <c r="U5897">
        <v>5855</v>
      </c>
      <c r="V5897" s="197">
        <v>-1170.833517301752</v>
      </c>
    </row>
    <row r="5898" spans="21:22">
      <c r="U5898">
        <v>5856</v>
      </c>
      <c r="V5898" s="197">
        <v>-1507.9302036730605</v>
      </c>
    </row>
    <row r="5899" spans="21:22">
      <c r="U5899">
        <v>5857</v>
      </c>
      <c r="V5899" s="197">
        <v>945.59291018146291</v>
      </c>
    </row>
    <row r="5900" spans="21:22">
      <c r="U5900">
        <v>5858</v>
      </c>
      <c r="V5900" s="197">
        <v>-870.84021634694886</v>
      </c>
    </row>
    <row r="5901" spans="21:22">
      <c r="U5901">
        <v>5859</v>
      </c>
      <c r="V5901" s="197">
        <v>176.86390619556516</v>
      </c>
    </row>
    <row r="5902" spans="21:22">
      <c r="U5902">
        <v>5860</v>
      </c>
      <c r="V5902" s="197">
        <v>-501.70078731231985</v>
      </c>
    </row>
    <row r="5903" spans="21:22">
      <c r="U5903">
        <v>5861</v>
      </c>
      <c r="V5903" s="197">
        <v>1009.8528736709493</v>
      </c>
    </row>
    <row r="5904" spans="21:22">
      <c r="U5904">
        <v>5862</v>
      </c>
      <c r="V5904" s="197">
        <v>417.60036329000656</v>
      </c>
    </row>
    <row r="5905" spans="21:22">
      <c r="U5905">
        <v>5863</v>
      </c>
      <c r="V5905" s="197">
        <v>72.577043128934093</v>
      </c>
    </row>
    <row r="5906" spans="21:22">
      <c r="U5906">
        <v>5864</v>
      </c>
      <c r="V5906" s="197">
        <v>-358.35556512397352</v>
      </c>
    </row>
    <row r="5907" spans="21:22">
      <c r="U5907">
        <v>5865</v>
      </c>
      <c r="V5907" s="197">
        <v>17.055120395723648</v>
      </c>
    </row>
    <row r="5908" spans="21:22">
      <c r="U5908">
        <v>5866</v>
      </c>
      <c r="V5908" s="197">
        <v>-643.72329172017135</v>
      </c>
    </row>
    <row r="5909" spans="21:22">
      <c r="U5909">
        <v>5867</v>
      </c>
      <c r="V5909" s="197">
        <v>-814.35139151670933</v>
      </c>
    </row>
    <row r="5910" spans="21:22">
      <c r="U5910">
        <v>5868</v>
      </c>
      <c r="V5910" s="197">
        <v>446.88924649259422</v>
      </c>
    </row>
    <row r="5911" spans="21:22">
      <c r="U5911">
        <v>5869</v>
      </c>
      <c r="V5911" s="197">
        <v>-568.39875912530943</v>
      </c>
    </row>
    <row r="5912" spans="21:22">
      <c r="U5912">
        <v>5870</v>
      </c>
      <c r="V5912" s="197">
        <v>-878.98170268561898</v>
      </c>
    </row>
    <row r="5913" spans="21:22">
      <c r="U5913">
        <v>5871</v>
      </c>
      <c r="V5913" s="197">
        <v>-446.0211875322546</v>
      </c>
    </row>
    <row r="5914" spans="21:22">
      <c r="U5914">
        <v>5872</v>
      </c>
      <c r="V5914" s="197">
        <v>736.57316728128603</v>
      </c>
    </row>
    <row r="5915" spans="21:22">
      <c r="U5915">
        <v>5873</v>
      </c>
      <c r="V5915" s="197">
        <v>1117.0831497104004</v>
      </c>
    </row>
    <row r="5916" spans="21:22">
      <c r="U5916">
        <v>5874</v>
      </c>
      <c r="V5916" s="197">
        <v>293.41075001240324</v>
      </c>
    </row>
    <row r="5917" spans="21:22">
      <c r="U5917">
        <v>5875</v>
      </c>
      <c r="V5917" s="197">
        <v>-279.96160340818403</v>
      </c>
    </row>
    <row r="5918" spans="21:22">
      <c r="U5918">
        <v>5876</v>
      </c>
      <c r="V5918" s="197">
        <v>-727.44726917734465</v>
      </c>
    </row>
    <row r="5919" spans="21:22">
      <c r="U5919">
        <v>5877</v>
      </c>
      <c r="V5919" s="197">
        <v>-246.60574655008776</v>
      </c>
    </row>
    <row r="5920" spans="21:22">
      <c r="U5920">
        <v>5878</v>
      </c>
      <c r="V5920" s="197">
        <v>-52.190013079163094</v>
      </c>
    </row>
    <row r="5921" spans="21:22">
      <c r="U5921">
        <v>5879</v>
      </c>
      <c r="V5921" s="197">
        <v>268.12990875456188</v>
      </c>
    </row>
    <row r="5922" spans="21:22">
      <c r="U5922">
        <v>5880</v>
      </c>
      <c r="V5922" s="197">
        <v>228.35140990992113</v>
      </c>
    </row>
    <row r="5923" spans="21:22">
      <c r="U5923">
        <v>5881</v>
      </c>
      <c r="V5923" s="197">
        <v>1356.9614852731804</v>
      </c>
    </row>
    <row r="5924" spans="21:22">
      <c r="U5924">
        <v>5882</v>
      </c>
      <c r="V5924" s="197">
        <v>596.09528005417405</v>
      </c>
    </row>
    <row r="5925" spans="21:22">
      <c r="U5925">
        <v>5883</v>
      </c>
      <c r="V5925" s="197">
        <v>-677.64412671629066</v>
      </c>
    </row>
    <row r="5926" spans="21:22">
      <c r="U5926">
        <v>5884</v>
      </c>
      <c r="V5926" s="197">
        <v>2133.0654733000065</v>
      </c>
    </row>
    <row r="5927" spans="21:22">
      <c r="U5927">
        <v>5885</v>
      </c>
      <c r="V5927" s="197">
        <v>-48.644243898151188</v>
      </c>
    </row>
    <row r="5928" spans="21:22">
      <c r="U5928">
        <v>5886</v>
      </c>
      <c r="V5928" s="197">
        <v>-72.839869227642282</v>
      </c>
    </row>
    <row r="5929" spans="21:22">
      <c r="U5929">
        <v>5887</v>
      </c>
      <c r="V5929" s="197">
        <v>-1559.6980870630073</v>
      </c>
    </row>
    <row r="5930" spans="21:22">
      <c r="U5930">
        <v>5888</v>
      </c>
      <c r="V5930" s="197">
        <v>772.07198348845941</v>
      </c>
    </row>
    <row r="5931" spans="21:22">
      <c r="U5931">
        <v>5889</v>
      </c>
      <c r="V5931" s="197">
        <v>-6.2368594308730394</v>
      </c>
    </row>
    <row r="5932" spans="21:22">
      <c r="U5932">
        <v>5890</v>
      </c>
      <c r="V5932" s="197">
        <v>905.87709689217922</v>
      </c>
    </row>
    <row r="5933" spans="21:22">
      <c r="U5933">
        <v>5891</v>
      </c>
      <c r="V5933" s="197">
        <v>-108.63902055226922</v>
      </c>
    </row>
    <row r="5934" spans="21:22">
      <c r="U5934">
        <v>5892</v>
      </c>
      <c r="V5934" s="197">
        <v>779.77267550134229</v>
      </c>
    </row>
    <row r="5935" spans="21:22">
      <c r="U5935">
        <v>5893</v>
      </c>
      <c r="V5935" s="197">
        <v>252.66431732411286</v>
      </c>
    </row>
    <row r="5936" spans="21:22">
      <c r="U5936">
        <v>5894</v>
      </c>
      <c r="V5936" s="197">
        <v>237.259562678588</v>
      </c>
    </row>
    <row r="5937" spans="21:22">
      <c r="U5937">
        <v>5895</v>
      </c>
      <c r="V5937" s="197">
        <v>498.72098072410233</v>
      </c>
    </row>
    <row r="5938" spans="21:22">
      <c r="U5938">
        <v>5896</v>
      </c>
      <c r="V5938" s="197">
        <v>271.578938007391</v>
      </c>
    </row>
    <row r="5939" spans="21:22">
      <c r="U5939">
        <v>5897</v>
      </c>
      <c r="V5939" s="197">
        <v>46.529642401740603</v>
      </c>
    </row>
    <row r="5940" spans="21:22">
      <c r="U5940">
        <v>5898</v>
      </c>
      <c r="V5940" s="197">
        <v>170.03662146194051</v>
      </c>
    </row>
    <row r="5941" spans="21:22">
      <c r="U5941">
        <v>5899</v>
      </c>
      <c r="V5941" s="197">
        <v>-888.92506736726068</v>
      </c>
    </row>
    <row r="5942" spans="21:22">
      <c r="U5942">
        <v>5900</v>
      </c>
      <c r="V5942" s="197">
        <v>-170.64850586188408</v>
      </c>
    </row>
    <row r="5943" spans="21:22">
      <c r="U5943">
        <v>5901</v>
      </c>
      <c r="V5943" s="197">
        <v>-875.09966413966663</v>
      </c>
    </row>
    <row r="5944" spans="21:22">
      <c r="U5944">
        <v>5902</v>
      </c>
      <c r="V5944" s="197">
        <v>1123.2975032405116</v>
      </c>
    </row>
    <row r="5945" spans="21:22">
      <c r="U5945">
        <v>5903</v>
      </c>
      <c r="V5945" s="197">
        <v>1380.3503200913003</v>
      </c>
    </row>
    <row r="5946" spans="21:22">
      <c r="U5946">
        <v>5904</v>
      </c>
      <c r="V5946" s="197">
        <v>377.69647793244405</v>
      </c>
    </row>
    <row r="5947" spans="21:22">
      <c r="U5947">
        <v>5905</v>
      </c>
      <c r="V5947" s="197">
        <v>835.16936608060314</v>
      </c>
    </row>
    <row r="5948" spans="21:22">
      <c r="U5948">
        <v>5906</v>
      </c>
      <c r="V5948" s="197">
        <v>-1045.7272125951883</v>
      </c>
    </row>
    <row r="5949" spans="21:22">
      <c r="U5949">
        <v>5907</v>
      </c>
      <c r="V5949" s="197">
        <v>-1219.8461642241323</v>
      </c>
    </row>
    <row r="5950" spans="21:22">
      <c r="U5950">
        <v>5908</v>
      </c>
      <c r="V5950" s="197">
        <v>159.00604288112186</v>
      </c>
    </row>
    <row r="5951" spans="21:22">
      <c r="U5951">
        <v>5909</v>
      </c>
      <c r="V5951" s="197">
        <v>-688.11123308793935</v>
      </c>
    </row>
    <row r="5952" spans="21:22">
      <c r="U5952">
        <v>5910</v>
      </c>
      <c r="V5952" s="197">
        <v>376.07250514300796</v>
      </c>
    </row>
    <row r="5953" spans="21:22">
      <c r="U5953">
        <v>5911</v>
      </c>
      <c r="V5953" s="197">
        <v>-1637.8213617408728</v>
      </c>
    </row>
    <row r="5954" spans="21:22">
      <c r="U5954">
        <v>5912</v>
      </c>
      <c r="V5954" s="197">
        <v>-551.00840438069281</v>
      </c>
    </row>
    <row r="5955" spans="21:22">
      <c r="U5955">
        <v>5913</v>
      </c>
      <c r="V5955" s="197">
        <v>2541.3283365679099</v>
      </c>
    </row>
    <row r="5956" spans="21:22">
      <c r="U5956">
        <v>5914</v>
      </c>
      <c r="V5956" s="197">
        <v>-296.98083406773452</v>
      </c>
    </row>
    <row r="5957" spans="21:22">
      <c r="U5957">
        <v>5915</v>
      </c>
      <c r="V5957" s="197">
        <v>592.45371951775655</v>
      </c>
    </row>
    <row r="5958" spans="21:22">
      <c r="U5958">
        <v>5916</v>
      </c>
      <c r="V5958" s="197">
        <v>-487.00158193625924</v>
      </c>
    </row>
    <row r="5959" spans="21:22">
      <c r="U5959">
        <v>5917</v>
      </c>
      <c r="V5959" s="197">
        <v>-254.21309776899471</v>
      </c>
    </row>
    <row r="5960" spans="21:22">
      <c r="U5960">
        <v>5918</v>
      </c>
      <c r="V5960" s="197">
        <v>-964.72212268486237</v>
      </c>
    </row>
    <row r="5961" spans="21:22">
      <c r="U5961">
        <v>5919</v>
      </c>
      <c r="V5961" s="197">
        <v>1204.9075393360208</v>
      </c>
    </row>
    <row r="5962" spans="21:22">
      <c r="U5962">
        <v>5920</v>
      </c>
      <c r="V5962" s="197">
        <v>1071.1868731813267</v>
      </c>
    </row>
    <row r="5963" spans="21:22">
      <c r="U5963">
        <v>5921</v>
      </c>
      <c r="V5963" s="197">
        <v>-1793.162206409613</v>
      </c>
    </row>
    <row r="5964" spans="21:22">
      <c r="U5964">
        <v>5922</v>
      </c>
      <c r="V5964" s="197">
        <v>-606.75726724429182</v>
      </c>
    </row>
    <row r="5965" spans="21:22">
      <c r="U5965">
        <v>5923</v>
      </c>
      <c r="V5965" s="197">
        <v>-716.96295250146272</v>
      </c>
    </row>
    <row r="5966" spans="21:22">
      <c r="U5966">
        <v>5924</v>
      </c>
      <c r="V5966" s="197">
        <v>-1447.0428468766477</v>
      </c>
    </row>
    <row r="5967" spans="21:22">
      <c r="U5967">
        <v>5925</v>
      </c>
      <c r="V5967" s="197">
        <v>-1260.8641701781537</v>
      </c>
    </row>
    <row r="5968" spans="21:22">
      <c r="U5968">
        <v>5926</v>
      </c>
      <c r="V5968" s="197">
        <v>1595.1760081091295</v>
      </c>
    </row>
    <row r="5969" spans="21:22">
      <c r="U5969">
        <v>5927</v>
      </c>
      <c r="V5969" s="197">
        <v>1153.64690349135</v>
      </c>
    </row>
    <row r="5970" spans="21:22">
      <c r="U5970">
        <v>5928</v>
      </c>
      <c r="V5970" s="197">
        <v>588.84280082588293</v>
      </c>
    </row>
    <row r="5971" spans="21:22">
      <c r="U5971">
        <v>5929</v>
      </c>
      <c r="V5971" s="197">
        <v>-655.70907274555771</v>
      </c>
    </row>
    <row r="5972" spans="21:22">
      <c r="U5972">
        <v>5930</v>
      </c>
      <c r="V5972" s="197">
        <v>-144.09660975112911</v>
      </c>
    </row>
    <row r="5973" spans="21:22">
      <c r="U5973">
        <v>5931</v>
      </c>
      <c r="V5973" s="197">
        <v>-280.95056554774374</v>
      </c>
    </row>
    <row r="5974" spans="21:22">
      <c r="U5974">
        <v>5932</v>
      </c>
      <c r="V5974" s="197">
        <v>-131.72880860203637</v>
      </c>
    </row>
    <row r="5975" spans="21:22">
      <c r="U5975">
        <v>5933</v>
      </c>
      <c r="V5975" s="197">
        <v>-252.1855137089089</v>
      </c>
    </row>
    <row r="5976" spans="21:22">
      <c r="U5976">
        <v>5934</v>
      </c>
      <c r="V5976" s="197">
        <v>1602.5027810588815</v>
      </c>
    </row>
    <row r="5977" spans="21:22">
      <c r="U5977">
        <v>5935</v>
      </c>
      <c r="V5977" s="197">
        <v>-1339.7811527813519</v>
      </c>
    </row>
    <row r="5978" spans="21:22">
      <c r="U5978">
        <v>5936</v>
      </c>
      <c r="V5978" s="197">
        <v>73.755771093077101</v>
      </c>
    </row>
    <row r="5979" spans="21:22">
      <c r="U5979">
        <v>5937</v>
      </c>
      <c r="V5979" s="197">
        <v>-1047.2618497265332</v>
      </c>
    </row>
    <row r="5980" spans="21:22">
      <c r="U5980">
        <v>5938</v>
      </c>
      <c r="V5980" s="197">
        <v>105.07254689368189</v>
      </c>
    </row>
    <row r="5981" spans="21:22">
      <c r="U5981">
        <v>5939</v>
      </c>
      <c r="V5981" s="197">
        <v>1082.0668885853088</v>
      </c>
    </row>
    <row r="5982" spans="21:22">
      <c r="U5982">
        <v>5940</v>
      </c>
      <c r="V5982" s="197">
        <v>-184.9390108644406</v>
      </c>
    </row>
    <row r="5983" spans="21:22">
      <c r="U5983">
        <v>5941</v>
      </c>
      <c r="V5983" s="197">
        <v>-1781.946552841076</v>
      </c>
    </row>
    <row r="5984" spans="21:22">
      <c r="U5984">
        <v>5942</v>
      </c>
      <c r="V5984" s="197">
        <v>504.1473589187288</v>
      </c>
    </row>
    <row r="5985" spans="21:22">
      <c r="U5985">
        <v>5943</v>
      </c>
      <c r="V5985" s="197">
        <v>-1591.4420565257349</v>
      </c>
    </row>
    <row r="5986" spans="21:22">
      <c r="U5986">
        <v>5944</v>
      </c>
      <c r="V5986" s="197">
        <v>642.6714367144416</v>
      </c>
    </row>
    <row r="5987" spans="21:22">
      <c r="U5987">
        <v>5945</v>
      </c>
      <c r="V5987" s="197">
        <v>-210.09291987848161</v>
      </c>
    </row>
    <row r="5988" spans="21:22">
      <c r="U5988">
        <v>5946</v>
      </c>
      <c r="V5988" s="197">
        <v>-786.56869572248684</v>
      </c>
    </row>
    <row r="5989" spans="21:22">
      <c r="U5989">
        <v>5947</v>
      </c>
      <c r="V5989" s="197">
        <v>-1457.991005115648</v>
      </c>
    </row>
    <row r="5990" spans="21:22">
      <c r="U5990">
        <v>5948</v>
      </c>
      <c r="V5990" s="197">
        <v>685.78303364817612</v>
      </c>
    </row>
    <row r="5991" spans="21:22">
      <c r="U5991">
        <v>5949</v>
      </c>
      <c r="V5991" s="197">
        <v>1566.9313632806354</v>
      </c>
    </row>
    <row r="5992" spans="21:22">
      <c r="U5992">
        <v>5950</v>
      </c>
      <c r="V5992" s="197">
        <v>-516.52087767692228</v>
      </c>
    </row>
    <row r="5993" spans="21:22">
      <c r="U5993">
        <v>5951</v>
      </c>
      <c r="V5993" s="197">
        <v>-313.30766385342753</v>
      </c>
    </row>
    <row r="5994" spans="21:22">
      <c r="U5994">
        <v>5952</v>
      </c>
      <c r="V5994" s="197">
        <v>2426.8960251288877</v>
      </c>
    </row>
    <row r="5995" spans="21:22">
      <c r="U5995">
        <v>5953</v>
      </c>
      <c r="V5995" s="197">
        <v>904.03360007216747</v>
      </c>
    </row>
    <row r="5996" spans="21:22">
      <c r="U5996">
        <v>5954</v>
      </c>
      <c r="V5996" s="197">
        <v>38.112272484220583</v>
      </c>
    </row>
    <row r="5997" spans="21:22">
      <c r="U5997">
        <v>5955</v>
      </c>
      <c r="V5997" s="197">
        <v>1082.991093517511</v>
      </c>
    </row>
    <row r="5998" spans="21:22">
      <c r="U5998">
        <v>5956</v>
      </c>
      <c r="V5998" s="197">
        <v>-282.36111625296019</v>
      </c>
    </row>
    <row r="5999" spans="21:22">
      <c r="U5999">
        <v>5957</v>
      </c>
      <c r="V5999" s="197">
        <v>1478.8678437078886</v>
      </c>
    </row>
    <row r="6000" spans="21:22">
      <c r="U6000">
        <v>5958</v>
      </c>
      <c r="V6000" s="197">
        <v>-1654.9862769718959</v>
      </c>
    </row>
    <row r="6001" spans="21:22">
      <c r="U6001">
        <v>5959</v>
      </c>
      <c r="V6001" s="197">
        <v>-247.18733421816705</v>
      </c>
    </row>
    <row r="6002" spans="21:22">
      <c r="U6002">
        <v>5960</v>
      </c>
      <c r="V6002" s="197">
        <v>-539.79595095920467</v>
      </c>
    </row>
    <row r="6003" spans="21:22">
      <c r="U6003">
        <v>5961</v>
      </c>
      <c r="V6003" s="197">
        <v>-976.37305220959547</v>
      </c>
    </row>
    <row r="6004" spans="21:22">
      <c r="U6004">
        <v>5962</v>
      </c>
      <c r="V6004" s="197">
        <v>876.28170579655216</v>
      </c>
    </row>
    <row r="6005" spans="21:22">
      <c r="U6005">
        <v>5963</v>
      </c>
      <c r="V6005" s="197">
        <v>-1511.6373012859451</v>
      </c>
    </row>
    <row r="6006" spans="21:22">
      <c r="U6006">
        <v>5964</v>
      </c>
      <c r="V6006" s="197">
        <v>194.1183912735126</v>
      </c>
    </row>
    <row r="6007" spans="21:22">
      <c r="U6007">
        <v>5965</v>
      </c>
      <c r="V6007" s="197">
        <v>-1910.1644482162801</v>
      </c>
    </row>
    <row r="6008" spans="21:22">
      <c r="U6008">
        <v>5966</v>
      </c>
      <c r="V6008" s="197">
        <v>361.80614401914244</v>
      </c>
    </row>
    <row r="6009" spans="21:22">
      <c r="U6009">
        <v>5967</v>
      </c>
      <c r="V6009" s="197">
        <v>236.21872269368578</v>
      </c>
    </row>
    <row r="6010" spans="21:22">
      <c r="U6010">
        <v>5968</v>
      </c>
      <c r="V6010" s="197">
        <v>1994.9306413500597</v>
      </c>
    </row>
    <row r="6011" spans="21:22">
      <c r="U6011">
        <v>5969</v>
      </c>
      <c r="V6011" s="197">
        <v>815.03412283489411</v>
      </c>
    </row>
    <row r="6012" spans="21:22">
      <c r="U6012">
        <v>5970</v>
      </c>
      <c r="V6012" s="197">
        <v>-802.19892226680417</v>
      </c>
    </row>
    <row r="6013" spans="21:22">
      <c r="U6013">
        <v>5971</v>
      </c>
      <c r="V6013" s="197">
        <v>-1031.6523897905372</v>
      </c>
    </row>
    <row r="6014" spans="21:22">
      <c r="U6014">
        <v>5972</v>
      </c>
      <c r="V6014" s="197">
        <v>111.20761345135855</v>
      </c>
    </row>
    <row r="6015" spans="21:22">
      <c r="U6015">
        <v>5973</v>
      </c>
      <c r="V6015" s="197">
        <v>-643.62394466386058</v>
      </c>
    </row>
    <row r="6016" spans="21:22">
      <c r="U6016">
        <v>5974</v>
      </c>
      <c r="V6016" s="197">
        <v>-105.59415922538699</v>
      </c>
    </row>
    <row r="6017" spans="21:22">
      <c r="U6017">
        <v>5975</v>
      </c>
      <c r="V6017" s="197">
        <v>-1012.8263594345158</v>
      </c>
    </row>
    <row r="6018" spans="21:22">
      <c r="U6018">
        <v>5976</v>
      </c>
      <c r="V6018" s="197">
        <v>194.85299312226186</v>
      </c>
    </row>
    <row r="6019" spans="21:22">
      <c r="U6019">
        <v>5977</v>
      </c>
      <c r="V6019" s="197">
        <v>1165.5948681848106</v>
      </c>
    </row>
    <row r="6020" spans="21:22">
      <c r="U6020">
        <v>5978</v>
      </c>
      <c r="V6020" s="197">
        <v>-584.26573485180097</v>
      </c>
    </row>
    <row r="6021" spans="21:22">
      <c r="U6021">
        <v>5979</v>
      </c>
      <c r="V6021" s="197">
        <v>994.12416875872577</v>
      </c>
    </row>
    <row r="6022" spans="21:22">
      <c r="U6022">
        <v>5980</v>
      </c>
      <c r="V6022" s="197">
        <v>-1304.9501553418734</v>
      </c>
    </row>
    <row r="6023" spans="21:22">
      <c r="U6023">
        <v>5981</v>
      </c>
      <c r="V6023" s="197">
        <v>966.77629514311002</v>
      </c>
    </row>
    <row r="6024" spans="21:22">
      <c r="U6024">
        <v>5982</v>
      </c>
      <c r="V6024" s="197">
        <v>-815.20949161845397</v>
      </c>
    </row>
    <row r="6025" spans="21:22">
      <c r="U6025">
        <v>5983</v>
      </c>
      <c r="V6025" s="197">
        <v>780.84397025688168</v>
      </c>
    </row>
    <row r="6026" spans="21:22">
      <c r="U6026">
        <v>5984</v>
      </c>
      <c r="V6026" s="197">
        <v>530.24545566713959</v>
      </c>
    </row>
    <row r="6027" spans="21:22">
      <c r="U6027">
        <v>5985</v>
      </c>
      <c r="V6027" s="197">
        <v>59.145346769938307</v>
      </c>
    </row>
    <row r="6028" spans="21:22">
      <c r="U6028">
        <v>5986</v>
      </c>
      <c r="V6028" s="197">
        <v>-161.28284049471824</v>
      </c>
    </row>
    <row r="6029" spans="21:22">
      <c r="U6029">
        <v>5987</v>
      </c>
      <c r="V6029" s="197">
        <v>1018.9697219876869</v>
      </c>
    </row>
    <row r="6030" spans="21:22">
      <c r="U6030">
        <v>5988</v>
      </c>
      <c r="V6030" s="197">
        <v>632.63751691740276</v>
      </c>
    </row>
    <row r="6031" spans="21:22">
      <c r="U6031">
        <v>5989</v>
      </c>
      <c r="V6031" s="197">
        <v>20.085728673362411</v>
      </c>
    </row>
    <row r="6032" spans="21:22">
      <c r="U6032">
        <v>5990</v>
      </c>
      <c r="V6032" s="197">
        <v>-586.30250604675825</v>
      </c>
    </row>
    <row r="6033" spans="21:22">
      <c r="U6033">
        <v>5991</v>
      </c>
      <c r="V6033" s="197">
        <v>397.20231339501021</v>
      </c>
    </row>
    <row r="6034" spans="21:22">
      <c r="U6034">
        <v>5992</v>
      </c>
      <c r="V6034" s="197">
        <v>-274.18528280819305</v>
      </c>
    </row>
    <row r="6035" spans="21:22">
      <c r="U6035">
        <v>5993</v>
      </c>
      <c r="V6035" s="197">
        <v>-400.56184961651741</v>
      </c>
    </row>
    <row r="6036" spans="21:22">
      <c r="U6036">
        <v>5994</v>
      </c>
      <c r="V6036" s="197">
        <v>1244.2948100415299</v>
      </c>
    </row>
    <row r="6037" spans="21:22">
      <c r="U6037">
        <v>5995</v>
      </c>
      <c r="V6037" s="197">
        <v>855.27406788936537</v>
      </c>
    </row>
    <row r="6038" spans="21:22">
      <c r="U6038">
        <v>5996</v>
      </c>
      <c r="V6038" s="197">
        <v>628.50171169356463</v>
      </c>
    </row>
    <row r="6039" spans="21:22">
      <c r="U6039">
        <v>5997</v>
      </c>
      <c r="V6039" s="197">
        <v>-1062.1845090218271</v>
      </c>
    </row>
    <row r="6040" spans="21:22">
      <c r="U6040">
        <v>5998</v>
      </c>
      <c r="V6040" s="197">
        <v>-819.60442237738857</v>
      </c>
    </row>
    <row r="6041" spans="21:22">
      <c r="U6041">
        <v>5999</v>
      </c>
      <c r="V6041" s="197">
        <v>-551.73221489397292</v>
      </c>
    </row>
    <row r="6042" spans="21:22">
      <c r="U6042">
        <v>6000</v>
      </c>
      <c r="V6042" s="197">
        <v>58.846767293978914</v>
      </c>
    </row>
    <row r="6043" spans="21:22">
      <c r="U6043">
        <v>6001</v>
      </c>
      <c r="V6043" s="197">
        <v>-1551.3778018437849</v>
      </c>
    </row>
    <row r="6044" spans="21:22">
      <c r="U6044">
        <v>6002</v>
      </c>
      <c r="V6044" s="197">
        <v>-193.40164322766742</v>
      </c>
    </row>
    <row r="6045" spans="21:22">
      <c r="U6045">
        <v>6003</v>
      </c>
      <c r="V6045" s="197">
        <v>1206.3681821505515</v>
      </c>
    </row>
    <row r="6046" spans="21:22">
      <c r="U6046">
        <v>6004</v>
      </c>
      <c r="V6046" s="197">
        <v>1105.1186960310486</v>
      </c>
    </row>
    <row r="6047" spans="21:22">
      <c r="U6047">
        <v>6005</v>
      </c>
      <c r="V6047" s="197">
        <v>-523.55413173535067</v>
      </c>
    </row>
    <row r="6048" spans="21:22">
      <c r="U6048">
        <v>6006</v>
      </c>
      <c r="V6048" s="197">
        <v>509.77578144079871</v>
      </c>
    </row>
    <row r="6049" spans="21:22">
      <c r="U6049">
        <v>6007</v>
      </c>
      <c r="V6049" s="197">
        <v>-372.74480694676367</v>
      </c>
    </row>
    <row r="6050" spans="21:22">
      <c r="U6050">
        <v>6008</v>
      </c>
      <c r="V6050" s="197">
        <v>448.05209252467989</v>
      </c>
    </row>
    <row r="6051" spans="21:22">
      <c r="U6051">
        <v>6009</v>
      </c>
      <c r="V6051" s="197">
        <v>696.93225009254797</v>
      </c>
    </row>
    <row r="6052" spans="21:22">
      <c r="U6052">
        <v>6010</v>
      </c>
      <c r="V6052" s="197">
        <v>756.50915505861508</v>
      </c>
    </row>
    <row r="6053" spans="21:22">
      <c r="U6053">
        <v>6011</v>
      </c>
      <c r="V6053" s="197">
        <v>-1251.5951009893868</v>
      </c>
    </row>
    <row r="6054" spans="21:22">
      <c r="U6054">
        <v>6012</v>
      </c>
      <c r="V6054" s="197">
        <v>-2597.6753780644344</v>
      </c>
    </row>
    <row r="6055" spans="21:22">
      <c r="U6055">
        <v>6013</v>
      </c>
      <c r="V6055" s="197">
        <v>1032.3549543219078</v>
      </c>
    </row>
    <row r="6056" spans="21:22">
      <c r="U6056">
        <v>6014</v>
      </c>
      <c r="V6056" s="197">
        <v>-1892.1952499133633</v>
      </c>
    </row>
    <row r="6057" spans="21:22">
      <c r="U6057">
        <v>6015</v>
      </c>
      <c r="V6057" s="197">
        <v>1405.5199214760478</v>
      </c>
    </row>
    <row r="6058" spans="21:22">
      <c r="U6058">
        <v>6016</v>
      </c>
      <c r="V6058" s="197">
        <v>-623.92199921565816</v>
      </c>
    </row>
    <row r="6059" spans="21:22">
      <c r="U6059">
        <v>6017</v>
      </c>
      <c r="V6059" s="197">
        <v>514.46594071727986</v>
      </c>
    </row>
    <row r="6060" spans="21:22">
      <c r="U6060">
        <v>6018</v>
      </c>
      <c r="V6060" s="197">
        <v>2170.9581937101661</v>
      </c>
    </row>
    <row r="6061" spans="21:22">
      <c r="U6061">
        <v>6019</v>
      </c>
      <c r="V6061" s="197">
        <v>288.73067833195006</v>
      </c>
    </row>
    <row r="6062" spans="21:22">
      <c r="U6062">
        <v>6020</v>
      </c>
      <c r="V6062" s="197">
        <v>-973.78950639016125</v>
      </c>
    </row>
    <row r="6063" spans="21:22">
      <c r="U6063">
        <v>6021</v>
      </c>
      <c r="V6063" s="197">
        <v>177.8118334569549</v>
      </c>
    </row>
    <row r="6064" spans="21:22">
      <c r="U6064">
        <v>6022</v>
      </c>
      <c r="V6064" s="197">
        <v>1233.6806722231954</v>
      </c>
    </row>
    <row r="6065" spans="21:22">
      <c r="U6065">
        <v>6023</v>
      </c>
      <c r="V6065" s="197">
        <v>-926.11178609423951</v>
      </c>
    </row>
    <row r="6066" spans="21:22">
      <c r="U6066">
        <v>6024</v>
      </c>
      <c r="V6066" s="197">
        <v>1391.105852245229</v>
      </c>
    </row>
    <row r="6067" spans="21:22">
      <c r="U6067">
        <v>6025</v>
      </c>
      <c r="V6067" s="197">
        <v>288.55826657453974</v>
      </c>
    </row>
    <row r="6068" spans="21:22">
      <c r="U6068">
        <v>6026</v>
      </c>
      <c r="V6068" s="197">
        <v>-3126.2590022486829</v>
      </c>
    </row>
    <row r="6069" spans="21:22">
      <c r="U6069">
        <v>6027</v>
      </c>
      <c r="V6069" s="197">
        <v>-1222.6606927454502</v>
      </c>
    </row>
    <row r="6070" spans="21:22">
      <c r="U6070">
        <v>6028</v>
      </c>
      <c r="V6070" s="197">
        <v>-20.018718112530522</v>
      </c>
    </row>
    <row r="6071" spans="21:22">
      <c r="U6071">
        <v>6029</v>
      </c>
      <c r="V6071" s="197">
        <v>1450.538819210816</v>
      </c>
    </row>
    <row r="6072" spans="21:22">
      <c r="U6072">
        <v>6030</v>
      </c>
      <c r="V6072" s="197">
        <v>-733.82549970083392</v>
      </c>
    </row>
    <row r="6073" spans="21:22">
      <c r="U6073">
        <v>6031</v>
      </c>
      <c r="V6073" s="197">
        <v>-142.6195526420932</v>
      </c>
    </row>
    <row r="6074" spans="21:22">
      <c r="U6074">
        <v>6032</v>
      </c>
      <c r="V6074" s="197">
        <v>-491.10509769920287</v>
      </c>
    </row>
    <row r="6075" spans="21:22">
      <c r="U6075">
        <v>6033</v>
      </c>
      <c r="V6075" s="197">
        <v>-147.90475538984322</v>
      </c>
    </row>
    <row r="6076" spans="21:22">
      <c r="U6076">
        <v>6034</v>
      </c>
      <c r="V6076" s="197">
        <v>-1060.342271713472</v>
      </c>
    </row>
    <row r="6077" spans="21:22">
      <c r="U6077">
        <v>6035</v>
      </c>
      <c r="V6077" s="197">
        <v>774.15433354510105</v>
      </c>
    </row>
    <row r="6078" spans="21:22">
      <c r="U6078">
        <v>6036</v>
      </c>
      <c r="V6078" s="197">
        <v>61.164179191114421</v>
      </c>
    </row>
    <row r="6079" spans="21:22">
      <c r="U6079">
        <v>6037</v>
      </c>
      <c r="V6079" s="197">
        <v>889.01631481808977</v>
      </c>
    </row>
    <row r="6080" spans="21:22">
      <c r="U6080">
        <v>6038</v>
      </c>
      <c r="V6080" s="197">
        <v>482.54401294810822</v>
      </c>
    </row>
    <row r="6081" spans="21:22">
      <c r="U6081">
        <v>6039</v>
      </c>
      <c r="V6081" s="197">
        <v>-966.50992665611966</v>
      </c>
    </row>
    <row r="6082" spans="21:22">
      <c r="U6082">
        <v>6040</v>
      </c>
      <c r="V6082" s="197">
        <v>-752.32013746418056</v>
      </c>
    </row>
    <row r="6083" spans="21:22">
      <c r="U6083">
        <v>6041</v>
      </c>
      <c r="V6083" s="197">
        <v>-978.86419381751034</v>
      </c>
    </row>
    <row r="6084" spans="21:22">
      <c r="U6084">
        <v>6042</v>
      </c>
      <c r="V6084" s="197">
        <v>1445.9861339318243</v>
      </c>
    </row>
    <row r="6085" spans="21:22">
      <c r="U6085">
        <v>6043</v>
      </c>
      <c r="V6085" s="197">
        <v>1393.4635225441102</v>
      </c>
    </row>
    <row r="6086" spans="21:22">
      <c r="U6086">
        <v>6044</v>
      </c>
      <c r="V6086" s="197">
        <v>73.431371447200931</v>
      </c>
    </row>
    <row r="6087" spans="21:22">
      <c r="U6087">
        <v>6045</v>
      </c>
      <c r="V6087" s="197">
        <v>-336.15807583542716</v>
      </c>
    </row>
    <row r="6088" spans="21:22">
      <c r="U6088">
        <v>6046</v>
      </c>
      <c r="V6088" s="197">
        <v>887.39013759541149</v>
      </c>
    </row>
    <row r="6089" spans="21:22">
      <c r="U6089">
        <v>6047</v>
      </c>
      <c r="V6089" s="197">
        <v>626.35547903314477</v>
      </c>
    </row>
    <row r="6090" spans="21:22">
      <c r="U6090">
        <v>6048</v>
      </c>
      <c r="V6090" s="197">
        <v>-909.23180146855157</v>
      </c>
    </row>
    <row r="6091" spans="21:22">
      <c r="U6091">
        <v>6049</v>
      </c>
      <c r="V6091" s="197">
        <v>-767.81163051027943</v>
      </c>
    </row>
    <row r="6092" spans="21:22">
      <c r="U6092">
        <v>6050</v>
      </c>
      <c r="V6092" s="197">
        <v>-652.6043191016463</v>
      </c>
    </row>
    <row r="6093" spans="21:22">
      <c r="U6093">
        <v>6051</v>
      </c>
      <c r="V6093" s="197">
        <v>-1458.7982038614948</v>
      </c>
    </row>
    <row r="6094" spans="21:22">
      <c r="U6094">
        <v>6052</v>
      </c>
      <c r="V6094" s="197">
        <v>639.7449443959988</v>
      </c>
    </row>
    <row r="6095" spans="21:22">
      <c r="U6095">
        <v>6053</v>
      </c>
      <c r="V6095" s="197">
        <v>-850.00029230495011</v>
      </c>
    </row>
    <row r="6096" spans="21:22">
      <c r="U6096">
        <v>6054</v>
      </c>
      <c r="V6096" s="197">
        <v>-209.22015072250349</v>
      </c>
    </row>
    <row r="6097" spans="21:22">
      <c r="U6097">
        <v>6055</v>
      </c>
      <c r="V6097" s="197">
        <v>1153.3886759017153</v>
      </c>
    </row>
    <row r="6098" spans="21:22">
      <c r="U6098">
        <v>6056</v>
      </c>
      <c r="V6098" s="197">
        <v>1059.7580721420004</v>
      </c>
    </row>
    <row r="6099" spans="21:22">
      <c r="U6099">
        <v>6057</v>
      </c>
      <c r="V6099" s="197">
        <v>-36.949370963462655</v>
      </c>
    </row>
    <row r="6100" spans="21:22">
      <c r="U6100">
        <v>6058</v>
      </c>
      <c r="V6100" s="197">
        <v>-1540.8248218796416</v>
      </c>
    </row>
    <row r="6101" spans="21:22">
      <c r="U6101">
        <v>6059</v>
      </c>
      <c r="V6101" s="197">
        <v>-432.83668793059252</v>
      </c>
    </row>
    <row r="6102" spans="21:22">
      <c r="U6102">
        <v>6060</v>
      </c>
      <c r="V6102" s="197">
        <v>491.40902503541002</v>
      </c>
    </row>
    <row r="6103" spans="21:22">
      <c r="U6103">
        <v>6061</v>
      </c>
      <c r="V6103" s="197">
        <v>642.17649196912112</v>
      </c>
    </row>
    <row r="6104" spans="21:22">
      <c r="U6104">
        <v>6062</v>
      </c>
      <c r="V6104" s="197">
        <v>-467.7683880418445</v>
      </c>
    </row>
    <row r="6105" spans="21:22">
      <c r="U6105">
        <v>6063</v>
      </c>
      <c r="V6105" s="197">
        <v>-1169.172700116862</v>
      </c>
    </row>
    <row r="6106" spans="21:22">
      <c r="U6106">
        <v>6064</v>
      </c>
      <c r="V6106" s="197">
        <v>953.26146704957819</v>
      </c>
    </row>
    <row r="6107" spans="21:22">
      <c r="U6107">
        <v>6065</v>
      </c>
      <c r="V6107" s="197">
        <v>654.13390783904174</v>
      </c>
    </row>
    <row r="6108" spans="21:22">
      <c r="U6108">
        <v>6066</v>
      </c>
      <c r="V6108" s="197">
        <v>469.81892441591407</v>
      </c>
    </row>
    <row r="6109" spans="21:22">
      <c r="U6109">
        <v>6067</v>
      </c>
      <c r="V6109" s="197">
        <v>965.89613749995328</v>
      </c>
    </row>
    <row r="6110" spans="21:22">
      <c r="U6110">
        <v>6068</v>
      </c>
      <c r="V6110" s="197">
        <v>283.95781225474758</v>
      </c>
    </row>
    <row r="6111" spans="21:22">
      <c r="U6111">
        <v>6069</v>
      </c>
      <c r="V6111" s="197">
        <v>-1005.5035135963508</v>
      </c>
    </row>
    <row r="6112" spans="21:22">
      <c r="U6112">
        <v>6070</v>
      </c>
      <c r="V6112" s="197">
        <v>-306.05320678577652</v>
      </c>
    </row>
    <row r="6113" spans="21:22">
      <c r="U6113">
        <v>6071</v>
      </c>
      <c r="V6113" s="197">
        <v>1822.5209635329306</v>
      </c>
    </row>
    <row r="6114" spans="21:22">
      <c r="U6114">
        <v>6072</v>
      </c>
      <c r="V6114" s="197">
        <v>155.85155363893028</v>
      </c>
    </row>
    <row r="6115" spans="21:22">
      <c r="U6115">
        <v>6073</v>
      </c>
      <c r="V6115" s="197">
        <v>986.26374348703212</v>
      </c>
    </row>
    <row r="6116" spans="21:22">
      <c r="U6116">
        <v>6074</v>
      </c>
      <c r="V6116" s="197">
        <v>1304.4796900317617</v>
      </c>
    </row>
    <row r="6117" spans="21:22">
      <c r="U6117">
        <v>6075</v>
      </c>
      <c r="V6117" s="197">
        <v>954.22911801907276</v>
      </c>
    </row>
    <row r="6118" spans="21:22">
      <c r="U6118">
        <v>6076</v>
      </c>
      <c r="V6118" s="197">
        <v>-1194.2125097692992</v>
      </c>
    </row>
    <row r="6119" spans="21:22">
      <c r="U6119">
        <v>6077</v>
      </c>
      <c r="V6119" s="197">
        <v>-588.89674445236506</v>
      </c>
    </row>
    <row r="6120" spans="21:22">
      <c r="U6120">
        <v>6078</v>
      </c>
      <c r="V6120" s="197">
        <v>212.83509052137092</v>
      </c>
    </row>
    <row r="6121" spans="21:22">
      <c r="U6121">
        <v>6079</v>
      </c>
      <c r="V6121" s="197">
        <v>1386.8230263086027</v>
      </c>
    </row>
    <row r="6122" spans="21:22">
      <c r="U6122">
        <v>6080</v>
      </c>
      <c r="V6122" s="197">
        <v>-2237.8390670149383</v>
      </c>
    </row>
    <row r="6123" spans="21:22">
      <c r="U6123">
        <v>6081</v>
      </c>
      <c r="V6123" s="197">
        <v>1557.0370712214865</v>
      </c>
    </row>
    <row r="6124" spans="21:22">
      <c r="U6124">
        <v>6082</v>
      </c>
      <c r="V6124" s="197">
        <v>840.00892078814513</v>
      </c>
    </row>
    <row r="6125" spans="21:22">
      <c r="U6125">
        <v>6083</v>
      </c>
      <c r="V6125" s="197">
        <v>-1454.8436648139541</v>
      </c>
    </row>
    <row r="6126" spans="21:22">
      <c r="U6126">
        <v>6084</v>
      </c>
      <c r="V6126" s="197">
        <v>-931.9545280485861</v>
      </c>
    </row>
    <row r="6127" spans="21:22">
      <c r="U6127">
        <v>6085</v>
      </c>
      <c r="V6127" s="197">
        <v>-1505.8614092183054</v>
      </c>
    </row>
    <row r="6128" spans="21:22">
      <c r="U6128">
        <v>6086</v>
      </c>
      <c r="V6128" s="197">
        <v>1813.231831176663</v>
      </c>
    </row>
    <row r="6129" spans="21:22">
      <c r="U6129">
        <v>6087</v>
      </c>
      <c r="V6129" s="197">
        <v>48.950622492003767</v>
      </c>
    </row>
    <row r="6130" spans="21:22">
      <c r="U6130">
        <v>6088</v>
      </c>
      <c r="V6130" s="197">
        <v>909.13378757775467</v>
      </c>
    </row>
    <row r="6131" spans="21:22">
      <c r="U6131">
        <v>6089</v>
      </c>
      <c r="V6131" s="197">
        <v>1631.1505921709422</v>
      </c>
    </row>
    <row r="6132" spans="21:22">
      <c r="U6132">
        <v>6090</v>
      </c>
      <c r="V6132" s="197">
        <v>-781.28059690070791</v>
      </c>
    </row>
    <row r="6133" spans="21:22">
      <c r="U6133">
        <v>6091</v>
      </c>
      <c r="V6133" s="197">
        <v>-976.52538177763313</v>
      </c>
    </row>
    <row r="6134" spans="21:22">
      <c r="U6134">
        <v>6092</v>
      </c>
      <c r="V6134" s="197">
        <v>45.703482696825596</v>
      </c>
    </row>
    <row r="6135" spans="21:22">
      <c r="U6135">
        <v>6093</v>
      </c>
      <c r="V6135" s="197">
        <v>1041.2216333565655</v>
      </c>
    </row>
    <row r="6136" spans="21:22">
      <c r="U6136">
        <v>6094</v>
      </c>
      <c r="V6136" s="197">
        <v>-434.84621520897468</v>
      </c>
    </row>
    <row r="6137" spans="21:22">
      <c r="U6137">
        <v>6095</v>
      </c>
      <c r="V6137" s="197">
        <v>872.96667258961247</v>
      </c>
    </row>
    <row r="6138" spans="21:22">
      <c r="U6138">
        <v>6096</v>
      </c>
      <c r="V6138" s="197">
        <v>-1500.6535980329113</v>
      </c>
    </row>
    <row r="6139" spans="21:22">
      <c r="U6139">
        <v>6097</v>
      </c>
      <c r="V6139" s="197">
        <v>829.3049830196278</v>
      </c>
    </row>
    <row r="6140" spans="21:22">
      <c r="U6140">
        <v>6098</v>
      </c>
      <c r="V6140" s="197">
        <v>814.51361712450239</v>
      </c>
    </row>
    <row r="6141" spans="21:22">
      <c r="U6141">
        <v>6099</v>
      </c>
      <c r="V6141" s="197">
        <v>784.87851605819401</v>
      </c>
    </row>
    <row r="6142" spans="21:22">
      <c r="U6142">
        <v>6100</v>
      </c>
      <c r="V6142" s="197">
        <v>-997.60453549779095</v>
      </c>
    </row>
    <row r="6143" spans="21:22">
      <c r="U6143">
        <v>6101</v>
      </c>
      <c r="V6143" s="197">
        <v>-1866.7111593610132</v>
      </c>
    </row>
    <row r="6144" spans="21:22">
      <c r="U6144">
        <v>6102</v>
      </c>
      <c r="V6144" s="197">
        <v>-1450.0174944783373</v>
      </c>
    </row>
    <row r="6145" spans="21:22">
      <c r="U6145">
        <v>6103</v>
      </c>
      <c r="V6145" s="197">
        <v>-231.82621877269173</v>
      </c>
    </row>
    <row r="6146" spans="21:22">
      <c r="U6146">
        <v>6104</v>
      </c>
      <c r="V6146" s="197">
        <v>1716.8471369119504</v>
      </c>
    </row>
    <row r="6147" spans="21:22">
      <c r="U6147">
        <v>6105</v>
      </c>
      <c r="V6147" s="197">
        <v>-122.48615134130858</v>
      </c>
    </row>
    <row r="6148" spans="21:22">
      <c r="U6148">
        <v>6106</v>
      </c>
      <c r="V6148" s="197">
        <v>862.99160613483741</v>
      </c>
    </row>
    <row r="6149" spans="21:22">
      <c r="U6149">
        <v>6107</v>
      </c>
      <c r="V6149" s="197">
        <v>-57.408686315583282</v>
      </c>
    </row>
    <row r="6150" spans="21:22">
      <c r="U6150">
        <v>6108</v>
      </c>
      <c r="V6150" s="197">
        <v>1197.6576419003334</v>
      </c>
    </row>
    <row r="6151" spans="21:22">
      <c r="U6151">
        <v>6109</v>
      </c>
      <c r="V6151" s="197">
        <v>-416.45430313763853</v>
      </c>
    </row>
    <row r="6152" spans="21:22">
      <c r="U6152">
        <v>6110</v>
      </c>
      <c r="V6152" s="197">
        <v>147.30161390173456</v>
      </c>
    </row>
    <row r="6153" spans="21:22">
      <c r="U6153">
        <v>6111</v>
      </c>
      <c r="V6153" s="197">
        <v>238.71573485958132</v>
      </c>
    </row>
    <row r="6154" spans="21:22">
      <c r="U6154">
        <v>6112</v>
      </c>
      <c r="V6154" s="197">
        <v>2475.2722935810693</v>
      </c>
    </row>
    <row r="6155" spans="21:22">
      <c r="U6155">
        <v>6113</v>
      </c>
      <c r="V6155" s="197">
        <v>73.659961835749499</v>
      </c>
    </row>
    <row r="6156" spans="21:22">
      <c r="U6156">
        <v>6114</v>
      </c>
      <c r="V6156" s="197">
        <v>792.53449772235308</v>
      </c>
    </row>
    <row r="6157" spans="21:22">
      <c r="U6157">
        <v>6115</v>
      </c>
      <c r="V6157" s="197">
        <v>1365.1449664602683</v>
      </c>
    </row>
    <row r="6158" spans="21:22">
      <c r="U6158">
        <v>6116</v>
      </c>
      <c r="V6158" s="197">
        <v>100.02868170722493</v>
      </c>
    </row>
    <row r="6159" spans="21:22">
      <c r="U6159">
        <v>6117</v>
      </c>
      <c r="V6159" s="197">
        <v>793.66704941855619</v>
      </c>
    </row>
    <row r="6160" spans="21:22">
      <c r="U6160">
        <v>6118</v>
      </c>
      <c r="V6160" s="197">
        <v>-12.163992301917958</v>
      </c>
    </row>
    <row r="6161" spans="21:22">
      <c r="U6161">
        <v>6119</v>
      </c>
      <c r="V6161" s="197">
        <v>323.8820406487697</v>
      </c>
    </row>
    <row r="6162" spans="21:22">
      <c r="U6162">
        <v>6120</v>
      </c>
      <c r="V6162" s="197">
        <v>1423.0525534511007</v>
      </c>
    </row>
    <row r="6163" spans="21:22">
      <c r="U6163">
        <v>6121</v>
      </c>
      <c r="V6163" s="197">
        <v>-303.89119758869742</v>
      </c>
    </row>
    <row r="6164" spans="21:22">
      <c r="U6164">
        <v>6122</v>
      </c>
      <c r="V6164" s="197">
        <v>1440.8803628809751</v>
      </c>
    </row>
    <row r="6165" spans="21:22">
      <c r="U6165">
        <v>6123</v>
      </c>
      <c r="V6165" s="197">
        <v>-539.47219464832801</v>
      </c>
    </row>
    <row r="6166" spans="21:22">
      <c r="U6166">
        <v>6124</v>
      </c>
      <c r="V6166" s="197">
        <v>-1065.8046958365319</v>
      </c>
    </row>
    <row r="6167" spans="21:22">
      <c r="U6167">
        <v>6125</v>
      </c>
      <c r="V6167" s="197">
        <v>1620.1999373670401</v>
      </c>
    </row>
    <row r="6168" spans="21:22">
      <c r="U6168">
        <v>6126</v>
      </c>
      <c r="V6168" s="197">
        <v>31.475701807878565</v>
      </c>
    </row>
    <row r="6169" spans="21:22">
      <c r="U6169">
        <v>6127</v>
      </c>
      <c r="V6169" s="197">
        <v>-899.69483872067872</v>
      </c>
    </row>
    <row r="6170" spans="21:22">
      <c r="U6170">
        <v>6128</v>
      </c>
      <c r="V6170" s="197">
        <v>11.404850175503384</v>
      </c>
    </row>
    <row r="6171" spans="21:22">
      <c r="U6171">
        <v>6129</v>
      </c>
      <c r="V6171" s="197">
        <v>-716.41552479775532</v>
      </c>
    </row>
    <row r="6172" spans="21:22">
      <c r="U6172">
        <v>6130</v>
      </c>
      <c r="V6172" s="197">
        <v>-249.33398335594109</v>
      </c>
    </row>
    <row r="6173" spans="21:22">
      <c r="U6173">
        <v>6131</v>
      </c>
      <c r="V6173" s="197">
        <v>-795.00201910018086</v>
      </c>
    </row>
    <row r="6174" spans="21:22">
      <c r="U6174">
        <v>6132</v>
      </c>
      <c r="V6174" s="197">
        <v>596.11350898277897</v>
      </c>
    </row>
    <row r="6175" spans="21:22">
      <c r="U6175">
        <v>6133</v>
      </c>
      <c r="V6175" s="197">
        <v>789.97754728171662</v>
      </c>
    </row>
    <row r="6176" spans="21:22">
      <c r="U6176">
        <v>6134</v>
      </c>
      <c r="V6176" s="197">
        <v>-227.20833709254191</v>
      </c>
    </row>
    <row r="6177" spans="21:22">
      <c r="U6177">
        <v>6135</v>
      </c>
      <c r="V6177" s="197">
        <v>952.31030239718098</v>
      </c>
    </row>
    <row r="6178" spans="21:22">
      <c r="U6178">
        <v>6136</v>
      </c>
      <c r="V6178" s="197">
        <v>797.1150509456802</v>
      </c>
    </row>
    <row r="6179" spans="21:22">
      <c r="U6179">
        <v>6137</v>
      </c>
      <c r="V6179" s="197">
        <v>-353.15325594348826</v>
      </c>
    </row>
    <row r="6180" spans="21:22">
      <c r="U6180">
        <v>6138</v>
      </c>
      <c r="V6180" s="197">
        <v>-1788.6854765732421</v>
      </c>
    </row>
    <row r="6181" spans="21:22">
      <c r="U6181">
        <v>6139</v>
      </c>
      <c r="V6181" s="197">
        <v>1264.4248236983071</v>
      </c>
    </row>
    <row r="6182" spans="21:22">
      <c r="U6182">
        <v>6140</v>
      </c>
      <c r="V6182" s="197">
        <v>-516.43765898625998</v>
      </c>
    </row>
    <row r="6183" spans="21:22">
      <c r="U6183">
        <v>6141</v>
      </c>
      <c r="V6183" s="197">
        <v>501.75225212284045</v>
      </c>
    </row>
    <row r="6184" spans="21:22">
      <c r="U6184">
        <v>6142</v>
      </c>
      <c r="V6184" s="197">
        <v>-481.68388781604057</v>
      </c>
    </row>
    <row r="6185" spans="21:22">
      <c r="U6185">
        <v>6143</v>
      </c>
      <c r="V6185" s="197">
        <v>-519.23360030821118</v>
      </c>
    </row>
    <row r="6186" spans="21:22">
      <c r="U6186">
        <v>6144</v>
      </c>
      <c r="V6186" s="197">
        <v>-160.43638925207057</v>
      </c>
    </row>
    <row r="6187" spans="21:22">
      <c r="U6187">
        <v>6145</v>
      </c>
      <c r="V6187" s="197">
        <v>-446.09215911237897</v>
      </c>
    </row>
    <row r="6188" spans="21:22">
      <c r="U6188">
        <v>6146</v>
      </c>
      <c r="V6188" s="197">
        <v>-1905.1419885285202</v>
      </c>
    </row>
    <row r="6189" spans="21:22">
      <c r="U6189">
        <v>6147</v>
      </c>
      <c r="V6189" s="197">
        <v>-781.09766507281461</v>
      </c>
    </row>
    <row r="6190" spans="21:22">
      <c r="U6190">
        <v>6148</v>
      </c>
      <c r="V6190" s="197">
        <v>-214.36683086980457</v>
      </c>
    </row>
    <row r="6191" spans="21:22">
      <c r="U6191">
        <v>6149</v>
      </c>
      <c r="V6191" s="197">
        <v>-152.21767970027688</v>
      </c>
    </row>
    <row r="6192" spans="21:22">
      <c r="U6192">
        <v>6150</v>
      </c>
      <c r="V6192" s="197">
        <v>596.67758598762748</v>
      </c>
    </row>
    <row r="6193" spans="21:22">
      <c r="U6193">
        <v>6151</v>
      </c>
      <c r="V6193" s="197">
        <v>-118.85870093487705</v>
      </c>
    </row>
    <row r="6194" spans="21:22">
      <c r="U6194">
        <v>6152</v>
      </c>
      <c r="V6194" s="197">
        <v>267.97805184019143</v>
      </c>
    </row>
    <row r="6195" spans="21:22">
      <c r="U6195">
        <v>6153</v>
      </c>
      <c r="V6195" s="197">
        <v>105.78374595258248</v>
      </c>
    </row>
    <row r="6196" spans="21:22">
      <c r="U6196">
        <v>6154</v>
      </c>
      <c r="V6196" s="197">
        <v>393.5130254165831</v>
      </c>
    </row>
    <row r="6197" spans="21:22">
      <c r="U6197">
        <v>6155</v>
      </c>
      <c r="V6197" s="197">
        <v>19.593298845480376</v>
      </c>
    </row>
    <row r="6198" spans="21:22">
      <c r="U6198">
        <v>6156</v>
      </c>
      <c r="V6198" s="197">
        <v>1251.4822811441234</v>
      </c>
    </row>
    <row r="6199" spans="21:22">
      <c r="U6199">
        <v>6157</v>
      </c>
      <c r="V6199" s="197">
        <v>-1336.4248783119738</v>
      </c>
    </row>
    <row r="6200" spans="21:22">
      <c r="U6200">
        <v>6158</v>
      </c>
      <c r="V6200" s="197">
        <v>-306.45712674895293</v>
      </c>
    </row>
    <row r="6201" spans="21:22">
      <c r="U6201">
        <v>6159</v>
      </c>
      <c r="V6201" s="197">
        <v>-513.15555259313442</v>
      </c>
    </row>
    <row r="6202" spans="21:22">
      <c r="U6202">
        <v>6160</v>
      </c>
      <c r="V6202" s="197">
        <v>-84.075514319823696</v>
      </c>
    </row>
    <row r="6203" spans="21:22">
      <c r="U6203">
        <v>6161</v>
      </c>
      <c r="V6203" s="197">
        <v>-337.29617627091227</v>
      </c>
    </row>
    <row r="6204" spans="21:22">
      <c r="U6204">
        <v>6162</v>
      </c>
      <c r="V6204" s="197">
        <v>153.54317734970277</v>
      </c>
    </row>
    <row r="6205" spans="21:22">
      <c r="U6205">
        <v>6163</v>
      </c>
      <c r="V6205" s="197">
        <v>102.03436310369906</v>
      </c>
    </row>
    <row r="6206" spans="21:22">
      <c r="U6206">
        <v>6164</v>
      </c>
      <c r="V6206" s="197">
        <v>947.39527430472458</v>
      </c>
    </row>
    <row r="6207" spans="21:22">
      <c r="U6207">
        <v>6165</v>
      </c>
      <c r="V6207" s="197">
        <v>-527.30974937580254</v>
      </c>
    </row>
    <row r="6208" spans="21:22">
      <c r="U6208">
        <v>6166</v>
      </c>
      <c r="V6208" s="197">
        <v>2059.6423411894079</v>
      </c>
    </row>
    <row r="6209" spans="21:22">
      <c r="U6209">
        <v>6167</v>
      </c>
      <c r="V6209" s="197">
        <v>-481.55767632251667</v>
      </c>
    </row>
    <row r="6210" spans="21:22">
      <c r="U6210">
        <v>6168</v>
      </c>
      <c r="V6210" s="197">
        <v>779.57039043164013</v>
      </c>
    </row>
    <row r="6211" spans="21:22">
      <c r="U6211">
        <v>6169</v>
      </c>
      <c r="V6211" s="197">
        <v>292.87029145802995</v>
      </c>
    </row>
    <row r="6212" spans="21:22">
      <c r="U6212">
        <v>6170</v>
      </c>
      <c r="V6212" s="197">
        <v>-190.64359198750157</v>
      </c>
    </row>
    <row r="6213" spans="21:22">
      <c r="U6213">
        <v>6171</v>
      </c>
      <c r="V6213" s="197">
        <v>845.20897283106933</v>
      </c>
    </row>
    <row r="6214" spans="21:22">
      <c r="U6214">
        <v>6172</v>
      </c>
      <c r="V6214" s="197">
        <v>327.33493726368249</v>
      </c>
    </row>
    <row r="6215" spans="21:22">
      <c r="U6215">
        <v>6173</v>
      </c>
      <c r="V6215" s="197">
        <v>-287.09830903845835</v>
      </c>
    </row>
    <row r="6216" spans="21:22">
      <c r="U6216">
        <v>6174</v>
      </c>
      <c r="V6216" s="197">
        <v>-1215.9500945520429</v>
      </c>
    </row>
    <row r="6217" spans="21:22">
      <c r="U6217">
        <v>6175</v>
      </c>
      <c r="V6217" s="197">
        <v>1974.7095991595299</v>
      </c>
    </row>
    <row r="6218" spans="21:22">
      <c r="U6218">
        <v>6176</v>
      </c>
      <c r="V6218" s="197">
        <v>99.064965847303412</v>
      </c>
    </row>
    <row r="6219" spans="21:22">
      <c r="U6219">
        <v>6177</v>
      </c>
      <c r="V6219" s="197">
        <v>362.80302142090557</v>
      </c>
    </row>
    <row r="6220" spans="21:22">
      <c r="U6220">
        <v>6178</v>
      </c>
      <c r="V6220" s="197">
        <v>-126.72915976032547</v>
      </c>
    </row>
    <row r="6221" spans="21:22">
      <c r="U6221">
        <v>6179</v>
      </c>
      <c r="V6221" s="197">
        <v>-4.5104193193244413</v>
      </c>
    </row>
    <row r="6222" spans="21:22">
      <c r="U6222">
        <v>6180</v>
      </c>
      <c r="V6222" s="197">
        <v>-723.82237598272104</v>
      </c>
    </row>
    <row r="6223" spans="21:22">
      <c r="U6223">
        <v>6181</v>
      </c>
      <c r="V6223" s="197">
        <v>631.08773219493378</v>
      </c>
    </row>
    <row r="6224" spans="21:22">
      <c r="U6224">
        <v>6182</v>
      </c>
      <c r="V6224" s="197">
        <v>-757.0074546465305</v>
      </c>
    </row>
    <row r="6225" spans="21:22">
      <c r="U6225">
        <v>6183</v>
      </c>
      <c r="V6225" s="197">
        <v>991.70712796536918</v>
      </c>
    </row>
    <row r="6226" spans="21:22">
      <c r="U6226">
        <v>6184</v>
      </c>
      <c r="V6226" s="197">
        <v>-203.3189378128892</v>
      </c>
    </row>
    <row r="6227" spans="21:22">
      <c r="U6227">
        <v>6185</v>
      </c>
      <c r="V6227" s="197">
        <v>1326.945895157972</v>
      </c>
    </row>
    <row r="6228" spans="21:22">
      <c r="U6228">
        <v>6186</v>
      </c>
      <c r="V6228" s="197">
        <v>268.2530194213806</v>
      </c>
    </row>
    <row r="6229" spans="21:22">
      <c r="U6229">
        <v>6187</v>
      </c>
      <c r="V6229" s="197">
        <v>243.34465303348978</v>
      </c>
    </row>
    <row r="6230" spans="21:22">
      <c r="U6230">
        <v>6188</v>
      </c>
      <c r="V6230" s="197">
        <v>-1720.0890121167256</v>
      </c>
    </row>
    <row r="6231" spans="21:22">
      <c r="U6231">
        <v>6189</v>
      </c>
      <c r="V6231" s="197">
        <v>1219.2493426096348</v>
      </c>
    </row>
    <row r="6232" spans="21:22">
      <c r="U6232">
        <v>6190</v>
      </c>
      <c r="V6232" s="197">
        <v>-1019.5952472048148</v>
      </c>
    </row>
    <row r="6233" spans="21:22">
      <c r="U6233">
        <v>6191</v>
      </c>
      <c r="V6233" s="197">
        <v>1051.4441336815189</v>
      </c>
    </row>
    <row r="6234" spans="21:22">
      <c r="U6234">
        <v>6192</v>
      </c>
      <c r="V6234" s="197">
        <v>679.7902843252707</v>
      </c>
    </row>
    <row r="6235" spans="21:22">
      <c r="U6235">
        <v>6193</v>
      </c>
      <c r="V6235" s="197">
        <v>-667.51327783239503</v>
      </c>
    </row>
    <row r="6236" spans="21:22">
      <c r="U6236">
        <v>6194</v>
      </c>
      <c r="V6236" s="197">
        <v>216.47370374294917</v>
      </c>
    </row>
    <row r="6237" spans="21:22">
      <c r="U6237">
        <v>6195</v>
      </c>
      <c r="V6237" s="197">
        <v>1282.9908626385882</v>
      </c>
    </row>
    <row r="6238" spans="21:22">
      <c r="U6238">
        <v>6196</v>
      </c>
      <c r="V6238" s="197">
        <v>934.35509800083128</v>
      </c>
    </row>
    <row r="6239" spans="21:22">
      <c r="U6239">
        <v>6197</v>
      </c>
      <c r="V6239" s="197">
        <v>-56.066031327769906</v>
      </c>
    </row>
    <row r="6240" spans="21:22">
      <c r="U6240">
        <v>6198</v>
      </c>
      <c r="V6240" s="197">
        <v>720.48770887145224</v>
      </c>
    </row>
    <row r="6241" spans="21:22">
      <c r="U6241">
        <v>6199</v>
      </c>
      <c r="V6241" s="197">
        <v>549.31345424111089</v>
      </c>
    </row>
    <row r="6242" spans="21:22">
      <c r="U6242">
        <v>6200</v>
      </c>
      <c r="V6242" s="197">
        <v>548.52658262823331</v>
      </c>
    </row>
    <row r="6243" spans="21:22">
      <c r="U6243">
        <v>6201</v>
      </c>
      <c r="V6243" s="197">
        <v>-981.17536276284</v>
      </c>
    </row>
    <row r="6244" spans="21:22">
      <c r="U6244">
        <v>6202</v>
      </c>
      <c r="V6244" s="197">
        <v>674.08336029319139</v>
      </c>
    </row>
    <row r="6245" spans="21:22">
      <c r="U6245">
        <v>6203</v>
      </c>
      <c r="V6245" s="197">
        <v>1395.8984666410029</v>
      </c>
    </row>
    <row r="6246" spans="21:22">
      <c r="U6246">
        <v>6204</v>
      </c>
      <c r="V6246" s="197">
        <v>-827.69827463898696</v>
      </c>
    </row>
    <row r="6247" spans="21:22">
      <c r="U6247">
        <v>6205</v>
      </c>
      <c r="V6247" s="197">
        <v>-46.443564283966452</v>
      </c>
    </row>
    <row r="6248" spans="21:22">
      <c r="U6248">
        <v>6206</v>
      </c>
      <c r="V6248" s="197">
        <v>-1292.8600913252826</v>
      </c>
    </row>
    <row r="6249" spans="21:22">
      <c r="U6249">
        <v>6207</v>
      </c>
      <c r="V6249" s="197">
        <v>1565.4336274258717</v>
      </c>
    </row>
    <row r="6250" spans="21:22">
      <c r="U6250">
        <v>6208</v>
      </c>
      <c r="V6250" s="197">
        <v>-1275.0698200151196</v>
      </c>
    </row>
    <row r="6251" spans="21:22">
      <c r="U6251">
        <v>6209</v>
      </c>
      <c r="V6251" s="197">
        <v>-591.30665042355008</v>
      </c>
    </row>
    <row r="6252" spans="21:22">
      <c r="U6252">
        <v>6210</v>
      </c>
      <c r="V6252" s="197">
        <v>585.59859861137636</v>
      </c>
    </row>
    <row r="6253" spans="21:22">
      <c r="U6253">
        <v>6211</v>
      </c>
      <c r="V6253" s="197">
        <v>-527.82546818094715</v>
      </c>
    </row>
    <row r="6254" spans="21:22">
      <c r="U6254">
        <v>6212</v>
      </c>
      <c r="V6254" s="197">
        <v>1865.5081947858096</v>
      </c>
    </row>
    <row r="6255" spans="21:22">
      <c r="U6255">
        <v>6213</v>
      </c>
      <c r="V6255" s="197">
        <v>-304.98074380900232</v>
      </c>
    </row>
    <row r="6256" spans="21:22">
      <c r="U6256">
        <v>6214</v>
      </c>
      <c r="V6256" s="197">
        <v>-405.62681098753984</v>
      </c>
    </row>
    <row r="6257" spans="21:22">
      <c r="U6257">
        <v>6215</v>
      </c>
      <c r="V6257" s="197">
        <v>163.92287222530473</v>
      </c>
    </row>
    <row r="6258" spans="21:22">
      <c r="U6258">
        <v>6216</v>
      </c>
      <c r="V6258" s="197">
        <v>-540.05703249678481</v>
      </c>
    </row>
    <row r="6259" spans="21:22">
      <c r="U6259">
        <v>6217</v>
      </c>
      <c r="V6259" s="197">
        <v>1489.9765719801364</v>
      </c>
    </row>
    <row r="6260" spans="21:22">
      <c r="U6260">
        <v>6218</v>
      </c>
      <c r="V6260" s="197">
        <v>1714.6661069550526</v>
      </c>
    </row>
    <row r="6261" spans="21:22">
      <c r="U6261">
        <v>6219</v>
      </c>
      <c r="V6261" s="197">
        <v>-1222.4689747306186</v>
      </c>
    </row>
    <row r="6262" spans="21:22">
      <c r="U6262">
        <v>6220</v>
      </c>
      <c r="V6262" s="197">
        <v>2139.8039713881394</v>
      </c>
    </row>
    <row r="6263" spans="21:22">
      <c r="U6263">
        <v>6221</v>
      </c>
      <c r="V6263" s="197">
        <v>-428.76755069441066</v>
      </c>
    </row>
    <row r="6264" spans="21:22">
      <c r="U6264">
        <v>6222</v>
      </c>
      <c r="V6264" s="197">
        <v>-104.32207747501582</v>
      </c>
    </row>
    <row r="6265" spans="21:22">
      <c r="U6265">
        <v>6223</v>
      </c>
      <c r="V6265" s="197">
        <v>-519.67091114436721</v>
      </c>
    </row>
    <row r="6266" spans="21:22">
      <c r="U6266">
        <v>6224</v>
      </c>
      <c r="V6266" s="197">
        <v>1576.1351384839568</v>
      </c>
    </row>
    <row r="6267" spans="21:22">
      <c r="U6267">
        <v>6225</v>
      </c>
      <c r="V6267" s="197">
        <v>-1541.0343932037954</v>
      </c>
    </row>
    <row r="6268" spans="21:22">
      <c r="U6268">
        <v>6226</v>
      </c>
      <c r="V6268" s="197">
        <v>908.70664081739028</v>
      </c>
    </row>
    <row r="6269" spans="21:22">
      <c r="U6269">
        <v>6227</v>
      </c>
      <c r="V6269" s="197">
        <v>669.27000368928748</v>
      </c>
    </row>
    <row r="6270" spans="21:22">
      <c r="U6270">
        <v>6228</v>
      </c>
      <c r="V6270" s="197">
        <v>-188.36032709948535</v>
      </c>
    </row>
    <row r="6271" spans="21:22">
      <c r="U6271">
        <v>6229</v>
      </c>
      <c r="V6271" s="197">
        <v>-1006.247338881067</v>
      </c>
    </row>
    <row r="6272" spans="21:22">
      <c r="U6272">
        <v>6230</v>
      </c>
      <c r="V6272" s="197">
        <v>-491.80969476566571</v>
      </c>
    </row>
    <row r="6273" spans="21:22">
      <c r="U6273">
        <v>6231</v>
      </c>
      <c r="V6273" s="197">
        <v>1906.3649895826459</v>
      </c>
    </row>
    <row r="6274" spans="21:22">
      <c r="U6274">
        <v>6232</v>
      </c>
      <c r="V6274" s="197">
        <v>-209.27332164516582</v>
      </c>
    </row>
    <row r="6275" spans="21:22">
      <c r="U6275">
        <v>6233</v>
      </c>
      <c r="V6275" s="197">
        <v>-720.51158154018344</v>
      </c>
    </row>
    <row r="6276" spans="21:22">
      <c r="U6276">
        <v>6234</v>
      </c>
      <c r="V6276" s="197">
        <v>963.57241701288717</v>
      </c>
    </row>
    <row r="6277" spans="21:22">
      <c r="U6277">
        <v>6235</v>
      </c>
      <c r="V6277" s="197">
        <v>1307.7751148674013</v>
      </c>
    </row>
    <row r="6278" spans="21:22">
      <c r="U6278">
        <v>6236</v>
      </c>
      <c r="V6278" s="197">
        <v>505.89582926433553</v>
      </c>
    </row>
    <row r="6279" spans="21:22">
      <c r="U6279">
        <v>6237</v>
      </c>
      <c r="V6279" s="197">
        <v>-138.26892158406167</v>
      </c>
    </row>
    <row r="6280" spans="21:22">
      <c r="U6280">
        <v>6238</v>
      </c>
      <c r="V6280" s="197">
        <v>-587.74265875998458</v>
      </c>
    </row>
    <row r="6281" spans="21:22">
      <c r="U6281">
        <v>6239</v>
      </c>
      <c r="V6281" s="197">
        <v>1229.3293637598065</v>
      </c>
    </row>
    <row r="6282" spans="21:22">
      <c r="U6282">
        <v>6240</v>
      </c>
      <c r="V6282" s="197">
        <v>535.29009444613723</v>
      </c>
    </row>
    <row r="6283" spans="21:22">
      <c r="U6283">
        <v>6241</v>
      </c>
      <c r="V6283" s="197">
        <v>-279.4127406441612</v>
      </c>
    </row>
    <row r="6284" spans="21:22">
      <c r="U6284">
        <v>6242</v>
      </c>
      <c r="V6284" s="197">
        <v>-100.62266951355423</v>
      </c>
    </row>
    <row r="6285" spans="21:22">
      <c r="U6285">
        <v>6243</v>
      </c>
      <c r="V6285" s="197">
        <v>494.50096976312113</v>
      </c>
    </row>
    <row r="6286" spans="21:22">
      <c r="U6286">
        <v>6244</v>
      </c>
      <c r="V6286" s="197">
        <v>-113.83576660479764</v>
      </c>
    </row>
    <row r="6287" spans="21:22">
      <c r="U6287">
        <v>6245</v>
      </c>
      <c r="V6287" s="197">
        <v>510.21230606493594</v>
      </c>
    </row>
    <row r="6288" spans="21:22">
      <c r="U6288">
        <v>6246</v>
      </c>
      <c r="V6288" s="197">
        <v>961.95539011533242</v>
      </c>
    </row>
    <row r="6289" spans="21:22">
      <c r="U6289">
        <v>6247</v>
      </c>
      <c r="V6289" s="197">
        <v>-1214.912878056401</v>
      </c>
    </row>
    <row r="6290" spans="21:22">
      <c r="U6290">
        <v>6248</v>
      </c>
      <c r="V6290" s="197">
        <v>663.75012570947229</v>
      </c>
    </row>
    <row r="6291" spans="21:22">
      <c r="U6291">
        <v>6249</v>
      </c>
      <c r="V6291" s="197">
        <v>-745.24848299481891</v>
      </c>
    </row>
    <row r="6292" spans="21:22">
      <c r="U6292">
        <v>6250</v>
      </c>
      <c r="V6292" s="197">
        <v>-776.11636713586154</v>
      </c>
    </row>
    <row r="6293" spans="21:22">
      <c r="U6293">
        <v>6251</v>
      </c>
      <c r="V6293" s="197">
        <v>-930.06845267435028</v>
      </c>
    </row>
    <row r="6294" spans="21:22">
      <c r="U6294">
        <v>6252</v>
      </c>
      <c r="V6294" s="197">
        <v>-686.55745897916654</v>
      </c>
    </row>
    <row r="6295" spans="21:22">
      <c r="U6295">
        <v>6253</v>
      </c>
      <c r="V6295" s="197">
        <v>-352.03101099559933</v>
      </c>
    </row>
    <row r="6296" spans="21:22">
      <c r="U6296">
        <v>6254</v>
      </c>
      <c r="V6296" s="197">
        <v>738.642075823695</v>
      </c>
    </row>
    <row r="6297" spans="21:22">
      <c r="U6297">
        <v>6255</v>
      </c>
      <c r="V6297" s="197">
        <v>26.898250815459107</v>
      </c>
    </row>
    <row r="6298" spans="21:22">
      <c r="U6298">
        <v>6256</v>
      </c>
      <c r="V6298" s="197">
        <v>-667.79326273361721</v>
      </c>
    </row>
    <row r="6299" spans="21:22">
      <c r="U6299">
        <v>6257</v>
      </c>
      <c r="V6299" s="197">
        <v>511.09833809942404</v>
      </c>
    </row>
    <row r="6300" spans="21:22">
      <c r="U6300">
        <v>6258</v>
      </c>
      <c r="V6300" s="197">
        <v>886.16709846523963</v>
      </c>
    </row>
    <row r="6301" spans="21:22">
      <c r="U6301">
        <v>6259</v>
      </c>
      <c r="V6301" s="197">
        <v>338.29719469248823</v>
      </c>
    </row>
    <row r="6302" spans="21:22">
      <c r="U6302">
        <v>6260</v>
      </c>
      <c r="V6302" s="197">
        <v>-91.106632181799256</v>
      </c>
    </row>
    <row r="6303" spans="21:22">
      <c r="U6303">
        <v>6261</v>
      </c>
      <c r="V6303" s="197">
        <v>1404.7213365374043</v>
      </c>
    </row>
    <row r="6304" spans="21:22">
      <c r="U6304">
        <v>6262</v>
      </c>
      <c r="V6304" s="197">
        <v>597.3056589065676</v>
      </c>
    </row>
    <row r="6305" spans="21:22">
      <c r="U6305">
        <v>6263</v>
      </c>
      <c r="V6305" s="197">
        <v>-332.50557347887667</v>
      </c>
    </row>
    <row r="6306" spans="21:22">
      <c r="U6306">
        <v>6264</v>
      </c>
      <c r="V6306" s="197">
        <v>799.18899677141667</v>
      </c>
    </row>
    <row r="6307" spans="21:22">
      <c r="U6307">
        <v>6265</v>
      </c>
      <c r="V6307" s="197">
        <v>-1444.957534625069</v>
      </c>
    </row>
    <row r="6308" spans="21:22">
      <c r="U6308">
        <v>6266</v>
      </c>
      <c r="V6308" s="197">
        <v>97.121875608589676</v>
      </c>
    </row>
    <row r="6309" spans="21:22">
      <c r="U6309">
        <v>6267</v>
      </c>
      <c r="V6309" s="197">
        <v>1344.930206345927</v>
      </c>
    </row>
    <row r="6310" spans="21:22">
      <c r="U6310">
        <v>6268</v>
      </c>
      <c r="V6310" s="197">
        <v>817.74348470082577</v>
      </c>
    </row>
    <row r="6311" spans="21:22">
      <c r="U6311">
        <v>6269</v>
      </c>
      <c r="V6311" s="197">
        <v>551.64564847924225</v>
      </c>
    </row>
    <row r="6312" spans="21:22">
      <c r="U6312">
        <v>6270</v>
      </c>
      <c r="V6312" s="197">
        <v>-885.41796742843803</v>
      </c>
    </row>
    <row r="6313" spans="21:22">
      <c r="U6313">
        <v>6271</v>
      </c>
      <c r="V6313" s="197">
        <v>-667.87927283548765</v>
      </c>
    </row>
    <row r="6314" spans="21:22">
      <c r="U6314">
        <v>6272</v>
      </c>
      <c r="V6314" s="197">
        <v>1082.6431833599811</v>
      </c>
    </row>
    <row r="6315" spans="21:22">
      <c r="U6315">
        <v>6273</v>
      </c>
      <c r="V6315" s="197">
        <v>-2199.9260954333331</v>
      </c>
    </row>
    <row r="6316" spans="21:22">
      <c r="U6316">
        <v>6274</v>
      </c>
      <c r="V6316" s="197">
        <v>425.04644969497093</v>
      </c>
    </row>
    <row r="6317" spans="21:22">
      <c r="U6317">
        <v>6275</v>
      </c>
      <c r="V6317" s="197">
        <v>638.08748184529759</v>
      </c>
    </row>
    <row r="6318" spans="21:22">
      <c r="U6318">
        <v>6276</v>
      </c>
      <c r="V6318" s="197">
        <v>266.2329471865495</v>
      </c>
    </row>
    <row r="6319" spans="21:22">
      <c r="U6319">
        <v>6277</v>
      </c>
      <c r="V6319" s="197">
        <v>1229.9508952720253</v>
      </c>
    </row>
    <row r="6320" spans="21:22">
      <c r="U6320">
        <v>6278</v>
      </c>
      <c r="V6320" s="197">
        <v>-355.9483057726456</v>
      </c>
    </row>
    <row r="6321" spans="21:22">
      <c r="U6321">
        <v>6279</v>
      </c>
      <c r="V6321" s="197">
        <v>-407.29729039645298</v>
      </c>
    </row>
    <row r="6322" spans="21:22">
      <c r="U6322">
        <v>6280</v>
      </c>
      <c r="V6322" s="197">
        <v>-1091.7893703890579</v>
      </c>
    </row>
    <row r="6323" spans="21:22">
      <c r="U6323">
        <v>6281</v>
      </c>
      <c r="V6323" s="197">
        <v>-1049.6941569427031</v>
      </c>
    </row>
    <row r="6324" spans="21:22">
      <c r="U6324">
        <v>6282</v>
      </c>
      <c r="V6324" s="197">
        <v>-780.69853455994848</v>
      </c>
    </row>
    <row r="6325" spans="21:22">
      <c r="U6325">
        <v>6283</v>
      </c>
      <c r="V6325" s="197">
        <v>-1118.8554643990481</v>
      </c>
    </row>
    <row r="6326" spans="21:22">
      <c r="U6326">
        <v>6284</v>
      </c>
      <c r="V6326" s="197">
        <v>235.01649267801835</v>
      </c>
    </row>
    <row r="6327" spans="21:22">
      <c r="U6327">
        <v>6285</v>
      </c>
      <c r="V6327" s="197">
        <v>448.63415282828248</v>
      </c>
    </row>
    <row r="6328" spans="21:22">
      <c r="U6328">
        <v>6286</v>
      </c>
      <c r="V6328" s="197">
        <v>31.934444767242553</v>
      </c>
    </row>
    <row r="6329" spans="21:22">
      <c r="U6329">
        <v>6287</v>
      </c>
      <c r="V6329" s="197">
        <v>420.40296405302206</v>
      </c>
    </row>
    <row r="6330" spans="21:22">
      <c r="U6330">
        <v>6288</v>
      </c>
      <c r="V6330" s="197">
        <v>479.34795320579042</v>
      </c>
    </row>
    <row r="6331" spans="21:22">
      <c r="U6331">
        <v>6289</v>
      </c>
      <c r="V6331" s="197">
        <v>1086.5178343130015</v>
      </c>
    </row>
    <row r="6332" spans="21:22">
      <c r="U6332">
        <v>6290</v>
      </c>
      <c r="V6332" s="197">
        <v>756.58100870456656</v>
      </c>
    </row>
    <row r="6333" spans="21:22">
      <c r="U6333">
        <v>6291</v>
      </c>
      <c r="V6333" s="197">
        <v>1158.6115512422796</v>
      </c>
    </row>
    <row r="6334" spans="21:22">
      <c r="U6334">
        <v>6292</v>
      </c>
      <c r="V6334" s="197">
        <v>-596.41805626385508</v>
      </c>
    </row>
    <row r="6335" spans="21:22">
      <c r="U6335">
        <v>6293</v>
      </c>
      <c r="V6335" s="197">
        <v>340.72156063765686</v>
      </c>
    </row>
    <row r="6336" spans="21:22">
      <c r="U6336">
        <v>6294</v>
      </c>
      <c r="V6336" s="197">
        <v>-443.42881964941438</v>
      </c>
    </row>
    <row r="6337" spans="21:22">
      <c r="U6337">
        <v>6295</v>
      </c>
      <c r="V6337" s="197">
        <v>-140.25791844820412</v>
      </c>
    </row>
    <row r="6338" spans="21:22">
      <c r="U6338">
        <v>6296</v>
      </c>
      <c r="V6338" s="197">
        <v>1998.6526341345459</v>
      </c>
    </row>
    <row r="6339" spans="21:22">
      <c r="U6339">
        <v>6297</v>
      </c>
      <c r="V6339" s="197">
        <v>51.564279174152993</v>
      </c>
    </row>
    <row r="6340" spans="21:22">
      <c r="U6340">
        <v>6298</v>
      </c>
      <c r="V6340" s="197">
        <v>194.60594192453618</v>
      </c>
    </row>
    <row r="6341" spans="21:22">
      <c r="U6341">
        <v>6299</v>
      </c>
      <c r="V6341" s="197">
        <v>885.61004305051188</v>
      </c>
    </row>
    <row r="6342" spans="21:22">
      <c r="U6342">
        <v>6300</v>
      </c>
      <c r="V6342" s="197">
        <v>266.01883135316541</v>
      </c>
    </row>
    <row r="6343" spans="21:22">
      <c r="U6343">
        <v>6301</v>
      </c>
      <c r="V6343" s="197">
        <v>-94.052001962048422</v>
      </c>
    </row>
    <row r="6344" spans="21:22">
      <c r="U6344">
        <v>6302</v>
      </c>
      <c r="V6344" s="197">
        <v>914.74478194118205</v>
      </c>
    </row>
    <row r="6345" spans="21:22">
      <c r="U6345">
        <v>6303</v>
      </c>
      <c r="V6345" s="197">
        <v>1104.2791296247722</v>
      </c>
    </row>
    <row r="6346" spans="21:22">
      <c r="U6346">
        <v>6304</v>
      </c>
      <c r="V6346" s="197">
        <v>127.09714284671699</v>
      </c>
    </row>
    <row r="6347" spans="21:22">
      <c r="U6347">
        <v>6305</v>
      </c>
      <c r="V6347" s="197">
        <v>463.57957470033926</v>
      </c>
    </row>
    <row r="6348" spans="21:22">
      <c r="U6348">
        <v>6306</v>
      </c>
      <c r="V6348" s="197">
        <v>1031.5470419320654</v>
      </c>
    </row>
    <row r="6349" spans="21:22">
      <c r="U6349">
        <v>6307</v>
      </c>
      <c r="V6349" s="197">
        <v>2020.458671585805</v>
      </c>
    </row>
    <row r="6350" spans="21:22">
      <c r="U6350">
        <v>6308</v>
      </c>
      <c r="V6350" s="197">
        <v>202.93820462738256</v>
      </c>
    </row>
    <row r="6351" spans="21:22">
      <c r="U6351">
        <v>6309</v>
      </c>
      <c r="V6351" s="197">
        <v>49.247905074283636</v>
      </c>
    </row>
    <row r="6352" spans="21:22">
      <c r="U6352">
        <v>6310</v>
      </c>
      <c r="V6352" s="197">
        <v>-800.52243994128844</v>
      </c>
    </row>
    <row r="6353" spans="21:22">
      <c r="U6353">
        <v>6311</v>
      </c>
      <c r="V6353" s="197">
        <v>-602.94379807683936</v>
      </c>
    </row>
    <row r="6354" spans="21:22">
      <c r="U6354">
        <v>6312</v>
      </c>
      <c r="V6354" s="197">
        <v>285.79179162521217</v>
      </c>
    </row>
    <row r="6355" spans="21:22">
      <c r="U6355">
        <v>6313</v>
      </c>
      <c r="V6355" s="197">
        <v>-158.66557491529454</v>
      </c>
    </row>
    <row r="6356" spans="21:22">
      <c r="U6356">
        <v>6314</v>
      </c>
      <c r="V6356" s="197">
        <v>654.24722612331766</v>
      </c>
    </row>
    <row r="6357" spans="21:22">
      <c r="U6357">
        <v>6315</v>
      </c>
      <c r="V6357" s="197">
        <v>-120.09824629713754</v>
      </c>
    </row>
    <row r="6358" spans="21:22">
      <c r="U6358">
        <v>6316</v>
      </c>
      <c r="V6358" s="197">
        <v>1808.002902347572</v>
      </c>
    </row>
    <row r="6359" spans="21:22">
      <c r="U6359">
        <v>6317</v>
      </c>
      <c r="V6359" s="197">
        <v>285.74883793510719</v>
      </c>
    </row>
    <row r="6360" spans="21:22">
      <c r="U6360">
        <v>6318</v>
      </c>
      <c r="V6360" s="197">
        <v>-552.73937114736191</v>
      </c>
    </row>
    <row r="6361" spans="21:22">
      <c r="U6361">
        <v>6319</v>
      </c>
      <c r="V6361" s="197">
        <v>51.536088681455986</v>
      </c>
    </row>
    <row r="6362" spans="21:22">
      <c r="U6362">
        <v>6320</v>
      </c>
      <c r="V6362" s="197">
        <v>1188.6789199755792</v>
      </c>
    </row>
    <row r="6363" spans="21:22">
      <c r="U6363">
        <v>6321</v>
      </c>
      <c r="V6363" s="197">
        <v>767.51732230717835</v>
      </c>
    </row>
    <row r="6364" spans="21:22">
      <c r="U6364">
        <v>6322</v>
      </c>
      <c r="V6364" s="197">
        <v>-957.30063717931762</v>
      </c>
    </row>
    <row r="6365" spans="21:22">
      <c r="U6365">
        <v>6323</v>
      </c>
      <c r="V6365" s="197">
        <v>-283.96963343938609</v>
      </c>
    </row>
    <row r="6366" spans="21:22">
      <c r="U6366">
        <v>6324</v>
      </c>
      <c r="V6366" s="197">
        <v>1167.517031984218</v>
      </c>
    </row>
    <row r="6367" spans="21:22">
      <c r="U6367">
        <v>6325</v>
      </c>
      <c r="V6367" s="197">
        <v>469.18984384463386</v>
      </c>
    </row>
    <row r="6368" spans="21:22">
      <c r="U6368">
        <v>6326</v>
      </c>
      <c r="V6368" s="197">
        <v>-329.18083422414321</v>
      </c>
    </row>
    <row r="6369" spans="21:22">
      <c r="U6369">
        <v>6327</v>
      </c>
      <c r="V6369" s="197">
        <v>490.61354290643038</v>
      </c>
    </row>
    <row r="6370" spans="21:22">
      <c r="U6370">
        <v>6328</v>
      </c>
      <c r="V6370" s="197">
        <v>-2412.8946683746535</v>
      </c>
    </row>
    <row r="6371" spans="21:22">
      <c r="U6371">
        <v>6329</v>
      </c>
      <c r="V6371" s="197">
        <v>861.43057087110856</v>
      </c>
    </row>
    <row r="6372" spans="21:22">
      <c r="U6372">
        <v>6330</v>
      </c>
      <c r="V6372" s="197">
        <v>287.59341616539882</v>
      </c>
    </row>
    <row r="6373" spans="21:22">
      <c r="U6373">
        <v>6331</v>
      </c>
      <c r="V6373" s="197">
        <v>1270.3373687541723</v>
      </c>
    </row>
    <row r="6374" spans="21:22">
      <c r="U6374">
        <v>6332</v>
      </c>
      <c r="V6374" s="197">
        <v>608.95648348958707</v>
      </c>
    </row>
    <row r="6375" spans="21:22">
      <c r="U6375">
        <v>6333</v>
      </c>
      <c r="V6375" s="197">
        <v>1584.3242032139831</v>
      </c>
    </row>
    <row r="6376" spans="21:22">
      <c r="U6376">
        <v>6334</v>
      </c>
      <c r="V6376" s="197">
        <v>-542.2553130390902</v>
      </c>
    </row>
    <row r="6377" spans="21:22">
      <c r="U6377">
        <v>6335</v>
      </c>
      <c r="V6377" s="197">
        <v>-405.48455050341613</v>
      </c>
    </row>
    <row r="6378" spans="21:22">
      <c r="U6378">
        <v>6336</v>
      </c>
      <c r="V6378" s="197">
        <v>1729.298491895137</v>
      </c>
    </row>
    <row r="6379" spans="21:22">
      <c r="U6379">
        <v>6337</v>
      </c>
      <c r="V6379" s="197">
        <v>1190.2417684222526</v>
      </c>
    </row>
    <row r="6380" spans="21:22">
      <c r="U6380">
        <v>6338</v>
      </c>
      <c r="V6380" s="197">
        <v>-953.47915278529263</v>
      </c>
    </row>
    <row r="6381" spans="21:22">
      <c r="U6381">
        <v>6339</v>
      </c>
      <c r="V6381" s="197">
        <v>479.60178356397495</v>
      </c>
    </row>
    <row r="6382" spans="21:22">
      <c r="U6382">
        <v>6340</v>
      </c>
      <c r="V6382" s="197">
        <v>-780.10841876063137</v>
      </c>
    </row>
    <row r="6383" spans="21:22">
      <c r="U6383">
        <v>6341</v>
      </c>
      <c r="V6383" s="197">
        <v>1168.0106223141777</v>
      </c>
    </row>
    <row r="6384" spans="21:22">
      <c r="U6384">
        <v>6342</v>
      </c>
      <c r="V6384" s="197">
        <v>-598.82250722085951</v>
      </c>
    </row>
    <row r="6385" spans="21:22">
      <c r="U6385">
        <v>6343</v>
      </c>
      <c r="V6385" s="197">
        <v>-386.64160671913254</v>
      </c>
    </row>
    <row r="6386" spans="21:22">
      <c r="U6386">
        <v>6344</v>
      </c>
      <c r="V6386" s="197">
        <v>-920.59802159876381</v>
      </c>
    </row>
    <row r="6387" spans="21:22">
      <c r="U6387">
        <v>6345</v>
      </c>
      <c r="V6387" s="197">
        <v>1204.723340594124</v>
      </c>
    </row>
    <row r="6388" spans="21:22">
      <c r="U6388">
        <v>6346</v>
      </c>
      <c r="V6388" s="197">
        <v>677.02369814678377</v>
      </c>
    </row>
    <row r="6389" spans="21:22">
      <c r="U6389">
        <v>6347</v>
      </c>
      <c r="V6389" s="197">
        <v>1332.4218980592004</v>
      </c>
    </row>
    <row r="6390" spans="21:22">
      <c r="U6390">
        <v>6348</v>
      </c>
      <c r="V6390" s="197">
        <v>-86.878670221807369</v>
      </c>
    </row>
    <row r="6391" spans="21:22">
      <c r="U6391">
        <v>6349</v>
      </c>
      <c r="V6391" s="197">
        <v>679.37869632237243</v>
      </c>
    </row>
    <row r="6392" spans="21:22">
      <c r="U6392">
        <v>6350</v>
      </c>
      <c r="V6392" s="197">
        <v>1777.6553603753341</v>
      </c>
    </row>
    <row r="6393" spans="21:22">
      <c r="U6393">
        <v>6351</v>
      </c>
      <c r="V6393" s="197">
        <v>1740.9246547252224</v>
      </c>
    </row>
    <row r="6394" spans="21:22">
      <c r="U6394">
        <v>6352</v>
      </c>
      <c r="V6394" s="197">
        <v>669.70397319116182</v>
      </c>
    </row>
    <row r="6395" spans="21:22">
      <c r="U6395">
        <v>6353</v>
      </c>
      <c r="V6395" s="197">
        <v>909.79428386031304</v>
      </c>
    </row>
    <row r="6396" spans="21:22">
      <c r="U6396">
        <v>6354</v>
      </c>
      <c r="V6396" s="197">
        <v>-436.68273455892512</v>
      </c>
    </row>
    <row r="6397" spans="21:22">
      <c r="U6397">
        <v>6355</v>
      </c>
      <c r="V6397" s="197">
        <v>1594.4248439934793</v>
      </c>
    </row>
    <row r="6398" spans="21:22">
      <c r="U6398">
        <v>6356</v>
      </c>
      <c r="V6398" s="197">
        <v>654.55096278686506</v>
      </c>
    </row>
    <row r="6399" spans="21:22">
      <c r="U6399">
        <v>6357</v>
      </c>
      <c r="V6399" s="197">
        <v>155.12488839742119</v>
      </c>
    </row>
    <row r="6400" spans="21:22">
      <c r="U6400">
        <v>6358</v>
      </c>
      <c r="V6400" s="197">
        <v>220.58024194760355</v>
      </c>
    </row>
    <row r="6401" spans="21:22">
      <c r="U6401">
        <v>6359</v>
      </c>
      <c r="V6401" s="197">
        <v>-672.88507116197184</v>
      </c>
    </row>
    <row r="6402" spans="21:22">
      <c r="U6402">
        <v>6360</v>
      </c>
      <c r="V6402" s="197">
        <v>1825.5927997030819</v>
      </c>
    </row>
    <row r="6403" spans="21:22">
      <c r="U6403">
        <v>6361</v>
      </c>
      <c r="V6403" s="197">
        <v>876.79667867226226</v>
      </c>
    </row>
    <row r="6404" spans="21:22">
      <c r="U6404">
        <v>6362</v>
      </c>
      <c r="V6404" s="197">
        <v>564.81492635449126</v>
      </c>
    </row>
    <row r="6405" spans="21:22">
      <c r="U6405">
        <v>6363</v>
      </c>
      <c r="V6405" s="197">
        <v>-774.71862755471466</v>
      </c>
    </row>
    <row r="6406" spans="21:22">
      <c r="U6406">
        <v>6364</v>
      </c>
      <c r="V6406" s="197">
        <v>568.77241033299163</v>
      </c>
    </row>
    <row r="6407" spans="21:22">
      <c r="U6407">
        <v>6365</v>
      </c>
      <c r="V6407" s="197">
        <v>166.16715008011903</v>
      </c>
    </row>
    <row r="6408" spans="21:22">
      <c r="U6408">
        <v>6366</v>
      </c>
      <c r="V6408" s="197">
        <v>1901.946937136172</v>
      </c>
    </row>
    <row r="6409" spans="21:22">
      <c r="U6409">
        <v>6367</v>
      </c>
      <c r="V6409" s="197">
        <v>50.741271744334099</v>
      </c>
    </row>
    <row r="6410" spans="21:22">
      <c r="U6410">
        <v>6368</v>
      </c>
      <c r="V6410" s="197">
        <v>1489.3356461975716</v>
      </c>
    </row>
    <row r="6411" spans="21:22">
      <c r="U6411">
        <v>6369</v>
      </c>
      <c r="V6411" s="197">
        <v>199.1054362854903</v>
      </c>
    </row>
    <row r="6412" spans="21:22">
      <c r="U6412">
        <v>6370</v>
      </c>
      <c r="V6412" s="197">
        <v>-218.64577306615564</v>
      </c>
    </row>
    <row r="6413" spans="21:22">
      <c r="U6413">
        <v>6371</v>
      </c>
      <c r="V6413" s="197">
        <v>-828.60074185516442</v>
      </c>
    </row>
    <row r="6414" spans="21:22">
      <c r="U6414">
        <v>6372</v>
      </c>
      <c r="V6414" s="197">
        <v>1766.3759808923085</v>
      </c>
    </row>
    <row r="6415" spans="21:22">
      <c r="U6415">
        <v>6373</v>
      </c>
      <c r="V6415" s="197">
        <v>1656.5574093433511</v>
      </c>
    </row>
    <row r="6416" spans="21:22">
      <c r="U6416">
        <v>6374</v>
      </c>
      <c r="V6416" s="197">
        <v>-963.09692416826283</v>
      </c>
    </row>
    <row r="6417" spans="21:22">
      <c r="U6417">
        <v>6375</v>
      </c>
      <c r="V6417" s="197">
        <v>241.1117589404991</v>
      </c>
    </row>
    <row r="6418" spans="21:22">
      <c r="U6418">
        <v>6376</v>
      </c>
      <c r="V6418" s="197">
        <v>-1273.5655712790176</v>
      </c>
    </row>
    <row r="6419" spans="21:22">
      <c r="U6419">
        <v>6377</v>
      </c>
      <c r="V6419" s="197">
        <v>-467.59603554371307</v>
      </c>
    </row>
    <row r="6420" spans="21:22">
      <c r="U6420">
        <v>6378</v>
      </c>
      <c r="V6420" s="197">
        <v>806.0194586981404</v>
      </c>
    </row>
    <row r="6421" spans="21:22">
      <c r="U6421">
        <v>6379</v>
      </c>
      <c r="V6421" s="197">
        <v>-75.939114468995768</v>
      </c>
    </row>
    <row r="6422" spans="21:22">
      <c r="U6422">
        <v>6380</v>
      </c>
      <c r="V6422" s="197">
        <v>-97.867492909565186</v>
      </c>
    </row>
    <row r="6423" spans="21:22">
      <c r="U6423">
        <v>6381</v>
      </c>
      <c r="V6423" s="197">
        <v>921.53423482907806</v>
      </c>
    </row>
    <row r="6424" spans="21:22">
      <c r="U6424">
        <v>6382</v>
      </c>
      <c r="V6424" s="197">
        <v>1281.8631936543795</v>
      </c>
    </row>
    <row r="6425" spans="21:22">
      <c r="U6425">
        <v>6383</v>
      </c>
      <c r="V6425" s="197">
        <v>560.72995477894756</v>
      </c>
    </row>
    <row r="6426" spans="21:22">
      <c r="U6426">
        <v>6384</v>
      </c>
      <c r="V6426" s="197">
        <v>-1401.6368698497461</v>
      </c>
    </row>
    <row r="6427" spans="21:22">
      <c r="U6427">
        <v>6385</v>
      </c>
      <c r="V6427" s="197">
        <v>1765.9139908713496</v>
      </c>
    </row>
    <row r="6428" spans="21:22">
      <c r="U6428">
        <v>6386</v>
      </c>
      <c r="V6428" s="197">
        <v>1268.8790990949237</v>
      </c>
    </row>
    <row r="6429" spans="21:22">
      <c r="U6429">
        <v>6387</v>
      </c>
      <c r="V6429" s="197">
        <v>629.73620906222027</v>
      </c>
    </row>
    <row r="6430" spans="21:22">
      <c r="U6430">
        <v>6388</v>
      </c>
      <c r="V6430" s="197">
        <v>1024.84877939429</v>
      </c>
    </row>
    <row r="6431" spans="21:22">
      <c r="U6431">
        <v>6389</v>
      </c>
      <c r="V6431" s="197">
        <v>491.7806699471796</v>
      </c>
    </row>
    <row r="6432" spans="21:22">
      <c r="U6432">
        <v>6390</v>
      </c>
      <c r="V6432" s="197">
        <v>-1385.8790527712908</v>
      </c>
    </row>
    <row r="6433" spans="21:22">
      <c r="U6433">
        <v>6391</v>
      </c>
      <c r="V6433" s="197">
        <v>-112.18618542224976</v>
      </c>
    </row>
    <row r="6434" spans="21:22">
      <c r="U6434">
        <v>6392</v>
      </c>
      <c r="V6434" s="197">
        <v>729.81507470292922</v>
      </c>
    </row>
    <row r="6435" spans="21:22">
      <c r="U6435">
        <v>6393</v>
      </c>
      <c r="V6435" s="197">
        <v>-66.598066483189911</v>
      </c>
    </row>
    <row r="6436" spans="21:22">
      <c r="U6436">
        <v>6394</v>
      </c>
      <c r="V6436" s="197">
        <v>-326.28150820993557</v>
      </c>
    </row>
    <row r="6437" spans="21:22">
      <c r="U6437">
        <v>6395</v>
      </c>
      <c r="V6437" s="197">
        <v>785.64604807980777</v>
      </c>
    </row>
    <row r="6438" spans="21:22">
      <c r="U6438">
        <v>6396</v>
      </c>
      <c r="V6438" s="197">
        <v>1166.2031900199188</v>
      </c>
    </row>
    <row r="6439" spans="21:22">
      <c r="U6439">
        <v>6397</v>
      </c>
      <c r="V6439" s="197">
        <v>-263.87741806862562</v>
      </c>
    </row>
    <row r="6440" spans="21:22">
      <c r="U6440">
        <v>6398</v>
      </c>
      <c r="V6440" s="197">
        <v>-566.6760975292425</v>
      </c>
    </row>
    <row r="6441" spans="21:22">
      <c r="U6441">
        <v>6399</v>
      </c>
      <c r="V6441" s="197">
        <v>1527.381961300862</v>
      </c>
    </row>
    <row r="6442" spans="21:22">
      <c r="U6442">
        <v>6400</v>
      </c>
      <c r="V6442" s="197">
        <v>66.583154485110668</v>
      </c>
    </row>
    <row r="6443" spans="21:22">
      <c r="U6443">
        <v>6401</v>
      </c>
      <c r="V6443" s="197">
        <v>-724.42804229260855</v>
      </c>
    </row>
    <row r="6444" spans="21:22">
      <c r="U6444">
        <v>6402</v>
      </c>
      <c r="V6444" s="197">
        <v>725.71262649788196</v>
      </c>
    </row>
    <row r="6445" spans="21:22">
      <c r="U6445">
        <v>6403</v>
      </c>
      <c r="V6445" s="197">
        <v>736.71924153267173</v>
      </c>
    </row>
    <row r="6446" spans="21:22">
      <c r="U6446">
        <v>6404</v>
      </c>
      <c r="V6446" s="197">
        <v>-747.86868057239394</v>
      </c>
    </row>
    <row r="6447" spans="21:22">
      <c r="U6447">
        <v>6405</v>
      </c>
      <c r="V6447" s="197">
        <v>-308.16033442020733</v>
      </c>
    </row>
    <row r="6448" spans="21:22">
      <c r="U6448">
        <v>6406</v>
      </c>
      <c r="V6448" s="197">
        <v>679.4940731362135</v>
      </c>
    </row>
    <row r="6449" spans="21:22">
      <c r="U6449">
        <v>6407</v>
      </c>
      <c r="V6449" s="197">
        <v>260.03001359875441</v>
      </c>
    </row>
    <row r="6450" spans="21:22">
      <c r="U6450">
        <v>6408</v>
      </c>
      <c r="V6450" s="197">
        <v>-1556.9588978556606</v>
      </c>
    </row>
    <row r="6451" spans="21:22">
      <c r="U6451">
        <v>6409</v>
      </c>
      <c r="V6451" s="197">
        <v>-833.69834178466181</v>
      </c>
    </row>
    <row r="6452" spans="21:22">
      <c r="U6452">
        <v>6410</v>
      </c>
      <c r="V6452" s="197">
        <v>1427.1749665224299</v>
      </c>
    </row>
    <row r="6453" spans="21:22">
      <c r="U6453">
        <v>6411</v>
      </c>
      <c r="V6453" s="197">
        <v>-1322.9974132104012</v>
      </c>
    </row>
    <row r="6454" spans="21:22">
      <c r="U6454">
        <v>6412</v>
      </c>
      <c r="V6454" s="197">
        <v>-1021.3675866166707</v>
      </c>
    </row>
    <row r="6455" spans="21:22">
      <c r="U6455">
        <v>6413</v>
      </c>
      <c r="V6455" s="197">
        <v>24.809984620472491</v>
      </c>
    </row>
    <row r="6456" spans="21:22">
      <c r="U6456">
        <v>6414</v>
      </c>
      <c r="V6456" s="197">
        <v>-123.07398314660176</v>
      </c>
    </row>
    <row r="6457" spans="21:22">
      <c r="U6457">
        <v>6415</v>
      </c>
      <c r="V6457" s="197">
        <v>999.66457223943667</v>
      </c>
    </row>
    <row r="6458" spans="21:22">
      <c r="U6458">
        <v>6416</v>
      </c>
      <c r="V6458" s="197">
        <v>2180.6334759081483</v>
      </c>
    </row>
    <row r="6459" spans="21:22">
      <c r="U6459">
        <v>6417</v>
      </c>
      <c r="V6459" s="197">
        <v>402.78779401685676</v>
      </c>
    </row>
    <row r="6460" spans="21:22">
      <c r="U6460">
        <v>6418</v>
      </c>
      <c r="V6460" s="197">
        <v>3327.3878436369023</v>
      </c>
    </row>
    <row r="6461" spans="21:22">
      <c r="U6461">
        <v>6419</v>
      </c>
      <c r="V6461" s="197">
        <v>221.17591173643041</v>
      </c>
    </row>
    <row r="6462" spans="21:22">
      <c r="U6462">
        <v>6420</v>
      </c>
      <c r="V6462" s="197">
        <v>-1609.9362612951134</v>
      </c>
    </row>
    <row r="6463" spans="21:22">
      <c r="U6463">
        <v>6421</v>
      </c>
      <c r="V6463" s="197">
        <v>1001.4447524657712</v>
      </c>
    </row>
    <row r="6464" spans="21:22">
      <c r="U6464">
        <v>6422</v>
      </c>
      <c r="V6464" s="197">
        <v>1506.4718234352965</v>
      </c>
    </row>
    <row r="6465" spans="21:22">
      <c r="U6465">
        <v>6423</v>
      </c>
      <c r="V6465" s="197">
        <v>-191.50646007182047</v>
      </c>
    </row>
    <row r="6466" spans="21:22">
      <c r="U6466">
        <v>6424</v>
      </c>
      <c r="V6466" s="197">
        <v>892.04687390103641</v>
      </c>
    </row>
    <row r="6467" spans="21:22">
      <c r="U6467">
        <v>6425</v>
      </c>
      <c r="V6467" s="197">
        <v>-335.05193618261245</v>
      </c>
    </row>
    <row r="6468" spans="21:22">
      <c r="U6468">
        <v>6426</v>
      </c>
      <c r="V6468" s="197">
        <v>-359.53496402111205</v>
      </c>
    </row>
    <row r="6469" spans="21:22">
      <c r="U6469">
        <v>6427</v>
      </c>
      <c r="V6469" s="197">
        <v>-192.59023372502111</v>
      </c>
    </row>
    <row r="6470" spans="21:22">
      <c r="U6470">
        <v>6428</v>
      </c>
      <c r="V6470" s="197">
        <v>177.57596032822042</v>
      </c>
    </row>
    <row r="6471" spans="21:22">
      <c r="U6471">
        <v>6429</v>
      </c>
      <c r="V6471" s="197">
        <v>1110.2171575349682</v>
      </c>
    </row>
    <row r="6472" spans="21:22">
      <c r="U6472">
        <v>6430</v>
      </c>
      <c r="V6472" s="197">
        <v>-902.33588160295153</v>
      </c>
    </row>
    <row r="6473" spans="21:22">
      <c r="U6473">
        <v>6431</v>
      </c>
      <c r="V6473" s="197">
        <v>-1061.2010143235643</v>
      </c>
    </row>
    <row r="6474" spans="21:22">
      <c r="U6474">
        <v>6432</v>
      </c>
      <c r="V6474" s="197">
        <v>89.657696339979466</v>
      </c>
    </row>
    <row r="6475" spans="21:22">
      <c r="U6475">
        <v>6433</v>
      </c>
      <c r="V6475" s="197">
        <v>530.74901644964393</v>
      </c>
    </row>
    <row r="6476" spans="21:22">
      <c r="U6476">
        <v>6434</v>
      </c>
      <c r="V6476" s="197">
        <v>-1434.1509640257473</v>
      </c>
    </row>
    <row r="6477" spans="21:22">
      <c r="U6477">
        <v>6435</v>
      </c>
      <c r="V6477" s="197">
        <v>1511.0306334691597</v>
      </c>
    </row>
    <row r="6478" spans="21:22">
      <c r="U6478">
        <v>6436</v>
      </c>
      <c r="V6478" s="197">
        <v>1659.8370647880499</v>
      </c>
    </row>
    <row r="6479" spans="21:22">
      <c r="U6479">
        <v>6437</v>
      </c>
      <c r="V6479" s="197">
        <v>364.00350594082693</v>
      </c>
    </row>
    <row r="6480" spans="21:22">
      <c r="U6480">
        <v>6438</v>
      </c>
      <c r="V6480" s="197">
        <v>-4.6058758955971797</v>
      </c>
    </row>
    <row r="6481" spans="21:22">
      <c r="U6481">
        <v>6439</v>
      </c>
      <c r="V6481" s="197">
        <v>-1024.3793188871286</v>
      </c>
    </row>
    <row r="6482" spans="21:22">
      <c r="U6482">
        <v>6440</v>
      </c>
      <c r="V6482" s="197">
        <v>-470.62161538287233</v>
      </c>
    </row>
    <row r="6483" spans="21:22">
      <c r="U6483">
        <v>6441</v>
      </c>
      <c r="V6483" s="197">
        <v>841.74054462651702</v>
      </c>
    </row>
    <row r="6484" spans="21:22">
      <c r="U6484">
        <v>6442</v>
      </c>
      <c r="V6484" s="197">
        <v>748.93343606997382</v>
      </c>
    </row>
    <row r="6485" spans="21:22">
      <c r="U6485">
        <v>6443</v>
      </c>
      <c r="V6485" s="197">
        <v>-1743.5313920177921</v>
      </c>
    </row>
    <row r="6486" spans="21:22">
      <c r="U6486">
        <v>6444</v>
      </c>
      <c r="V6486" s="197">
        <v>-257.96891563184033</v>
      </c>
    </row>
    <row r="6487" spans="21:22">
      <c r="U6487">
        <v>6445</v>
      </c>
      <c r="V6487" s="197">
        <v>4.8252278164080877</v>
      </c>
    </row>
    <row r="6488" spans="21:22">
      <c r="U6488">
        <v>6446</v>
      </c>
      <c r="V6488" s="197">
        <v>732.76169876189192</v>
      </c>
    </row>
    <row r="6489" spans="21:22">
      <c r="U6489">
        <v>6447</v>
      </c>
      <c r="V6489" s="197">
        <v>-1051.6284455489267</v>
      </c>
    </row>
    <row r="6490" spans="21:22">
      <c r="U6490">
        <v>6448</v>
      </c>
      <c r="V6490" s="197">
        <v>617.84620667231866</v>
      </c>
    </row>
    <row r="6491" spans="21:22">
      <c r="U6491">
        <v>6449</v>
      </c>
      <c r="V6491" s="197">
        <v>1132.5195578775233</v>
      </c>
    </row>
    <row r="6492" spans="21:22">
      <c r="U6492">
        <v>6450</v>
      </c>
      <c r="V6492" s="197">
        <v>-1.180735679216582</v>
      </c>
    </row>
    <row r="6493" spans="21:22">
      <c r="U6493">
        <v>6451</v>
      </c>
      <c r="V6493" s="197">
        <v>-13.77756734469655</v>
      </c>
    </row>
    <row r="6494" spans="21:22">
      <c r="U6494">
        <v>6452</v>
      </c>
      <c r="V6494" s="197">
        <v>-798.03946832116821</v>
      </c>
    </row>
    <row r="6495" spans="21:22">
      <c r="U6495">
        <v>6453</v>
      </c>
      <c r="V6495" s="197">
        <v>-1196.7253091527855</v>
      </c>
    </row>
    <row r="6496" spans="21:22">
      <c r="U6496">
        <v>6454</v>
      </c>
      <c r="V6496" s="197">
        <v>761.18389734984021</v>
      </c>
    </row>
    <row r="6497" spans="21:22">
      <c r="U6497">
        <v>6455</v>
      </c>
      <c r="V6497" s="197">
        <v>-155.17743148277668</v>
      </c>
    </row>
    <row r="6498" spans="21:22">
      <c r="U6498">
        <v>6456</v>
      </c>
      <c r="V6498" s="197">
        <v>1148.2232979083485</v>
      </c>
    </row>
    <row r="6499" spans="21:22">
      <c r="U6499">
        <v>6457</v>
      </c>
      <c r="V6499" s="197">
        <v>-763.06932667400611</v>
      </c>
    </row>
    <row r="6500" spans="21:22">
      <c r="U6500">
        <v>6458</v>
      </c>
      <c r="V6500" s="197">
        <v>-187.18130693165841</v>
      </c>
    </row>
    <row r="6501" spans="21:22">
      <c r="U6501">
        <v>6459</v>
      </c>
      <c r="V6501" s="197">
        <v>-1439.9311965359207</v>
      </c>
    </row>
    <row r="6502" spans="21:22">
      <c r="U6502">
        <v>6460</v>
      </c>
      <c r="V6502" s="197">
        <v>1201.4077689749679</v>
      </c>
    </row>
    <row r="6503" spans="21:22">
      <c r="U6503">
        <v>6461</v>
      </c>
      <c r="V6503" s="197">
        <v>-883.25281169833897</v>
      </c>
    </row>
    <row r="6504" spans="21:22">
      <c r="U6504">
        <v>6462</v>
      </c>
      <c r="V6504" s="197">
        <v>-845.73502985701407</v>
      </c>
    </row>
    <row r="6505" spans="21:22">
      <c r="U6505">
        <v>6463</v>
      </c>
      <c r="V6505" s="197">
        <v>778.70766733226083</v>
      </c>
    </row>
    <row r="6506" spans="21:22">
      <c r="U6506">
        <v>6464</v>
      </c>
      <c r="V6506" s="197">
        <v>-89.111453219490073</v>
      </c>
    </row>
    <row r="6507" spans="21:22">
      <c r="U6507">
        <v>6465</v>
      </c>
      <c r="V6507" s="197">
        <v>2835.1230354784661</v>
      </c>
    </row>
    <row r="6508" spans="21:22">
      <c r="U6508">
        <v>6466</v>
      </c>
      <c r="V6508" s="197">
        <v>394.39972233337789</v>
      </c>
    </row>
    <row r="6509" spans="21:22">
      <c r="U6509">
        <v>6467</v>
      </c>
      <c r="V6509" s="197">
        <v>-1565.10134525342</v>
      </c>
    </row>
    <row r="6510" spans="21:22">
      <c r="U6510">
        <v>6468</v>
      </c>
      <c r="V6510" s="197">
        <v>-693.2246754073426</v>
      </c>
    </row>
    <row r="6511" spans="21:22">
      <c r="U6511">
        <v>6469</v>
      </c>
      <c r="V6511" s="197">
        <v>-909.4516604969258</v>
      </c>
    </row>
    <row r="6512" spans="21:22">
      <c r="U6512">
        <v>6470</v>
      </c>
      <c r="V6512" s="197">
        <v>724.548569986242</v>
      </c>
    </row>
    <row r="6513" spans="21:22">
      <c r="U6513">
        <v>6471</v>
      </c>
      <c r="V6513" s="197">
        <v>480.81184799249826</v>
      </c>
    </row>
    <row r="6514" spans="21:22">
      <c r="U6514">
        <v>6472</v>
      </c>
      <c r="V6514" s="197">
        <v>1298.6381188984633</v>
      </c>
    </row>
    <row r="6515" spans="21:22">
      <c r="U6515">
        <v>6473</v>
      </c>
      <c r="V6515" s="197">
        <v>-515.09920420375079</v>
      </c>
    </row>
    <row r="6516" spans="21:22">
      <c r="U6516">
        <v>6474</v>
      </c>
      <c r="V6516" s="197">
        <v>896.63267055021561</v>
      </c>
    </row>
    <row r="6517" spans="21:22">
      <c r="U6517">
        <v>6475</v>
      </c>
      <c r="V6517" s="197">
        <v>460.71032509456609</v>
      </c>
    </row>
    <row r="6518" spans="21:22">
      <c r="U6518">
        <v>6476</v>
      </c>
      <c r="V6518" s="197">
        <v>39.42037673979388</v>
      </c>
    </row>
    <row r="6519" spans="21:22">
      <c r="U6519">
        <v>6477</v>
      </c>
      <c r="V6519" s="197">
        <v>4220.6974081123599</v>
      </c>
    </row>
    <row r="6520" spans="21:22">
      <c r="U6520">
        <v>6478</v>
      </c>
      <c r="V6520" s="197">
        <v>-650.51908210003558</v>
      </c>
    </row>
    <row r="6521" spans="21:22">
      <c r="U6521">
        <v>6479</v>
      </c>
      <c r="V6521" s="197">
        <v>668.58143097533912</v>
      </c>
    </row>
    <row r="6522" spans="21:22">
      <c r="U6522">
        <v>6480</v>
      </c>
      <c r="V6522" s="197">
        <v>859.5635138345267</v>
      </c>
    </row>
    <row r="6523" spans="21:22">
      <c r="U6523">
        <v>6481</v>
      </c>
      <c r="V6523" s="197">
        <v>-195.10332645070724</v>
      </c>
    </row>
    <row r="6524" spans="21:22">
      <c r="U6524">
        <v>6482</v>
      </c>
      <c r="V6524" s="197">
        <v>557.04861301942935</v>
      </c>
    </row>
    <row r="6525" spans="21:22">
      <c r="U6525">
        <v>6483</v>
      </c>
      <c r="V6525" s="197">
        <v>1671.4588101087579</v>
      </c>
    </row>
    <row r="6526" spans="21:22">
      <c r="U6526">
        <v>6484</v>
      </c>
      <c r="V6526" s="197">
        <v>2101.3345861354351</v>
      </c>
    </row>
    <row r="6527" spans="21:22">
      <c r="U6527">
        <v>6485</v>
      </c>
      <c r="V6527" s="197">
        <v>-816.39770586416171</v>
      </c>
    </row>
    <row r="6528" spans="21:22">
      <c r="U6528">
        <v>6486</v>
      </c>
      <c r="V6528" s="197">
        <v>-1070.6740311053015</v>
      </c>
    </row>
    <row r="6529" spans="21:22">
      <c r="U6529">
        <v>6487</v>
      </c>
      <c r="V6529" s="197">
        <v>1077.8931849678452</v>
      </c>
    </row>
    <row r="6530" spans="21:22">
      <c r="U6530">
        <v>6488</v>
      </c>
      <c r="V6530" s="197">
        <v>-1159.7052649663578</v>
      </c>
    </row>
    <row r="6531" spans="21:22">
      <c r="U6531">
        <v>6489</v>
      </c>
      <c r="V6531" s="197">
        <v>-983.49994925135024</v>
      </c>
    </row>
    <row r="6532" spans="21:22">
      <c r="U6532">
        <v>6490</v>
      </c>
      <c r="V6532" s="197">
        <v>753.25995668118685</v>
      </c>
    </row>
    <row r="6533" spans="21:22">
      <c r="U6533">
        <v>6491</v>
      </c>
      <c r="V6533" s="197">
        <v>-1274.6933207927639</v>
      </c>
    </row>
    <row r="6534" spans="21:22">
      <c r="U6534">
        <v>6492</v>
      </c>
      <c r="V6534" s="197">
        <v>-27.522599459655652</v>
      </c>
    </row>
    <row r="6535" spans="21:22">
      <c r="U6535">
        <v>6493</v>
      </c>
      <c r="V6535" s="197">
        <v>839.06332379366586</v>
      </c>
    </row>
    <row r="6536" spans="21:22">
      <c r="U6536">
        <v>6494</v>
      </c>
      <c r="V6536" s="197">
        <v>171.15758107376763</v>
      </c>
    </row>
    <row r="6537" spans="21:22">
      <c r="U6537">
        <v>6495</v>
      </c>
      <c r="V6537" s="197">
        <v>1158.9113953668016</v>
      </c>
    </row>
    <row r="6538" spans="21:22">
      <c r="U6538">
        <v>6496</v>
      </c>
      <c r="V6538" s="197">
        <v>-696.05093460367971</v>
      </c>
    </row>
    <row r="6539" spans="21:22">
      <c r="U6539">
        <v>6497</v>
      </c>
      <c r="V6539" s="197">
        <v>873.20582235700545</v>
      </c>
    </row>
    <row r="6540" spans="21:22">
      <c r="U6540">
        <v>6498</v>
      </c>
      <c r="V6540" s="197">
        <v>1873.6812516923662</v>
      </c>
    </row>
    <row r="6541" spans="21:22">
      <c r="U6541">
        <v>6499</v>
      </c>
      <c r="V6541" s="197">
        <v>226.22612053226931</v>
      </c>
    </row>
    <row r="6542" spans="21:22">
      <c r="U6542">
        <v>6500</v>
      </c>
      <c r="V6542" s="197">
        <v>-463.44837246799256</v>
      </c>
    </row>
    <row r="6543" spans="21:22">
      <c r="U6543">
        <v>6501</v>
      </c>
      <c r="V6543" s="197">
        <v>1242.8529413744668</v>
      </c>
    </row>
    <row r="6544" spans="21:22">
      <c r="U6544">
        <v>6502</v>
      </c>
      <c r="V6544" s="197">
        <v>552.56913278558113</v>
      </c>
    </row>
    <row r="6545" spans="21:22">
      <c r="U6545">
        <v>6503</v>
      </c>
      <c r="V6545" s="197">
        <v>1267.9384278300811</v>
      </c>
    </row>
    <row r="6546" spans="21:22">
      <c r="U6546">
        <v>6504</v>
      </c>
      <c r="V6546" s="197">
        <v>-49.268666874079088</v>
      </c>
    </row>
    <row r="6547" spans="21:22">
      <c r="U6547">
        <v>6505</v>
      </c>
      <c r="V6547" s="197">
        <v>487.94085772036635</v>
      </c>
    </row>
    <row r="6548" spans="21:22">
      <c r="U6548">
        <v>6506</v>
      </c>
      <c r="V6548" s="197">
        <v>-258.94289245432157</v>
      </c>
    </row>
    <row r="6549" spans="21:22">
      <c r="U6549">
        <v>6507</v>
      </c>
      <c r="V6549" s="197">
        <v>1084.6632395990664</v>
      </c>
    </row>
    <row r="6550" spans="21:22">
      <c r="U6550">
        <v>6508</v>
      </c>
      <c r="V6550" s="197">
        <v>-628.44703694195073</v>
      </c>
    </row>
    <row r="6551" spans="21:22">
      <c r="U6551">
        <v>6509</v>
      </c>
      <c r="V6551" s="197">
        <v>795.04533337174189</v>
      </c>
    </row>
    <row r="6552" spans="21:22">
      <c r="U6552">
        <v>6510</v>
      </c>
      <c r="V6552" s="197">
        <v>-722.3702521129494</v>
      </c>
    </row>
    <row r="6553" spans="21:22">
      <c r="U6553">
        <v>6511</v>
      </c>
      <c r="V6553" s="197">
        <v>1295.8647727419532</v>
      </c>
    </row>
    <row r="6554" spans="21:22">
      <c r="U6554">
        <v>6512</v>
      </c>
      <c r="V6554" s="197">
        <v>-932.72298966532276</v>
      </c>
    </row>
    <row r="6555" spans="21:22">
      <c r="U6555">
        <v>6513</v>
      </c>
      <c r="V6555" s="197">
        <v>70.471613676108774</v>
      </c>
    </row>
    <row r="6556" spans="21:22">
      <c r="U6556">
        <v>6514</v>
      </c>
      <c r="V6556" s="197">
        <v>946.42043638088512</v>
      </c>
    </row>
    <row r="6557" spans="21:22">
      <c r="U6557">
        <v>6515</v>
      </c>
      <c r="V6557" s="197">
        <v>141.62052065618889</v>
      </c>
    </row>
    <row r="6558" spans="21:22">
      <c r="U6558">
        <v>6516</v>
      </c>
      <c r="V6558" s="197">
        <v>511.30943577841754</v>
      </c>
    </row>
    <row r="6559" spans="21:22">
      <c r="U6559">
        <v>6517</v>
      </c>
      <c r="V6559" s="197">
        <v>75.467251812476661</v>
      </c>
    </row>
    <row r="6560" spans="21:22">
      <c r="U6560">
        <v>6518</v>
      </c>
      <c r="V6560" s="197">
        <v>-947.41119613973478</v>
      </c>
    </row>
    <row r="6561" spans="21:22">
      <c r="U6561">
        <v>6519</v>
      </c>
      <c r="V6561" s="197">
        <v>1277.6022245862143</v>
      </c>
    </row>
    <row r="6562" spans="21:22">
      <c r="U6562">
        <v>6520</v>
      </c>
      <c r="V6562" s="197">
        <v>674.7355841488511</v>
      </c>
    </row>
    <row r="6563" spans="21:22">
      <c r="U6563">
        <v>6521</v>
      </c>
      <c r="V6563" s="197">
        <v>-77.585978016653229</v>
      </c>
    </row>
    <row r="6564" spans="21:22">
      <c r="U6564">
        <v>6522</v>
      </c>
      <c r="V6564" s="197">
        <v>905.10836935682983</v>
      </c>
    </row>
    <row r="6565" spans="21:22">
      <c r="U6565">
        <v>6523</v>
      </c>
      <c r="V6565" s="197">
        <v>-1095.009663110965</v>
      </c>
    </row>
    <row r="6566" spans="21:22">
      <c r="U6566">
        <v>6524</v>
      </c>
      <c r="V6566" s="197">
        <v>990.18368009173832</v>
      </c>
    </row>
    <row r="6567" spans="21:22">
      <c r="U6567">
        <v>6525</v>
      </c>
      <c r="V6567" s="197">
        <v>-1054.9405137716733</v>
      </c>
    </row>
    <row r="6568" spans="21:22">
      <c r="U6568">
        <v>6526</v>
      </c>
      <c r="V6568" s="197">
        <v>656.60245747000613</v>
      </c>
    </row>
    <row r="6569" spans="21:22">
      <c r="U6569">
        <v>6527</v>
      </c>
      <c r="V6569" s="197">
        <v>1019.1381005826981</v>
      </c>
    </row>
    <row r="6570" spans="21:22">
      <c r="U6570">
        <v>6528</v>
      </c>
      <c r="V6570" s="197">
        <v>-462.63350849542957</v>
      </c>
    </row>
    <row r="6571" spans="21:22">
      <c r="U6571">
        <v>6529</v>
      </c>
      <c r="V6571" s="197">
        <v>342.39561787319678</v>
      </c>
    </row>
    <row r="6572" spans="21:22">
      <c r="U6572">
        <v>6530</v>
      </c>
      <c r="V6572" s="197">
        <v>239.13797596355556</v>
      </c>
    </row>
    <row r="6573" spans="21:22">
      <c r="U6573">
        <v>6531</v>
      </c>
      <c r="V6573" s="197">
        <v>-629.8132930031702</v>
      </c>
    </row>
    <row r="6574" spans="21:22">
      <c r="U6574">
        <v>6532</v>
      </c>
      <c r="V6574" s="197">
        <v>-1272.9215955079844</v>
      </c>
    </row>
    <row r="6575" spans="21:22">
      <c r="U6575">
        <v>6533</v>
      </c>
      <c r="V6575" s="197">
        <v>-165.49901286259649</v>
      </c>
    </row>
    <row r="6576" spans="21:22">
      <c r="U6576">
        <v>6534</v>
      </c>
      <c r="V6576" s="197">
        <v>-218.04462024314631</v>
      </c>
    </row>
    <row r="6577" spans="21:22">
      <c r="U6577">
        <v>6535</v>
      </c>
      <c r="V6577" s="197">
        <v>-2409.2601046958298</v>
      </c>
    </row>
    <row r="6578" spans="21:22">
      <c r="U6578">
        <v>6536</v>
      </c>
      <c r="V6578" s="197">
        <v>-494.36312010853766</v>
      </c>
    </row>
    <row r="6579" spans="21:22">
      <c r="U6579">
        <v>6537</v>
      </c>
      <c r="V6579" s="197">
        <v>-696.55812476605342</v>
      </c>
    </row>
    <row r="6580" spans="21:22">
      <c r="U6580">
        <v>6538</v>
      </c>
      <c r="V6580" s="197">
        <v>-725.033975727084</v>
      </c>
    </row>
    <row r="6581" spans="21:22">
      <c r="U6581">
        <v>6539</v>
      </c>
      <c r="V6581" s="197">
        <v>-304.68229466515015</v>
      </c>
    </row>
    <row r="6582" spans="21:22">
      <c r="U6582">
        <v>6540</v>
      </c>
      <c r="V6582" s="197">
        <v>535.46536312523233</v>
      </c>
    </row>
    <row r="6583" spans="21:22">
      <c r="U6583">
        <v>6541</v>
      </c>
      <c r="V6583" s="197">
        <v>355.82685300097779</v>
      </c>
    </row>
    <row r="6584" spans="21:22">
      <c r="U6584">
        <v>6542</v>
      </c>
      <c r="V6584" s="197">
        <v>-93.572662195834937</v>
      </c>
    </row>
    <row r="6585" spans="21:22">
      <c r="U6585">
        <v>6543</v>
      </c>
      <c r="V6585" s="197">
        <v>-95.342971479199093</v>
      </c>
    </row>
    <row r="6586" spans="21:22">
      <c r="U6586">
        <v>6544</v>
      </c>
      <c r="V6586" s="197">
        <v>-428.63585671886239</v>
      </c>
    </row>
    <row r="6587" spans="21:22">
      <c r="U6587">
        <v>6545</v>
      </c>
      <c r="V6587" s="197">
        <v>-1682.2619732356882</v>
      </c>
    </row>
    <row r="6588" spans="21:22">
      <c r="U6588">
        <v>6546</v>
      </c>
      <c r="V6588" s="197">
        <v>-256.40399364412434</v>
      </c>
    </row>
    <row r="6589" spans="21:22">
      <c r="U6589">
        <v>6547</v>
      </c>
      <c r="V6589" s="197">
        <v>-2172.2531444278966</v>
      </c>
    </row>
    <row r="6590" spans="21:22">
      <c r="U6590">
        <v>6548</v>
      </c>
      <c r="V6590" s="197">
        <v>-11.021966521605876</v>
      </c>
    </row>
    <row r="6591" spans="21:22">
      <c r="U6591">
        <v>6549</v>
      </c>
      <c r="V6591" s="197">
        <v>1476.7449183499846</v>
      </c>
    </row>
    <row r="6592" spans="21:22">
      <c r="U6592">
        <v>6550</v>
      </c>
      <c r="V6592" s="197">
        <v>-180.2300336070067</v>
      </c>
    </row>
    <row r="6593" spans="21:22">
      <c r="U6593">
        <v>6551</v>
      </c>
      <c r="V6593" s="197">
        <v>1040.6595199011342</v>
      </c>
    </row>
    <row r="6594" spans="21:22">
      <c r="U6594">
        <v>6552</v>
      </c>
      <c r="V6594" s="197">
        <v>-1742.4469916705568</v>
      </c>
    </row>
    <row r="6595" spans="21:22">
      <c r="U6595">
        <v>6553</v>
      </c>
      <c r="V6595" s="197">
        <v>-88.857490986409886</v>
      </c>
    </row>
    <row r="6596" spans="21:22">
      <c r="U6596">
        <v>6554</v>
      </c>
      <c r="V6596" s="197">
        <v>467.22419462552443</v>
      </c>
    </row>
    <row r="6597" spans="21:22">
      <c r="U6597">
        <v>6555</v>
      </c>
      <c r="V6597" s="197">
        <v>-1261.7667103563886</v>
      </c>
    </row>
    <row r="6598" spans="21:22">
      <c r="U6598">
        <v>6556</v>
      </c>
      <c r="V6598" s="197">
        <v>-1665.8232738386823</v>
      </c>
    </row>
    <row r="6599" spans="21:22">
      <c r="U6599">
        <v>6557</v>
      </c>
      <c r="V6599" s="197">
        <v>-708.39636169448931</v>
      </c>
    </row>
    <row r="6600" spans="21:22">
      <c r="U6600">
        <v>6558</v>
      </c>
      <c r="V6600" s="197">
        <v>552.30327873856038</v>
      </c>
    </row>
    <row r="6601" spans="21:22">
      <c r="U6601">
        <v>6559</v>
      </c>
      <c r="V6601" s="197">
        <v>267.74569267750007</v>
      </c>
    </row>
    <row r="6602" spans="21:22">
      <c r="U6602">
        <v>6560</v>
      </c>
      <c r="V6602" s="197">
        <v>187.6955525327279</v>
      </c>
    </row>
    <row r="6603" spans="21:22">
      <c r="U6603">
        <v>6561</v>
      </c>
      <c r="V6603" s="197">
        <v>1116.2967222028833</v>
      </c>
    </row>
    <row r="6604" spans="21:22">
      <c r="U6604">
        <v>6562</v>
      </c>
      <c r="V6604" s="197">
        <v>1335.681713310232</v>
      </c>
    </row>
    <row r="6605" spans="21:22">
      <c r="U6605">
        <v>6563</v>
      </c>
      <c r="V6605" s="197">
        <v>-662.95399783770767</v>
      </c>
    </row>
    <row r="6606" spans="21:22">
      <c r="U6606">
        <v>6564</v>
      </c>
      <c r="V6606" s="197">
        <v>-839.24323465787643</v>
      </c>
    </row>
    <row r="6607" spans="21:22">
      <c r="U6607">
        <v>6565</v>
      </c>
      <c r="V6607" s="197">
        <v>-84.960123508475988</v>
      </c>
    </row>
    <row r="6608" spans="21:22">
      <c r="U6608">
        <v>6566</v>
      </c>
      <c r="V6608" s="197">
        <v>814.9300921557624</v>
      </c>
    </row>
    <row r="6609" spans="21:22">
      <c r="U6609">
        <v>6567</v>
      </c>
      <c r="V6609" s="197">
        <v>-2718.7865781436703</v>
      </c>
    </row>
    <row r="6610" spans="21:22">
      <c r="U6610">
        <v>6568</v>
      </c>
      <c r="V6610" s="197">
        <v>-40.7888484536372</v>
      </c>
    </row>
    <row r="6611" spans="21:22">
      <c r="U6611">
        <v>6569</v>
      </c>
      <c r="V6611" s="197">
        <v>1303.6712470425427</v>
      </c>
    </row>
    <row r="6612" spans="21:22">
      <c r="U6612">
        <v>6570</v>
      </c>
      <c r="V6612" s="197">
        <v>-833.5535784731162</v>
      </c>
    </row>
    <row r="6613" spans="21:22">
      <c r="U6613">
        <v>6571</v>
      </c>
      <c r="V6613" s="197">
        <v>-1094.6947251245988</v>
      </c>
    </row>
    <row r="6614" spans="21:22">
      <c r="U6614">
        <v>6572</v>
      </c>
      <c r="V6614" s="197">
        <v>183.21928133844705</v>
      </c>
    </row>
    <row r="6615" spans="21:22">
      <c r="U6615">
        <v>6573</v>
      </c>
      <c r="V6615" s="197">
        <v>-71.57247897130199</v>
      </c>
    </row>
    <row r="6616" spans="21:22">
      <c r="U6616">
        <v>6574</v>
      </c>
      <c r="V6616" s="197">
        <v>621.55890292622553</v>
      </c>
    </row>
    <row r="6617" spans="21:22">
      <c r="U6617">
        <v>6575</v>
      </c>
      <c r="V6617" s="197">
        <v>653.04185242812514</v>
      </c>
    </row>
    <row r="6618" spans="21:22">
      <c r="U6618">
        <v>6576</v>
      </c>
      <c r="V6618" s="197">
        <v>-43.849834414799318</v>
      </c>
    </row>
    <row r="6619" spans="21:22">
      <c r="U6619">
        <v>6577</v>
      </c>
      <c r="V6619" s="197">
        <v>190.6833605600936</v>
      </c>
    </row>
    <row r="6620" spans="21:22">
      <c r="U6620">
        <v>6578</v>
      </c>
      <c r="V6620" s="197">
        <v>-192.19755456050262</v>
      </c>
    </row>
    <row r="6621" spans="21:22">
      <c r="U6621">
        <v>6579</v>
      </c>
      <c r="V6621" s="197">
        <v>1152.0726411866717</v>
      </c>
    </row>
    <row r="6622" spans="21:22">
      <c r="U6622">
        <v>6580</v>
      </c>
      <c r="V6622" s="197">
        <v>-274.65678185119657</v>
      </c>
    </row>
    <row r="6623" spans="21:22">
      <c r="U6623">
        <v>6581</v>
      </c>
      <c r="V6623" s="197">
        <v>23.07373767516323</v>
      </c>
    </row>
    <row r="6624" spans="21:22">
      <c r="U6624">
        <v>6582</v>
      </c>
      <c r="V6624" s="197">
        <v>345.51316525269129</v>
      </c>
    </row>
    <row r="6625" spans="21:22">
      <c r="U6625">
        <v>6583</v>
      </c>
      <c r="V6625" s="197">
        <v>556.06294621362122</v>
      </c>
    </row>
    <row r="6626" spans="21:22">
      <c r="U6626">
        <v>6584</v>
      </c>
      <c r="V6626" s="197">
        <v>-467.40033690749027</v>
      </c>
    </row>
    <row r="6627" spans="21:22">
      <c r="U6627">
        <v>6585</v>
      </c>
      <c r="V6627" s="197">
        <v>3203.5880472490589</v>
      </c>
    </row>
    <row r="6628" spans="21:22">
      <c r="U6628">
        <v>6586</v>
      </c>
      <c r="V6628" s="197">
        <v>2556.6034373993648</v>
      </c>
    </row>
    <row r="6629" spans="21:22">
      <c r="U6629">
        <v>6587</v>
      </c>
      <c r="V6629" s="197">
        <v>-379.18798301560645</v>
      </c>
    </row>
    <row r="6630" spans="21:22">
      <c r="U6630">
        <v>6588</v>
      </c>
      <c r="V6630" s="197">
        <v>1438.9620369047873</v>
      </c>
    </row>
    <row r="6631" spans="21:22">
      <c r="U6631">
        <v>6589</v>
      </c>
      <c r="V6631" s="197">
        <v>-150.86865045917071</v>
      </c>
    </row>
    <row r="6632" spans="21:22">
      <c r="U6632">
        <v>6590</v>
      </c>
      <c r="V6632" s="197">
        <v>594.59405725304384</v>
      </c>
    </row>
    <row r="6633" spans="21:22">
      <c r="U6633">
        <v>6591</v>
      </c>
      <c r="V6633" s="197">
        <v>1260.9803661039437</v>
      </c>
    </row>
    <row r="6634" spans="21:22">
      <c r="U6634">
        <v>6592</v>
      </c>
      <c r="V6634" s="197">
        <v>-946.36547178991646</v>
      </c>
    </row>
    <row r="6635" spans="21:22">
      <c r="U6635">
        <v>6593</v>
      </c>
      <c r="V6635" s="197">
        <v>969.52295971788135</v>
      </c>
    </row>
    <row r="6636" spans="21:22">
      <c r="U6636">
        <v>6594</v>
      </c>
      <c r="V6636" s="197">
        <v>-654.14194749834019</v>
      </c>
    </row>
    <row r="6637" spans="21:22">
      <c r="U6637">
        <v>6595</v>
      </c>
      <c r="V6637" s="197">
        <v>152.53038715274698</v>
      </c>
    </row>
    <row r="6638" spans="21:22">
      <c r="U6638">
        <v>6596</v>
      </c>
      <c r="V6638" s="197">
        <v>-625.18951562190045</v>
      </c>
    </row>
    <row r="6639" spans="21:22">
      <c r="U6639">
        <v>6597</v>
      </c>
      <c r="V6639" s="197">
        <v>-345.4291578967032</v>
      </c>
    </row>
    <row r="6640" spans="21:22">
      <c r="U6640">
        <v>6598</v>
      </c>
      <c r="V6640" s="197">
        <v>-1043.476070716911</v>
      </c>
    </row>
    <row r="6641" spans="21:22">
      <c r="U6641">
        <v>6599</v>
      </c>
      <c r="V6641" s="197">
        <v>-1968.5992832580475</v>
      </c>
    </row>
    <row r="6642" spans="21:22">
      <c r="U6642">
        <v>6600</v>
      </c>
      <c r="V6642" s="197">
        <v>562.57476456708207</v>
      </c>
    </row>
    <row r="6643" spans="21:22">
      <c r="U6643">
        <v>6601</v>
      </c>
      <c r="V6643" s="197">
        <v>-40.273341659969731</v>
      </c>
    </row>
    <row r="6644" spans="21:22">
      <c r="U6644">
        <v>6602</v>
      </c>
      <c r="V6644" s="197">
        <v>-487.98322367485679</v>
      </c>
    </row>
    <row r="6645" spans="21:22">
      <c r="U6645">
        <v>6603</v>
      </c>
      <c r="V6645" s="197">
        <v>514.96690386802959</v>
      </c>
    </row>
    <row r="6646" spans="21:22">
      <c r="U6646">
        <v>6604</v>
      </c>
      <c r="V6646" s="197">
        <v>303.09972461630105</v>
      </c>
    </row>
    <row r="6647" spans="21:22">
      <c r="U6647">
        <v>6605</v>
      </c>
      <c r="V6647" s="197">
        <v>-736.66586654689513</v>
      </c>
    </row>
    <row r="6648" spans="21:22">
      <c r="U6648">
        <v>6606</v>
      </c>
      <c r="V6648" s="197">
        <v>2483.5334538476518</v>
      </c>
    </row>
    <row r="6649" spans="21:22">
      <c r="U6649">
        <v>6607</v>
      </c>
      <c r="V6649" s="197">
        <v>-941.70342845638424</v>
      </c>
    </row>
    <row r="6650" spans="21:22">
      <c r="U6650">
        <v>6608</v>
      </c>
      <c r="V6650" s="197">
        <v>1076.9901665390289</v>
      </c>
    </row>
    <row r="6651" spans="21:22">
      <c r="U6651">
        <v>6609</v>
      </c>
      <c r="V6651" s="197">
        <v>3.0562218610578071</v>
      </c>
    </row>
    <row r="6652" spans="21:22">
      <c r="U6652">
        <v>6610</v>
      </c>
      <c r="V6652" s="197">
        <v>757.45659753494692</v>
      </c>
    </row>
    <row r="6653" spans="21:22">
      <c r="U6653">
        <v>6611</v>
      </c>
      <c r="V6653" s="197">
        <v>-630.52926131254276</v>
      </c>
    </row>
    <row r="6654" spans="21:22">
      <c r="U6654">
        <v>6612</v>
      </c>
      <c r="V6654" s="197">
        <v>-547.15655462583095</v>
      </c>
    </row>
    <row r="6655" spans="21:22">
      <c r="U6655">
        <v>6613</v>
      </c>
      <c r="V6655" s="197">
        <v>-78.539046404685024</v>
      </c>
    </row>
    <row r="6656" spans="21:22">
      <c r="U6656">
        <v>6614</v>
      </c>
      <c r="V6656" s="197">
        <v>1812.4123872936398</v>
      </c>
    </row>
    <row r="6657" spans="21:22">
      <c r="U6657">
        <v>6615</v>
      </c>
      <c r="V6657" s="197">
        <v>743.42122102413532</v>
      </c>
    </row>
    <row r="6658" spans="21:22">
      <c r="U6658">
        <v>6616</v>
      </c>
      <c r="V6658" s="197">
        <v>-152.58217135609908</v>
      </c>
    </row>
    <row r="6659" spans="21:22">
      <c r="U6659">
        <v>6617</v>
      </c>
      <c r="V6659" s="197">
        <v>1033.964237713411</v>
      </c>
    </row>
    <row r="6660" spans="21:22">
      <c r="U6660">
        <v>6618</v>
      </c>
      <c r="V6660" s="197">
        <v>-218.34857276512315</v>
      </c>
    </row>
    <row r="6661" spans="21:22">
      <c r="U6661">
        <v>6619</v>
      </c>
      <c r="V6661" s="197">
        <v>466.57098413359137</v>
      </c>
    </row>
    <row r="6662" spans="21:22">
      <c r="U6662">
        <v>6620</v>
      </c>
      <c r="V6662" s="197">
        <v>-1265.3231967109557</v>
      </c>
    </row>
    <row r="6663" spans="21:22">
      <c r="U6663">
        <v>6621</v>
      </c>
      <c r="V6663" s="197">
        <v>307.20206492455202</v>
      </c>
    </row>
    <row r="6664" spans="21:22">
      <c r="U6664">
        <v>6622</v>
      </c>
      <c r="V6664" s="197">
        <v>1755.6240889889709</v>
      </c>
    </row>
    <row r="6665" spans="21:22">
      <c r="U6665">
        <v>6623</v>
      </c>
      <c r="V6665" s="197">
        <v>-1135.8806278253467</v>
      </c>
    </row>
    <row r="6666" spans="21:22">
      <c r="U6666">
        <v>6624</v>
      </c>
      <c r="V6666" s="197">
        <v>398.82202736128187</v>
      </c>
    </row>
    <row r="6667" spans="21:22">
      <c r="U6667">
        <v>6625</v>
      </c>
      <c r="V6667" s="197">
        <v>177.98816581721508</v>
      </c>
    </row>
    <row r="6668" spans="21:22">
      <c r="U6668">
        <v>6626</v>
      </c>
      <c r="V6668" s="197">
        <v>106.0266169478201</v>
      </c>
    </row>
    <row r="6669" spans="21:22">
      <c r="U6669">
        <v>6627</v>
      </c>
      <c r="V6669" s="197">
        <v>-199.14126835173346</v>
      </c>
    </row>
    <row r="6670" spans="21:22">
      <c r="U6670">
        <v>6628</v>
      </c>
      <c r="V6670" s="197">
        <v>835.81379230122593</v>
      </c>
    </row>
    <row r="6671" spans="21:22">
      <c r="U6671">
        <v>6629</v>
      </c>
      <c r="V6671" s="197">
        <v>-351.47650045024159</v>
      </c>
    </row>
    <row r="6672" spans="21:22">
      <c r="U6672">
        <v>6630</v>
      </c>
      <c r="V6672" s="197">
        <v>1255.2270365058284</v>
      </c>
    </row>
    <row r="6673" spans="21:22">
      <c r="U6673">
        <v>6631</v>
      </c>
      <c r="V6673" s="197">
        <v>760.03301447301965</v>
      </c>
    </row>
    <row r="6674" spans="21:22">
      <c r="U6674">
        <v>6632</v>
      </c>
      <c r="V6674" s="197">
        <v>865.04748567876049</v>
      </c>
    </row>
    <row r="6675" spans="21:22">
      <c r="U6675">
        <v>6633</v>
      </c>
      <c r="V6675" s="197">
        <v>209.48018147038169</v>
      </c>
    </row>
    <row r="6676" spans="21:22">
      <c r="U6676">
        <v>6634</v>
      </c>
      <c r="V6676" s="197">
        <v>249.66272225517821</v>
      </c>
    </row>
    <row r="6677" spans="21:22">
      <c r="U6677">
        <v>6635</v>
      </c>
      <c r="V6677" s="197">
        <v>2202.9952302637384</v>
      </c>
    </row>
    <row r="6678" spans="21:22">
      <c r="U6678">
        <v>6636</v>
      </c>
      <c r="V6678" s="197">
        <v>974.93423476470934</v>
      </c>
    </row>
    <row r="6679" spans="21:22">
      <c r="U6679">
        <v>6637</v>
      </c>
      <c r="V6679" s="197">
        <v>688.67936583108553</v>
      </c>
    </row>
    <row r="6680" spans="21:22">
      <c r="U6680">
        <v>6638</v>
      </c>
      <c r="V6680" s="197">
        <v>473.7355073739534</v>
      </c>
    </row>
    <row r="6681" spans="21:22">
      <c r="U6681">
        <v>6639</v>
      </c>
      <c r="V6681" s="197">
        <v>1090.8350936806057</v>
      </c>
    </row>
    <row r="6682" spans="21:22">
      <c r="U6682">
        <v>6640</v>
      </c>
      <c r="V6682" s="197">
        <v>430.39453171808748</v>
      </c>
    </row>
    <row r="6683" spans="21:22">
      <c r="U6683">
        <v>6641</v>
      </c>
      <c r="V6683" s="197">
        <v>-399.57774031995285</v>
      </c>
    </row>
    <row r="6684" spans="21:22">
      <c r="U6684">
        <v>6642</v>
      </c>
      <c r="V6684" s="197">
        <v>-978.5851376743924</v>
      </c>
    </row>
    <row r="6685" spans="21:22">
      <c r="U6685">
        <v>6643</v>
      </c>
      <c r="V6685" s="197">
        <v>134.21810773775235</v>
      </c>
    </row>
    <row r="6686" spans="21:22">
      <c r="U6686">
        <v>6644</v>
      </c>
      <c r="V6686" s="197">
        <v>-1209.3127190991211</v>
      </c>
    </row>
    <row r="6687" spans="21:22">
      <c r="U6687">
        <v>6645</v>
      </c>
      <c r="V6687" s="197">
        <v>297.51163324739787</v>
      </c>
    </row>
    <row r="6688" spans="21:22">
      <c r="U6688">
        <v>6646</v>
      </c>
      <c r="V6688" s="197">
        <v>-197.98861562029697</v>
      </c>
    </row>
    <row r="6689" spans="21:22">
      <c r="U6689">
        <v>6647</v>
      </c>
      <c r="V6689" s="197">
        <v>-1566.6004611615408</v>
      </c>
    </row>
    <row r="6690" spans="21:22">
      <c r="U6690">
        <v>6648</v>
      </c>
      <c r="V6690" s="197">
        <v>781.06941468531772</v>
      </c>
    </row>
    <row r="6691" spans="21:22">
      <c r="U6691">
        <v>6649</v>
      </c>
      <c r="V6691" s="197">
        <v>-2141.7663584406205</v>
      </c>
    </row>
    <row r="6692" spans="21:22">
      <c r="U6692">
        <v>6650</v>
      </c>
      <c r="V6692" s="197">
        <v>575.25637300097026</v>
      </c>
    </row>
    <row r="6693" spans="21:22">
      <c r="U6693">
        <v>6651</v>
      </c>
      <c r="V6693" s="197">
        <v>211.43118100226945</v>
      </c>
    </row>
    <row r="6694" spans="21:22">
      <c r="U6694">
        <v>6652</v>
      </c>
      <c r="V6694" s="197">
        <v>-78.187624955213977</v>
      </c>
    </row>
    <row r="6695" spans="21:22">
      <c r="U6695">
        <v>6653</v>
      </c>
      <c r="V6695" s="197">
        <v>160.88036568999584</v>
      </c>
    </row>
    <row r="6696" spans="21:22">
      <c r="U6696">
        <v>6654</v>
      </c>
      <c r="V6696" s="197">
        <v>441.16040164151843</v>
      </c>
    </row>
    <row r="6697" spans="21:22">
      <c r="U6697">
        <v>6655</v>
      </c>
      <c r="V6697" s="197">
        <v>-480.17495054462069</v>
      </c>
    </row>
    <row r="6698" spans="21:22">
      <c r="U6698">
        <v>6656</v>
      </c>
      <c r="V6698" s="197">
        <v>-234.5397849476692</v>
      </c>
    </row>
    <row r="6699" spans="21:22">
      <c r="U6699">
        <v>6657</v>
      </c>
      <c r="V6699" s="197">
        <v>1599.6507930703174</v>
      </c>
    </row>
    <row r="6700" spans="21:22">
      <c r="U6700">
        <v>6658</v>
      </c>
      <c r="V6700" s="197">
        <v>696.31628771834062</v>
      </c>
    </row>
    <row r="6701" spans="21:22">
      <c r="U6701">
        <v>6659</v>
      </c>
      <c r="V6701" s="197">
        <v>-1557.5080143939988</v>
      </c>
    </row>
    <row r="6702" spans="21:22">
      <c r="U6702">
        <v>6660</v>
      </c>
      <c r="V6702" s="197">
        <v>1441.6763171812111</v>
      </c>
    </row>
    <row r="6703" spans="21:22">
      <c r="U6703">
        <v>6661</v>
      </c>
      <c r="V6703" s="197">
        <v>583.61249841510539</v>
      </c>
    </row>
    <row r="6704" spans="21:22">
      <c r="U6704">
        <v>6662</v>
      </c>
      <c r="V6704" s="197">
        <v>-198.70971839937937</v>
      </c>
    </row>
    <row r="6705" spans="21:22">
      <c r="U6705">
        <v>6663</v>
      </c>
      <c r="V6705" s="197">
        <v>1589.4419995786559</v>
      </c>
    </row>
    <row r="6706" spans="21:22">
      <c r="U6706">
        <v>6664</v>
      </c>
      <c r="V6706" s="197">
        <v>-2111.7786349233238</v>
      </c>
    </row>
    <row r="6707" spans="21:22">
      <c r="U6707">
        <v>6665</v>
      </c>
      <c r="V6707" s="197">
        <v>-652.9385941602759</v>
      </c>
    </row>
    <row r="6708" spans="21:22">
      <c r="U6708">
        <v>6666</v>
      </c>
      <c r="V6708" s="197">
        <v>-868.59019296996939</v>
      </c>
    </row>
    <row r="6709" spans="21:22">
      <c r="U6709">
        <v>6667</v>
      </c>
      <c r="V6709" s="197">
        <v>-1038.9823400096375</v>
      </c>
    </row>
    <row r="6710" spans="21:22">
      <c r="U6710">
        <v>6668</v>
      </c>
      <c r="V6710" s="197">
        <v>-546.34740679556944</v>
      </c>
    </row>
    <row r="6711" spans="21:22">
      <c r="U6711">
        <v>6669</v>
      </c>
      <c r="V6711" s="197">
        <v>-305.05904646309051</v>
      </c>
    </row>
    <row r="6712" spans="21:22">
      <c r="U6712">
        <v>6670</v>
      </c>
      <c r="V6712" s="197">
        <v>-252.46521063321472</v>
      </c>
    </row>
    <row r="6713" spans="21:22">
      <c r="U6713">
        <v>6671</v>
      </c>
      <c r="V6713" s="197">
        <v>1410.0552889653222</v>
      </c>
    </row>
    <row r="6714" spans="21:22">
      <c r="U6714">
        <v>6672</v>
      </c>
      <c r="V6714" s="197">
        <v>666.66904023744974</v>
      </c>
    </row>
    <row r="6715" spans="21:22">
      <c r="U6715">
        <v>6673</v>
      </c>
      <c r="V6715" s="197">
        <v>-455.38014006532552</v>
      </c>
    </row>
    <row r="6716" spans="21:22">
      <c r="U6716">
        <v>6674</v>
      </c>
      <c r="V6716" s="197">
        <v>-204.80617167631431</v>
      </c>
    </row>
    <row r="6717" spans="21:22">
      <c r="U6717">
        <v>6675</v>
      </c>
      <c r="V6717" s="197">
        <v>185.63920552072756</v>
      </c>
    </row>
    <row r="6718" spans="21:22">
      <c r="U6718">
        <v>6676</v>
      </c>
      <c r="V6718" s="197">
        <v>731.02202341810471</v>
      </c>
    </row>
    <row r="6719" spans="21:22">
      <c r="U6719">
        <v>6677</v>
      </c>
      <c r="V6719" s="197">
        <v>-1322.9824462892636</v>
      </c>
    </row>
    <row r="6720" spans="21:22">
      <c r="U6720">
        <v>6678</v>
      </c>
      <c r="V6720" s="197">
        <v>-357.32390232194507</v>
      </c>
    </row>
    <row r="6721" spans="21:22">
      <c r="U6721">
        <v>6679</v>
      </c>
      <c r="V6721" s="197">
        <v>740.71071605725774</v>
      </c>
    </row>
    <row r="6722" spans="21:22">
      <c r="U6722">
        <v>6680</v>
      </c>
      <c r="V6722" s="197">
        <v>-600.67965239562864</v>
      </c>
    </row>
    <row r="6723" spans="21:22">
      <c r="U6723">
        <v>6681</v>
      </c>
      <c r="V6723" s="197">
        <v>606.59513933836524</v>
      </c>
    </row>
    <row r="6724" spans="21:22">
      <c r="U6724">
        <v>6682</v>
      </c>
      <c r="V6724" s="197">
        <v>-229.67298277737575</v>
      </c>
    </row>
    <row r="6725" spans="21:22">
      <c r="U6725">
        <v>6683</v>
      </c>
      <c r="V6725" s="197">
        <v>-854.91389498046624</v>
      </c>
    </row>
    <row r="6726" spans="21:22">
      <c r="U6726">
        <v>6684</v>
      </c>
      <c r="V6726" s="197">
        <v>427.83332966355857</v>
      </c>
    </row>
    <row r="6727" spans="21:22">
      <c r="U6727">
        <v>6685</v>
      </c>
      <c r="V6727" s="197">
        <v>-475.82038848051496</v>
      </c>
    </row>
    <row r="6728" spans="21:22">
      <c r="U6728">
        <v>6686</v>
      </c>
      <c r="V6728" s="197">
        <v>1909.3554681721575</v>
      </c>
    </row>
    <row r="6729" spans="21:22">
      <c r="U6729">
        <v>6687</v>
      </c>
      <c r="V6729" s="197">
        <v>-1515.15211255236</v>
      </c>
    </row>
    <row r="6730" spans="21:22">
      <c r="U6730">
        <v>6688</v>
      </c>
      <c r="V6730" s="197">
        <v>2247.856738048752</v>
      </c>
    </row>
    <row r="6731" spans="21:22">
      <c r="U6731">
        <v>6689</v>
      </c>
      <c r="V6731" s="197">
        <v>-444.78245239545805</v>
      </c>
    </row>
    <row r="6732" spans="21:22">
      <c r="U6732">
        <v>6690</v>
      </c>
      <c r="V6732" s="197">
        <v>-423.8521823006501</v>
      </c>
    </row>
    <row r="6733" spans="21:22">
      <c r="U6733">
        <v>6691</v>
      </c>
      <c r="V6733" s="197">
        <v>598.35715678289284</v>
      </c>
    </row>
    <row r="6734" spans="21:22">
      <c r="U6734">
        <v>6692</v>
      </c>
      <c r="V6734" s="197">
        <v>751.11127467917868</v>
      </c>
    </row>
    <row r="6735" spans="21:22">
      <c r="U6735">
        <v>6693</v>
      </c>
      <c r="V6735" s="197">
        <v>-2112.0467278742858</v>
      </c>
    </row>
    <row r="6736" spans="21:22">
      <c r="U6736">
        <v>6694</v>
      </c>
      <c r="V6736" s="197">
        <v>-283.4058509706162</v>
      </c>
    </row>
    <row r="6737" spans="21:22">
      <c r="U6737">
        <v>6695</v>
      </c>
      <c r="V6737" s="197">
        <v>948.45920366310452</v>
      </c>
    </row>
    <row r="6738" spans="21:22">
      <c r="U6738">
        <v>6696</v>
      </c>
      <c r="V6738" s="197">
        <v>-137.61664651099298</v>
      </c>
    </row>
    <row r="6739" spans="21:22">
      <c r="U6739">
        <v>6697</v>
      </c>
      <c r="V6739" s="197">
        <v>-1171.3602633836583</v>
      </c>
    </row>
    <row r="6740" spans="21:22">
      <c r="U6740">
        <v>6698</v>
      </c>
      <c r="V6740" s="197">
        <v>-67.832627487090775</v>
      </c>
    </row>
    <row r="6741" spans="21:22">
      <c r="U6741">
        <v>6699</v>
      </c>
      <c r="V6741" s="197">
        <v>-145.628714413155</v>
      </c>
    </row>
    <row r="6742" spans="21:22">
      <c r="U6742">
        <v>6700</v>
      </c>
      <c r="V6742" s="197">
        <v>-860.77011679439283</v>
      </c>
    </row>
    <row r="6743" spans="21:22">
      <c r="U6743">
        <v>6701</v>
      </c>
      <c r="V6743" s="197">
        <v>886.58579021773835</v>
      </c>
    </row>
    <row r="6744" spans="21:22">
      <c r="U6744">
        <v>6702</v>
      </c>
      <c r="V6744" s="197">
        <v>-515.5879892940618</v>
      </c>
    </row>
    <row r="6745" spans="21:22">
      <c r="U6745">
        <v>6703</v>
      </c>
      <c r="V6745" s="197">
        <v>1011.9552409370638</v>
      </c>
    </row>
    <row r="6746" spans="21:22">
      <c r="U6746">
        <v>6704</v>
      </c>
      <c r="V6746" s="197">
        <v>97.735471749552985</v>
      </c>
    </row>
    <row r="6747" spans="21:22">
      <c r="U6747">
        <v>6705</v>
      </c>
      <c r="V6747" s="197">
        <v>619.56469317463484</v>
      </c>
    </row>
    <row r="6748" spans="21:22">
      <c r="U6748">
        <v>6706</v>
      </c>
      <c r="V6748" s="197">
        <v>-29.246770962196592</v>
      </c>
    </row>
    <row r="6749" spans="21:22">
      <c r="U6749">
        <v>6707</v>
      </c>
      <c r="V6749" s="197">
        <v>340.64280348914065</v>
      </c>
    </row>
    <row r="6750" spans="21:22">
      <c r="U6750">
        <v>6708</v>
      </c>
      <c r="V6750" s="197">
        <v>-539.0524023195735</v>
      </c>
    </row>
    <row r="6751" spans="21:22">
      <c r="U6751">
        <v>6709</v>
      </c>
      <c r="V6751" s="197">
        <v>1020.0813723877354</v>
      </c>
    </row>
    <row r="6752" spans="21:22">
      <c r="U6752">
        <v>6710</v>
      </c>
      <c r="V6752" s="197">
        <v>-158.50467928581031</v>
      </c>
    </row>
    <row r="6753" spans="21:22">
      <c r="U6753">
        <v>6711</v>
      </c>
      <c r="V6753" s="197">
        <v>931.83209405081402</v>
      </c>
    </row>
    <row r="6754" spans="21:22">
      <c r="U6754">
        <v>6712</v>
      </c>
      <c r="V6754" s="197">
        <v>469.57613273387585</v>
      </c>
    </row>
    <row r="6755" spans="21:22">
      <c r="U6755">
        <v>6713</v>
      </c>
      <c r="V6755" s="197">
        <v>76.687025291125053</v>
      </c>
    </row>
    <row r="6756" spans="21:22">
      <c r="U6756">
        <v>6714</v>
      </c>
      <c r="V6756" s="197">
        <v>-510.36748647154951</v>
      </c>
    </row>
    <row r="6757" spans="21:22">
      <c r="U6757">
        <v>6715</v>
      </c>
      <c r="V6757" s="197">
        <v>-51.34452569807118</v>
      </c>
    </row>
    <row r="6758" spans="21:22">
      <c r="U6758">
        <v>6716</v>
      </c>
      <c r="V6758" s="197">
        <v>523.31493832404749</v>
      </c>
    </row>
    <row r="6759" spans="21:22">
      <c r="U6759">
        <v>6717</v>
      </c>
      <c r="V6759" s="197">
        <v>2006.8349380137563</v>
      </c>
    </row>
    <row r="6760" spans="21:22">
      <c r="U6760">
        <v>6718</v>
      </c>
      <c r="V6760" s="197">
        <v>370.42900326611203</v>
      </c>
    </row>
    <row r="6761" spans="21:22">
      <c r="U6761">
        <v>6719</v>
      </c>
      <c r="V6761" s="197">
        <v>1375.8090458793431</v>
      </c>
    </row>
    <row r="6762" spans="21:22">
      <c r="U6762">
        <v>6720</v>
      </c>
      <c r="V6762" s="197">
        <v>-1590.788416558649</v>
      </c>
    </row>
    <row r="6763" spans="21:22">
      <c r="U6763">
        <v>6721</v>
      </c>
      <c r="V6763" s="197">
        <v>1261.9670309224159</v>
      </c>
    </row>
    <row r="6764" spans="21:22">
      <c r="U6764">
        <v>6722</v>
      </c>
      <c r="V6764" s="197">
        <v>763.77577692738828</v>
      </c>
    </row>
    <row r="6765" spans="21:22">
      <c r="U6765">
        <v>6723</v>
      </c>
      <c r="V6765" s="197">
        <v>1144.9998368439608</v>
      </c>
    </row>
    <row r="6766" spans="21:22">
      <c r="U6766">
        <v>6724</v>
      </c>
      <c r="V6766" s="197">
        <v>185.1255763534852</v>
      </c>
    </row>
    <row r="6767" spans="21:22">
      <c r="U6767">
        <v>6725</v>
      </c>
      <c r="V6767" s="197">
        <v>1113.3829894385678</v>
      </c>
    </row>
    <row r="6768" spans="21:22">
      <c r="U6768">
        <v>6726</v>
      </c>
      <c r="V6768" s="197">
        <v>101.31482309636068</v>
      </c>
    </row>
    <row r="6769" spans="21:22">
      <c r="U6769">
        <v>6727</v>
      </c>
      <c r="V6769" s="197">
        <v>-131.55014140703727</v>
      </c>
    </row>
    <row r="6770" spans="21:22">
      <c r="U6770">
        <v>6728</v>
      </c>
      <c r="V6770" s="197">
        <v>-493.45928692878186</v>
      </c>
    </row>
    <row r="6771" spans="21:22">
      <c r="U6771">
        <v>6729</v>
      </c>
      <c r="V6771" s="197">
        <v>-41.5960434797978</v>
      </c>
    </row>
    <row r="6772" spans="21:22">
      <c r="U6772">
        <v>6730</v>
      </c>
      <c r="V6772" s="197">
        <v>-506.10102097400539</v>
      </c>
    </row>
    <row r="6773" spans="21:22">
      <c r="U6773">
        <v>6731</v>
      </c>
      <c r="V6773" s="197">
        <v>816.74932454287341</v>
      </c>
    </row>
    <row r="6774" spans="21:22">
      <c r="U6774">
        <v>6732</v>
      </c>
      <c r="V6774" s="197">
        <v>-1916.9699822550515</v>
      </c>
    </row>
    <row r="6775" spans="21:22">
      <c r="U6775">
        <v>6733</v>
      </c>
      <c r="V6775" s="197">
        <v>-452.81004756793033</v>
      </c>
    </row>
    <row r="6776" spans="21:22">
      <c r="U6776">
        <v>6734</v>
      </c>
      <c r="V6776" s="197">
        <v>-589.11321086315002</v>
      </c>
    </row>
    <row r="6777" spans="21:22">
      <c r="U6777">
        <v>6735</v>
      </c>
      <c r="V6777" s="197">
        <v>190.44633532304596</v>
      </c>
    </row>
    <row r="6778" spans="21:22">
      <c r="U6778">
        <v>6736</v>
      </c>
      <c r="V6778" s="197">
        <v>1385.2471484689879</v>
      </c>
    </row>
    <row r="6779" spans="21:22">
      <c r="U6779">
        <v>6737</v>
      </c>
      <c r="V6779" s="197">
        <v>906.27043774979779</v>
      </c>
    </row>
    <row r="6780" spans="21:22">
      <c r="U6780">
        <v>6738</v>
      </c>
      <c r="V6780" s="197">
        <v>1439.3661337421572</v>
      </c>
    </row>
    <row r="6781" spans="21:22">
      <c r="U6781">
        <v>6739</v>
      </c>
      <c r="V6781" s="197">
        <v>126.81099990030613</v>
      </c>
    </row>
    <row r="6782" spans="21:22">
      <c r="U6782">
        <v>6740</v>
      </c>
      <c r="V6782" s="197">
        <v>897.09787125204252</v>
      </c>
    </row>
    <row r="6783" spans="21:22">
      <c r="U6783">
        <v>6741</v>
      </c>
      <c r="V6783" s="197">
        <v>1399.6208594786854</v>
      </c>
    </row>
    <row r="6784" spans="21:22">
      <c r="U6784">
        <v>6742</v>
      </c>
      <c r="V6784" s="197">
        <v>717.70292513587924</v>
      </c>
    </row>
    <row r="6785" spans="21:22">
      <c r="U6785">
        <v>6743</v>
      </c>
      <c r="V6785" s="197">
        <v>1121.3532781128897</v>
      </c>
    </row>
    <row r="6786" spans="21:22">
      <c r="U6786">
        <v>6744</v>
      </c>
      <c r="V6786" s="197">
        <v>1022.4680855471911</v>
      </c>
    </row>
    <row r="6787" spans="21:22">
      <c r="U6787">
        <v>6745</v>
      </c>
      <c r="V6787" s="197">
        <v>81.186322548867579</v>
      </c>
    </row>
    <row r="6788" spans="21:22">
      <c r="U6788">
        <v>6746</v>
      </c>
      <c r="V6788" s="197">
        <v>-748.87078653840604</v>
      </c>
    </row>
    <row r="6789" spans="21:22">
      <c r="U6789">
        <v>6747</v>
      </c>
      <c r="V6789" s="197">
        <v>152.33850609076217</v>
      </c>
    </row>
    <row r="6790" spans="21:22">
      <c r="U6790">
        <v>6748</v>
      </c>
      <c r="V6790" s="197">
        <v>-922.9907794717783</v>
      </c>
    </row>
    <row r="6791" spans="21:22">
      <c r="U6791">
        <v>6749</v>
      </c>
      <c r="V6791" s="197">
        <v>233.60839502706435</v>
      </c>
    </row>
    <row r="6792" spans="21:22">
      <c r="U6792">
        <v>6750</v>
      </c>
      <c r="V6792" s="197">
        <v>450.66112972292353</v>
      </c>
    </row>
    <row r="6793" spans="21:22">
      <c r="U6793">
        <v>6751</v>
      </c>
      <c r="V6793" s="197">
        <v>1874.9476936505641</v>
      </c>
    </row>
    <row r="6794" spans="21:22">
      <c r="U6794">
        <v>6752</v>
      </c>
      <c r="V6794" s="197">
        <v>-458.06349385842469</v>
      </c>
    </row>
    <row r="6795" spans="21:22">
      <c r="U6795">
        <v>6753</v>
      </c>
      <c r="V6795" s="197">
        <v>1060.178115115641</v>
      </c>
    </row>
    <row r="6796" spans="21:22">
      <c r="U6796">
        <v>6754</v>
      </c>
      <c r="V6796" s="197">
        <v>-82.787976780860646</v>
      </c>
    </row>
    <row r="6797" spans="21:22">
      <c r="U6797">
        <v>6755</v>
      </c>
      <c r="V6797" s="197">
        <v>1248.8973517741699</v>
      </c>
    </row>
    <row r="6798" spans="21:22">
      <c r="U6798">
        <v>6756</v>
      </c>
      <c r="V6798" s="197">
        <v>204.07993423361353</v>
      </c>
    </row>
    <row r="6799" spans="21:22">
      <c r="U6799">
        <v>6757</v>
      </c>
      <c r="V6799" s="197">
        <v>37.474082695226464</v>
      </c>
    </row>
    <row r="6800" spans="21:22">
      <c r="U6800">
        <v>6758</v>
      </c>
      <c r="V6800" s="197">
        <v>300.36876795331511</v>
      </c>
    </row>
    <row r="6801" spans="21:22">
      <c r="U6801">
        <v>6759</v>
      </c>
      <c r="V6801" s="197">
        <v>991.85905686361821</v>
      </c>
    </row>
    <row r="6802" spans="21:22">
      <c r="U6802">
        <v>6760</v>
      </c>
      <c r="V6802" s="197">
        <v>-121.77408620031261</v>
      </c>
    </row>
    <row r="6803" spans="21:22">
      <c r="U6803">
        <v>6761</v>
      </c>
      <c r="V6803" s="197">
        <v>841.16309023011399</v>
      </c>
    </row>
    <row r="6804" spans="21:22">
      <c r="U6804">
        <v>6762</v>
      </c>
      <c r="V6804" s="197">
        <v>891.72930276612783</v>
      </c>
    </row>
    <row r="6805" spans="21:22">
      <c r="U6805">
        <v>6763</v>
      </c>
      <c r="V6805" s="197">
        <v>-595.48019218880245</v>
      </c>
    </row>
    <row r="6806" spans="21:22">
      <c r="U6806">
        <v>6764</v>
      </c>
      <c r="V6806" s="197">
        <v>712.84291742559913</v>
      </c>
    </row>
    <row r="6807" spans="21:22">
      <c r="U6807">
        <v>6765</v>
      </c>
      <c r="V6807" s="197">
        <v>-194.9264253464205</v>
      </c>
    </row>
    <row r="6808" spans="21:22">
      <c r="U6808">
        <v>6766</v>
      </c>
      <c r="V6808" s="197">
        <v>-1234.763847301474</v>
      </c>
    </row>
    <row r="6809" spans="21:22">
      <c r="U6809">
        <v>6767</v>
      </c>
      <c r="V6809" s="197">
        <v>-171.2419353174692</v>
      </c>
    </row>
    <row r="6810" spans="21:22">
      <c r="U6810">
        <v>6768</v>
      </c>
      <c r="V6810" s="197">
        <v>325.44266130993771</v>
      </c>
    </row>
    <row r="6811" spans="21:22">
      <c r="U6811">
        <v>6769</v>
      </c>
      <c r="V6811" s="197">
        <v>73.742999139911888</v>
      </c>
    </row>
    <row r="6812" spans="21:22">
      <c r="U6812">
        <v>6770</v>
      </c>
      <c r="V6812" s="197">
        <v>-151.61264915734392</v>
      </c>
    </row>
    <row r="6813" spans="21:22">
      <c r="U6813">
        <v>6771</v>
      </c>
      <c r="V6813" s="197">
        <v>1307.7946754213579</v>
      </c>
    </row>
    <row r="6814" spans="21:22">
      <c r="U6814">
        <v>6772</v>
      </c>
      <c r="V6814" s="197">
        <v>-609.11762556254416</v>
      </c>
    </row>
    <row r="6815" spans="21:22">
      <c r="U6815">
        <v>6773</v>
      </c>
      <c r="V6815" s="197">
        <v>-648.64222660714358</v>
      </c>
    </row>
    <row r="6816" spans="21:22">
      <c r="U6816">
        <v>6774</v>
      </c>
      <c r="V6816" s="197">
        <v>-272.54299298560613</v>
      </c>
    </row>
    <row r="6817" spans="21:22">
      <c r="U6817">
        <v>6775</v>
      </c>
      <c r="V6817" s="197">
        <v>44.065292401198562</v>
      </c>
    </row>
    <row r="6818" spans="21:22">
      <c r="U6818">
        <v>6776</v>
      </c>
      <c r="V6818" s="197">
        <v>-1162.5239789098766</v>
      </c>
    </row>
    <row r="6819" spans="21:22">
      <c r="U6819">
        <v>6777</v>
      </c>
      <c r="V6819" s="197">
        <v>36.558483570868667</v>
      </c>
    </row>
    <row r="6820" spans="21:22">
      <c r="U6820">
        <v>6778</v>
      </c>
      <c r="V6820" s="197">
        <v>1786.1590671038682</v>
      </c>
    </row>
    <row r="6821" spans="21:22">
      <c r="U6821">
        <v>6779</v>
      </c>
      <c r="V6821" s="197">
        <v>1478.203899775483</v>
      </c>
    </row>
    <row r="6822" spans="21:22">
      <c r="U6822">
        <v>6780</v>
      </c>
      <c r="V6822" s="197">
        <v>277.92855780509058</v>
      </c>
    </row>
    <row r="6823" spans="21:22">
      <c r="U6823">
        <v>6781</v>
      </c>
      <c r="V6823" s="197">
        <v>112.80677295712357</v>
      </c>
    </row>
    <row r="6824" spans="21:22">
      <c r="U6824">
        <v>6782</v>
      </c>
      <c r="V6824" s="197">
        <v>-145.1320545766844</v>
      </c>
    </row>
    <row r="6825" spans="21:22">
      <c r="U6825">
        <v>6783</v>
      </c>
      <c r="V6825" s="197">
        <v>-980.18495996416732</v>
      </c>
    </row>
    <row r="6826" spans="21:22">
      <c r="U6826">
        <v>6784</v>
      </c>
      <c r="V6826" s="197">
        <v>12.512880385554269</v>
      </c>
    </row>
    <row r="6827" spans="21:22">
      <c r="U6827">
        <v>6785</v>
      </c>
      <c r="V6827" s="197">
        <v>1715.2275637794585</v>
      </c>
    </row>
    <row r="6828" spans="21:22">
      <c r="U6828">
        <v>6786</v>
      </c>
      <c r="V6828" s="197">
        <v>33.628428017782085</v>
      </c>
    </row>
    <row r="6829" spans="21:22">
      <c r="U6829">
        <v>6787</v>
      </c>
      <c r="V6829" s="197">
        <v>831.28857773070717</v>
      </c>
    </row>
    <row r="6830" spans="21:22">
      <c r="U6830">
        <v>6788</v>
      </c>
      <c r="V6830" s="197">
        <v>786.63703375452792</v>
      </c>
    </row>
    <row r="6831" spans="21:22">
      <c r="U6831">
        <v>6789</v>
      </c>
      <c r="V6831" s="197">
        <v>846.71863424575372</v>
      </c>
    </row>
    <row r="6832" spans="21:22">
      <c r="U6832">
        <v>6790</v>
      </c>
      <c r="V6832" s="197">
        <v>87.343859733979855</v>
      </c>
    </row>
    <row r="6833" spans="21:22">
      <c r="U6833">
        <v>6791</v>
      </c>
      <c r="V6833" s="197">
        <v>-612.60276336781317</v>
      </c>
    </row>
    <row r="6834" spans="21:22">
      <c r="U6834">
        <v>6792</v>
      </c>
      <c r="V6834" s="197">
        <v>31.858427429502839</v>
      </c>
    </row>
    <row r="6835" spans="21:22">
      <c r="U6835">
        <v>6793</v>
      </c>
      <c r="V6835" s="197">
        <v>2359.3296825808811</v>
      </c>
    </row>
    <row r="6836" spans="21:22">
      <c r="U6836">
        <v>6794</v>
      </c>
      <c r="V6836" s="197">
        <v>1397.741306941027</v>
      </c>
    </row>
    <row r="6837" spans="21:22">
      <c r="U6837">
        <v>6795</v>
      </c>
      <c r="V6837" s="197">
        <v>532.57328171156701</v>
      </c>
    </row>
    <row r="6838" spans="21:22">
      <c r="U6838">
        <v>6796</v>
      </c>
      <c r="V6838" s="197">
        <v>428.61828943811543</v>
      </c>
    </row>
    <row r="6839" spans="21:22">
      <c r="U6839">
        <v>6797</v>
      </c>
      <c r="V6839" s="197">
        <v>132.86915059467989</v>
      </c>
    </row>
    <row r="6840" spans="21:22">
      <c r="U6840">
        <v>6798</v>
      </c>
      <c r="V6840" s="197">
        <v>-111.73764687549206</v>
      </c>
    </row>
    <row r="6841" spans="21:22">
      <c r="U6841">
        <v>6799</v>
      </c>
      <c r="V6841" s="197">
        <v>218.39547879208058</v>
      </c>
    </row>
    <row r="6842" spans="21:22">
      <c r="U6842">
        <v>6800</v>
      </c>
      <c r="V6842" s="197">
        <v>755.58352902148476</v>
      </c>
    </row>
    <row r="6843" spans="21:22">
      <c r="U6843">
        <v>6801</v>
      </c>
      <c r="V6843" s="197">
        <v>-873.80827396118457</v>
      </c>
    </row>
    <row r="6844" spans="21:22">
      <c r="U6844">
        <v>6802</v>
      </c>
      <c r="V6844" s="197">
        <v>-1147.6192204926067</v>
      </c>
    </row>
    <row r="6845" spans="21:22">
      <c r="U6845">
        <v>6803</v>
      </c>
      <c r="V6845" s="197">
        <v>85.473084160050902</v>
      </c>
    </row>
    <row r="6846" spans="21:22">
      <c r="U6846">
        <v>6804</v>
      </c>
      <c r="V6846" s="197">
        <v>-1464.6940277719802</v>
      </c>
    </row>
    <row r="6847" spans="21:22">
      <c r="U6847">
        <v>6805</v>
      </c>
      <c r="V6847" s="197">
        <v>-1330.5709993413316</v>
      </c>
    </row>
    <row r="6848" spans="21:22">
      <c r="U6848">
        <v>6806</v>
      </c>
      <c r="V6848" s="197">
        <v>-468.40273495312823</v>
      </c>
    </row>
    <row r="6849" spans="21:22">
      <c r="U6849">
        <v>6807</v>
      </c>
      <c r="V6849" s="197">
        <v>-19.132050124931794</v>
      </c>
    </row>
    <row r="6850" spans="21:22">
      <c r="U6850">
        <v>6808</v>
      </c>
      <c r="V6850" s="197">
        <v>-2218.8724272530717</v>
      </c>
    </row>
    <row r="6851" spans="21:22">
      <c r="U6851">
        <v>6809</v>
      </c>
      <c r="V6851" s="197">
        <v>-1542.8473403382379</v>
      </c>
    </row>
    <row r="6852" spans="21:22">
      <c r="U6852">
        <v>6810</v>
      </c>
      <c r="V6852" s="197">
        <v>-199.60715078613708</v>
      </c>
    </row>
    <row r="6853" spans="21:22">
      <c r="U6853">
        <v>6811</v>
      </c>
      <c r="V6853" s="197">
        <v>-785.50824699030386</v>
      </c>
    </row>
    <row r="6854" spans="21:22">
      <c r="U6854">
        <v>6812</v>
      </c>
      <c r="V6854" s="197">
        <v>-846.26546693986097</v>
      </c>
    </row>
    <row r="6855" spans="21:22">
      <c r="U6855">
        <v>6813</v>
      </c>
      <c r="V6855" s="197">
        <v>143.48813148090539</v>
      </c>
    </row>
    <row r="6856" spans="21:22">
      <c r="U6856">
        <v>6814</v>
      </c>
      <c r="V6856" s="197">
        <v>538.52471285216734</v>
      </c>
    </row>
    <row r="6857" spans="21:22">
      <c r="U6857">
        <v>6815</v>
      </c>
      <c r="V6857" s="197">
        <v>-211.96999790914089</v>
      </c>
    </row>
    <row r="6858" spans="21:22">
      <c r="U6858">
        <v>6816</v>
      </c>
      <c r="V6858" s="197">
        <v>1598.6884885763091</v>
      </c>
    </row>
    <row r="6859" spans="21:22">
      <c r="U6859">
        <v>6817</v>
      </c>
      <c r="V6859" s="197">
        <v>-1240.6267168578622</v>
      </c>
    </row>
    <row r="6860" spans="21:22">
      <c r="U6860">
        <v>6818</v>
      </c>
      <c r="V6860" s="197">
        <v>307.75443969217406</v>
      </c>
    </row>
    <row r="6861" spans="21:22">
      <c r="U6861">
        <v>6819</v>
      </c>
      <c r="V6861" s="197">
        <v>10.001336100100687</v>
      </c>
    </row>
    <row r="6862" spans="21:22">
      <c r="U6862">
        <v>6820</v>
      </c>
      <c r="V6862" s="197">
        <v>156.1811624127771</v>
      </c>
    </row>
    <row r="6863" spans="21:22">
      <c r="U6863">
        <v>6821</v>
      </c>
      <c r="V6863" s="197">
        <v>1254.9389562983908</v>
      </c>
    </row>
    <row r="6864" spans="21:22">
      <c r="U6864">
        <v>6822</v>
      </c>
      <c r="V6864" s="197">
        <v>1177.9846860583039</v>
      </c>
    </row>
    <row r="6865" spans="21:22">
      <c r="U6865">
        <v>6823</v>
      </c>
      <c r="V6865" s="197">
        <v>1254.0516051011828</v>
      </c>
    </row>
    <row r="6866" spans="21:22">
      <c r="U6866">
        <v>6824</v>
      </c>
      <c r="V6866" s="197">
        <v>-724.16962155824262</v>
      </c>
    </row>
    <row r="6867" spans="21:22">
      <c r="U6867">
        <v>6825</v>
      </c>
      <c r="V6867" s="197">
        <v>1511.1348380095737</v>
      </c>
    </row>
    <row r="6868" spans="21:22">
      <c r="U6868">
        <v>6826</v>
      </c>
      <c r="V6868" s="197">
        <v>1098.6365395199607</v>
      </c>
    </row>
    <row r="6869" spans="21:22">
      <c r="U6869">
        <v>6827</v>
      </c>
      <c r="V6869" s="197">
        <v>350.25908201349284</v>
      </c>
    </row>
    <row r="6870" spans="21:22">
      <c r="U6870">
        <v>6828</v>
      </c>
      <c r="V6870" s="197">
        <v>696.39802980700688</v>
      </c>
    </row>
    <row r="6871" spans="21:22">
      <c r="U6871">
        <v>6829</v>
      </c>
      <c r="V6871" s="197">
        <v>1268.2114074155443</v>
      </c>
    </row>
    <row r="6872" spans="21:22">
      <c r="U6872">
        <v>6830</v>
      </c>
      <c r="V6872" s="197">
        <v>1175.9608066839467</v>
      </c>
    </row>
    <row r="6873" spans="21:22">
      <c r="U6873">
        <v>6831</v>
      </c>
      <c r="V6873" s="197">
        <v>-310.67025498508565</v>
      </c>
    </row>
    <row r="6874" spans="21:22">
      <c r="U6874">
        <v>6832</v>
      </c>
      <c r="V6874" s="197">
        <v>-937.90335753748536</v>
      </c>
    </row>
    <row r="6875" spans="21:22">
      <c r="U6875">
        <v>6833</v>
      </c>
      <c r="V6875" s="197">
        <v>-584.38058830663022</v>
      </c>
    </row>
    <row r="6876" spans="21:22">
      <c r="U6876">
        <v>6834</v>
      </c>
      <c r="V6876" s="197">
        <v>-25.054079260110811</v>
      </c>
    </row>
    <row r="6877" spans="21:22">
      <c r="U6877">
        <v>6835</v>
      </c>
      <c r="V6877" s="197">
        <v>1140.5796574953051</v>
      </c>
    </row>
    <row r="6878" spans="21:22">
      <c r="U6878">
        <v>6836</v>
      </c>
      <c r="V6878" s="197">
        <v>1170.2693953093822</v>
      </c>
    </row>
    <row r="6879" spans="21:22">
      <c r="U6879">
        <v>6837</v>
      </c>
      <c r="V6879" s="197">
        <v>1450.988782794285</v>
      </c>
    </row>
    <row r="6880" spans="21:22">
      <c r="U6880">
        <v>6838</v>
      </c>
      <c r="V6880" s="197">
        <v>-2363.1505095829816</v>
      </c>
    </row>
    <row r="6881" spans="21:22">
      <c r="U6881">
        <v>6839</v>
      </c>
      <c r="V6881" s="197">
        <v>1346.0667779180392</v>
      </c>
    </row>
    <row r="6882" spans="21:22">
      <c r="U6882">
        <v>6840</v>
      </c>
      <c r="V6882" s="197">
        <v>-946.44859843366658</v>
      </c>
    </row>
    <row r="6883" spans="21:22">
      <c r="U6883">
        <v>6841</v>
      </c>
      <c r="V6883" s="197">
        <v>1069.3700675246741</v>
      </c>
    </row>
    <row r="6884" spans="21:22">
      <c r="U6884">
        <v>6842</v>
      </c>
      <c r="V6884" s="197">
        <v>1032.4255659146265</v>
      </c>
    </row>
    <row r="6885" spans="21:22">
      <c r="U6885">
        <v>6843</v>
      </c>
      <c r="V6885" s="197">
        <v>-424.34117551809362</v>
      </c>
    </row>
    <row r="6886" spans="21:22">
      <c r="U6886">
        <v>6844</v>
      </c>
      <c r="V6886" s="197">
        <v>-650.05936824652667</v>
      </c>
    </row>
    <row r="6887" spans="21:22">
      <c r="U6887">
        <v>6845</v>
      </c>
      <c r="V6887" s="197">
        <v>1072.2022326190279</v>
      </c>
    </row>
    <row r="6888" spans="21:22">
      <c r="U6888">
        <v>6846</v>
      </c>
      <c r="V6888" s="197">
        <v>41.99130758362287</v>
      </c>
    </row>
    <row r="6889" spans="21:22">
      <c r="U6889">
        <v>6847</v>
      </c>
      <c r="V6889" s="197">
        <v>-517.80819229402641</v>
      </c>
    </row>
    <row r="6890" spans="21:22">
      <c r="U6890">
        <v>6848</v>
      </c>
      <c r="V6890" s="197">
        <v>798.73184287914</v>
      </c>
    </row>
    <row r="6891" spans="21:22">
      <c r="U6891">
        <v>6849</v>
      </c>
      <c r="V6891" s="197">
        <v>-818.9160940571478</v>
      </c>
    </row>
    <row r="6892" spans="21:22">
      <c r="U6892">
        <v>6850</v>
      </c>
      <c r="V6892" s="197">
        <v>930.74396995236884</v>
      </c>
    </row>
    <row r="6893" spans="21:22">
      <c r="U6893">
        <v>6851</v>
      </c>
      <c r="V6893" s="197">
        <v>1858.759670007873</v>
      </c>
    </row>
    <row r="6894" spans="21:22">
      <c r="U6894">
        <v>6852</v>
      </c>
      <c r="V6894" s="197">
        <v>1412.1433792678749</v>
      </c>
    </row>
    <row r="6895" spans="21:22">
      <c r="U6895">
        <v>6853</v>
      </c>
      <c r="V6895" s="197">
        <v>-866.79382811400569</v>
      </c>
    </row>
    <row r="6896" spans="21:22">
      <c r="U6896">
        <v>6854</v>
      </c>
      <c r="V6896" s="197">
        <v>1085.0217061792312</v>
      </c>
    </row>
    <row r="6897" spans="21:22">
      <c r="U6897">
        <v>6855</v>
      </c>
      <c r="V6897" s="197">
        <v>-563.44017378222975</v>
      </c>
    </row>
    <row r="6898" spans="21:22">
      <c r="U6898">
        <v>6856</v>
      </c>
      <c r="V6898" s="197">
        <v>26.058914858508814</v>
      </c>
    </row>
    <row r="6899" spans="21:22">
      <c r="U6899">
        <v>6857</v>
      </c>
      <c r="V6899" s="197">
        <v>419.23885140372761</v>
      </c>
    </row>
    <row r="6900" spans="21:22">
      <c r="U6900">
        <v>6858</v>
      </c>
      <c r="V6900" s="197">
        <v>-22.193191885592299</v>
      </c>
    </row>
    <row r="6901" spans="21:22">
      <c r="U6901">
        <v>6859</v>
      </c>
      <c r="V6901" s="197">
        <v>-301.99913306415078</v>
      </c>
    </row>
    <row r="6902" spans="21:22">
      <c r="U6902">
        <v>6860</v>
      </c>
      <c r="V6902" s="197">
        <v>-682.33000080412239</v>
      </c>
    </row>
    <row r="6903" spans="21:22">
      <c r="U6903">
        <v>6861</v>
      </c>
      <c r="V6903" s="197">
        <v>-613.69044359074087</v>
      </c>
    </row>
    <row r="6904" spans="21:22">
      <c r="U6904">
        <v>6862</v>
      </c>
      <c r="V6904" s="197">
        <v>-291.6694829345131</v>
      </c>
    </row>
    <row r="6905" spans="21:22">
      <c r="U6905">
        <v>6863</v>
      </c>
      <c r="V6905" s="197">
        <v>679.64596752384728</v>
      </c>
    </row>
    <row r="6906" spans="21:22">
      <c r="U6906">
        <v>6864</v>
      </c>
      <c r="V6906" s="197">
        <v>213.92070213516166</v>
      </c>
    </row>
    <row r="6907" spans="21:22">
      <c r="U6907">
        <v>6865</v>
      </c>
      <c r="V6907" s="197">
        <v>1414.2570896637806</v>
      </c>
    </row>
    <row r="6908" spans="21:22">
      <c r="U6908">
        <v>6866</v>
      </c>
      <c r="V6908" s="197">
        <v>57.972772478335983</v>
      </c>
    </row>
    <row r="6909" spans="21:22">
      <c r="U6909">
        <v>6867</v>
      </c>
      <c r="V6909" s="197">
        <v>-1799.5599691323814</v>
      </c>
    </row>
    <row r="6910" spans="21:22">
      <c r="U6910">
        <v>6868</v>
      </c>
      <c r="V6910" s="197">
        <v>242.09723081952021</v>
      </c>
    </row>
    <row r="6911" spans="21:22">
      <c r="U6911">
        <v>6869</v>
      </c>
      <c r="V6911" s="197">
        <v>-626.84138971921652</v>
      </c>
    </row>
    <row r="6912" spans="21:22">
      <c r="U6912">
        <v>6870</v>
      </c>
      <c r="V6912" s="197">
        <v>-1285.7000281159728</v>
      </c>
    </row>
    <row r="6913" spans="21:22">
      <c r="U6913">
        <v>6871</v>
      </c>
      <c r="V6913" s="197">
        <v>629.0472098286557</v>
      </c>
    </row>
    <row r="6914" spans="21:22">
      <c r="U6914">
        <v>6872</v>
      </c>
      <c r="V6914" s="197">
        <v>-1292.914601642776</v>
      </c>
    </row>
    <row r="6915" spans="21:22">
      <c r="U6915">
        <v>6873</v>
      </c>
      <c r="V6915" s="197">
        <v>106.11328920657508</v>
      </c>
    </row>
    <row r="6916" spans="21:22">
      <c r="U6916">
        <v>6874</v>
      </c>
      <c r="V6916" s="197">
        <v>926.80883936914279</v>
      </c>
    </row>
    <row r="6917" spans="21:22">
      <c r="U6917">
        <v>6875</v>
      </c>
      <c r="V6917" s="197">
        <v>436.11561368349777</v>
      </c>
    </row>
    <row r="6918" spans="21:22">
      <c r="U6918">
        <v>6876</v>
      </c>
      <c r="V6918" s="197">
        <v>864.04791016158993</v>
      </c>
    </row>
    <row r="6919" spans="21:22">
      <c r="U6919">
        <v>6877</v>
      </c>
      <c r="V6919" s="197">
        <v>-159.38885940643058</v>
      </c>
    </row>
    <row r="6920" spans="21:22">
      <c r="U6920">
        <v>6878</v>
      </c>
      <c r="V6920" s="197">
        <v>-1430.0776967447157</v>
      </c>
    </row>
    <row r="6921" spans="21:22">
      <c r="U6921">
        <v>6879</v>
      </c>
      <c r="V6921" s="197">
        <v>409.64402622034697</v>
      </c>
    </row>
    <row r="6922" spans="21:22">
      <c r="U6922">
        <v>6880</v>
      </c>
      <c r="V6922" s="197">
        <v>187.69705598684465</v>
      </c>
    </row>
    <row r="6923" spans="21:22">
      <c r="U6923">
        <v>6881</v>
      </c>
      <c r="V6923" s="197">
        <v>-1327.8817825923463</v>
      </c>
    </row>
    <row r="6924" spans="21:22">
      <c r="U6924">
        <v>6882</v>
      </c>
      <c r="V6924" s="197">
        <v>-637.0950945493887</v>
      </c>
    </row>
    <row r="6925" spans="21:22">
      <c r="U6925">
        <v>6883</v>
      </c>
      <c r="V6925" s="197">
        <v>961.43070992972434</v>
      </c>
    </row>
    <row r="6926" spans="21:22">
      <c r="U6926">
        <v>6884</v>
      </c>
      <c r="V6926" s="197">
        <v>1005.8257467777912</v>
      </c>
    </row>
    <row r="6927" spans="21:22">
      <c r="U6927">
        <v>6885</v>
      </c>
      <c r="V6927" s="197">
        <v>662.79130091719958</v>
      </c>
    </row>
    <row r="6928" spans="21:22">
      <c r="U6928">
        <v>6886</v>
      </c>
      <c r="V6928" s="197">
        <v>353.79513488362971</v>
      </c>
    </row>
    <row r="6929" spans="21:22">
      <c r="U6929">
        <v>6887</v>
      </c>
      <c r="V6929" s="197">
        <v>-787.22883542481827</v>
      </c>
    </row>
    <row r="6930" spans="21:22">
      <c r="U6930">
        <v>6888</v>
      </c>
      <c r="V6930" s="197">
        <v>-124.73880250669941</v>
      </c>
    </row>
    <row r="6931" spans="21:22">
      <c r="U6931">
        <v>6889</v>
      </c>
      <c r="V6931" s="197">
        <v>1108.7703743256579</v>
      </c>
    </row>
    <row r="6932" spans="21:22">
      <c r="U6932">
        <v>6890</v>
      </c>
      <c r="V6932" s="197">
        <v>432.67115178990196</v>
      </c>
    </row>
    <row r="6933" spans="21:22">
      <c r="U6933">
        <v>6891</v>
      </c>
      <c r="V6933" s="197">
        <v>1081.7989573542532</v>
      </c>
    </row>
    <row r="6934" spans="21:22">
      <c r="U6934">
        <v>6892</v>
      </c>
      <c r="V6934" s="197">
        <v>1187.7641825309197</v>
      </c>
    </row>
    <row r="6935" spans="21:22">
      <c r="U6935">
        <v>6893</v>
      </c>
      <c r="V6935" s="197">
        <v>813.38694044680619</v>
      </c>
    </row>
    <row r="6936" spans="21:22">
      <c r="U6936">
        <v>6894</v>
      </c>
      <c r="V6936" s="197">
        <v>-486.7485580186671</v>
      </c>
    </row>
    <row r="6937" spans="21:22">
      <c r="U6937">
        <v>6895</v>
      </c>
      <c r="V6937" s="197">
        <v>-805.49320943732869</v>
      </c>
    </row>
    <row r="6938" spans="21:22">
      <c r="U6938">
        <v>6896</v>
      </c>
      <c r="V6938" s="197">
        <v>-376.21488038864686</v>
      </c>
    </row>
    <row r="6939" spans="21:22">
      <c r="U6939">
        <v>6897</v>
      </c>
      <c r="V6939" s="197">
        <v>-710.93081260065401</v>
      </c>
    </row>
    <row r="6940" spans="21:22">
      <c r="U6940">
        <v>6898</v>
      </c>
      <c r="V6940" s="197">
        <v>-1906.6458645966168</v>
      </c>
    </row>
    <row r="6941" spans="21:22">
      <c r="U6941">
        <v>6899</v>
      </c>
      <c r="V6941" s="197">
        <v>-1905.3238198070896</v>
      </c>
    </row>
    <row r="6942" spans="21:22">
      <c r="U6942">
        <v>6900</v>
      </c>
      <c r="V6942" s="197">
        <v>2462.6675248637202</v>
      </c>
    </row>
    <row r="6943" spans="21:22">
      <c r="U6943">
        <v>6901</v>
      </c>
      <c r="V6943" s="197">
        <v>-829.94669347730928</v>
      </c>
    </row>
    <row r="6944" spans="21:22">
      <c r="U6944">
        <v>6902</v>
      </c>
      <c r="V6944" s="197">
        <v>-146.04475465425324</v>
      </c>
    </row>
    <row r="6945" spans="21:22">
      <c r="U6945">
        <v>6903</v>
      </c>
      <c r="V6945" s="197">
        <v>290.72716001734011</v>
      </c>
    </row>
    <row r="6946" spans="21:22">
      <c r="U6946">
        <v>6904</v>
      </c>
      <c r="V6946" s="197">
        <v>-498.20540040600025</v>
      </c>
    </row>
    <row r="6947" spans="21:22">
      <c r="U6947">
        <v>6905</v>
      </c>
      <c r="V6947" s="197">
        <v>-268.08480813400956</v>
      </c>
    </row>
    <row r="6948" spans="21:22">
      <c r="U6948">
        <v>6906</v>
      </c>
      <c r="V6948" s="197">
        <v>397.03269420188713</v>
      </c>
    </row>
    <row r="6949" spans="21:22">
      <c r="U6949">
        <v>6907</v>
      </c>
      <c r="V6949" s="197">
        <v>756.71938442965848</v>
      </c>
    </row>
    <row r="6950" spans="21:22">
      <c r="U6950">
        <v>6908</v>
      </c>
      <c r="V6950" s="197">
        <v>820.05759213107763</v>
      </c>
    </row>
    <row r="6951" spans="21:22">
      <c r="U6951">
        <v>6909</v>
      </c>
      <c r="V6951" s="197">
        <v>-333.91725479052474</v>
      </c>
    </row>
    <row r="6952" spans="21:22">
      <c r="U6952">
        <v>6910</v>
      </c>
      <c r="V6952" s="197">
        <v>404.31587087188251</v>
      </c>
    </row>
    <row r="6953" spans="21:22">
      <c r="U6953">
        <v>6911</v>
      </c>
      <c r="V6953" s="197">
        <v>-2173.3567925429134</v>
      </c>
    </row>
    <row r="6954" spans="21:22">
      <c r="U6954">
        <v>6912</v>
      </c>
      <c r="V6954" s="197">
        <v>2104.7276127637392</v>
      </c>
    </row>
    <row r="6955" spans="21:22">
      <c r="U6955">
        <v>6913</v>
      </c>
      <c r="V6955" s="197">
        <v>-265.12250145001906</v>
      </c>
    </row>
    <row r="6956" spans="21:22">
      <c r="U6956">
        <v>6914</v>
      </c>
      <c r="V6956" s="197">
        <v>-1498.3446949687627</v>
      </c>
    </row>
    <row r="6957" spans="21:22">
      <c r="U6957">
        <v>6915</v>
      </c>
      <c r="V6957" s="197">
        <v>-976.64926029217963</v>
      </c>
    </row>
    <row r="6958" spans="21:22">
      <c r="U6958">
        <v>6916</v>
      </c>
      <c r="V6958" s="197">
        <v>880.64490210880763</v>
      </c>
    </row>
    <row r="6959" spans="21:22">
      <c r="U6959">
        <v>6917</v>
      </c>
      <c r="V6959" s="197">
        <v>970.88585321683854</v>
      </c>
    </row>
    <row r="6960" spans="21:22">
      <c r="U6960">
        <v>6918</v>
      </c>
      <c r="V6960" s="197">
        <v>-815.93978296626892</v>
      </c>
    </row>
    <row r="6961" spans="21:22">
      <c r="U6961">
        <v>6919</v>
      </c>
      <c r="V6961" s="197">
        <v>-1542.4054597116658</v>
      </c>
    </row>
    <row r="6962" spans="21:22">
      <c r="U6962">
        <v>6920</v>
      </c>
      <c r="V6962" s="197">
        <v>1390.7934220425066</v>
      </c>
    </row>
    <row r="6963" spans="21:22">
      <c r="U6963">
        <v>6921</v>
      </c>
      <c r="V6963" s="197">
        <v>376.63367214720739</v>
      </c>
    </row>
    <row r="6964" spans="21:22">
      <c r="U6964">
        <v>6922</v>
      </c>
      <c r="V6964" s="197">
        <v>2500.1449849895107</v>
      </c>
    </row>
    <row r="6965" spans="21:22">
      <c r="U6965">
        <v>6923</v>
      </c>
      <c r="V6965" s="197">
        <v>-1707.568670500835</v>
      </c>
    </row>
    <row r="6966" spans="21:22">
      <c r="U6966">
        <v>6924</v>
      </c>
      <c r="V6966" s="197">
        <v>578.8333441910338</v>
      </c>
    </row>
    <row r="6967" spans="21:22">
      <c r="U6967">
        <v>6925</v>
      </c>
      <c r="V6967" s="197">
        <v>131.40485222971932</v>
      </c>
    </row>
    <row r="6968" spans="21:22">
      <c r="U6968">
        <v>6926</v>
      </c>
      <c r="V6968" s="197">
        <v>233.42270091587656</v>
      </c>
    </row>
    <row r="6969" spans="21:22">
      <c r="U6969">
        <v>6927</v>
      </c>
      <c r="V6969" s="197">
        <v>405.64644462612324</v>
      </c>
    </row>
    <row r="6970" spans="21:22">
      <c r="U6970">
        <v>6928</v>
      </c>
      <c r="V6970" s="197">
        <v>1234.4242269609874</v>
      </c>
    </row>
    <row r="6971" spans="21:22">
      <c r="U6971">
        <v>6929</v>
      </c>
      <c r="V6971" s="197">
        <v>713.31673785846192</v>
      </c>
    </row>
    <row r="6972" spans="21:22">
      <c r="U6972">
        <v>6930</v>
      </c>
      <c r="V6972" s="197">
        <v>26.725027167159595</v>
      </c>
    </row>
    <row r="6973" spans="21:22">
      <c r="U6973">
        <v>6931</v>
      </c>
      <c r="V6973" s="197">
        <v>857.79904902170233</v>
      </c>
    </row>
    <row r="6974" spans="21:22">
      <c r="U6974">
        <v>6932</v>
      </c>
      <c r="V6974" s="197">
        <v>575.17937902702806</v>
      </c>
    </row>
    <row r="6975" spans="21:22">
      <c r="U6975">
        <v>6933</v>
      </c>
      <c r="V6975" s="197">
        <v>-1154.5139477136959</v>
      </c>
    </row>
    <row r="6976" spans="21:22">
      <c r="U6976">
        <v>6934</v>
      </c>
      <c r="V6976" s="197">
        <v>-881.00060713574931</v>
      </c>
    </row>
    <row r="6977" spans="21:22">
      <c r="U6977">
        <v>6935</v>
      </c>
      <c r="V6977" s="197">
        <v>1117.4319985485863</v>
      </c>
    </row>
    <row r="6978" spans="21:22">
      <c r="U6978">
        <v>6936</v>
      </c>
      <c r="V6978" s="197">
        <v>492.15620156271194</v>
      </c>
    </row>
    <row r="6979" spans="21:22">
      <c r="U6979">
        <v>6937</v>
      </c>
      <c r="V6979" s="197">
        <v>-101.72602078910961</v>
      </c>
    </row>
    <row r="6980" spans="21:22">
      <c r="U6980">
        <v>6938</v>
      </c>
      <c r="V6980" s="197">
        <v>495.32448182849186</v>
      </c>
    </row>
    <row r="6981" spans="21:22">
      <c r="U6981">
        <v>6939</v>
      </c>
      <c r="V6981" s="197">
        <v>12.107022349466547</v>
      </c>
    </row>
    <row r="6982" spans="21:22">
      <c r="U6982">
        <v>6940</v>
      </c>
      <c r="V6982" s="197">
        <v>338.98778553759774</v>
      </c>
    </row>
    <row r="6983" spans="21:22">
      <c r="U6983">
        <v>6941</v>
      </c>
      <c r="V6983" s="197">
        <v>1890.7871451427707</v>
      </c>
    </row>
    <row r="6984" spans="21:22">
      <c r="U6984">
        <v>6942</v>
      </c>
      <c r="V6984" s="197">
        <v>-279.74555318556861</v>
      </c>
    </row>
    <row r="6985" spans="21:22">
      <c r="U6985">
        <v>6943</v>
      </c>
      <c r="V6985" s="197">
        <v>-628.00437387759962</v>
      </c>
    </row>
    <row r="6986" spans="21:22">
      <c r="U6986">
        <v>6944</v>
      </c>
      <c r="V6986" s="197">
        <v>498.95354199130867</v>
      </c>
    </row>
    <row r="6987" spans="21:22">
      <c r="U6987">
        <v>6945</v>
      </c>
      <c r="V6987" s="197">
        <v>-767.64766030525084</v>
      </c>
    </row>
    <row r="6988" spans="21:22">
      <c r="U6988">
        <v>6946</v>
      </c>
      <c r="V6988" s="197">
        <v>-138.54405053552563</v>
      </c>
    </row>
    <row r="6989" spans="21:22">
      <c r="U6989">
        <v>6947</v>
      </c>
      <c r="V6989" s="197">
        <v>206.34307214305983</v>
      </c>
    </row>
    <row r="6990" spans="21:22">
      <c r="U6990">
        <v>6948</v>
      </c>
      <c r="V6990" s="197">
        <v>855.13609006412867</v>
      </c>
    </row>
    <row r="6991" spans="21:22">
      <c r="U6991">
        <v>6949</v>
      </c>
      <c r="V6991" s="197">
        <v>572.77290484505374</v>
      </c>
    </row>
    <row r="6992" spans="21:22">
      <c r="U6992">
        <v>6950</v>
      </c>
      <c r="V6992" s="197">
        <v>273.26417816026139</v>
      </c>
    </row>
    <row r="6993" spans="21:22">
      <c r="U6993">
        <v>6951</v>
      </c>
      <c r="V6993" s="197">
        <v>43.105269648410655</v>
      </c>
    </row>
    <row r="6994" spans="21:22">
      <c r="U6994">
        <v>6952</v>
      </c>
      <c r="V6994" s="197">
        <v>1062.3332135085004</v>
      </c>
    </row>
    <row r="6995" spans="21:22">
      <c r="U6995">
        <v>6953</v>
      </c>
      <c r="V6995" s="197">
        <v>966.76834388464636</v>
      </c>
    </row>
    <row r="6996" spans="21:22">
      <c r="U6996">
        <v>6954</v>
      </c>
      <c r="V6996" s="197">
        <v>-1398.96266185284</v>
      </c>
    </row>
    <row r="6997" spans="21:22">
      <c r="U6997">
        <v>6955</v>
      </c>
      <c r="V6997" s="197">
        <v>-76.139013778649314</v>
      </c>
    </row>
    <row r="6998" spans="21:22">
      <c r="U6998">
        <v>6956</v>
      </c>
      <c r="V6998" s="197">
        <v>61.814880197844829</v>
      </c>
    </row>
    <row r="6999" spans="21:22">
      <c r="U6999">
        <v>6957</v>
      </c>
      <c r="V6999" s="197">
        <v>-417.47150090643748</v>
      </c>
    </row>
    <row r="7000" spans="21:22">
      <c r="U7000">
        <v>6958</v>
      </c>
      <c r="V7000" s="197">
        <v>-414.48927308929984</v>
      </c>
    </row>
    <row r="7001" spans="21:22">
      <c r="U7001">
        <v>6959</v>
      </c>
      <c r="V7001" s="197">
        <v>1808.7270086408903</v>
      </c>
    </row>
    <row r="7002" spans="21:22">
      <c r="U7002">
        <v>6960</v>
      </c>
      <c r="V7002" s="197">
        <v>121.37899559943315</v>
      </c>
    </row>
    <row r="7003" spans="21:22">
      <c r="U7003">
        <v>6961</v>
      </c>
      <c r="V7003" s="197">
        <v>699.6244170113107</v>
      </c>
    </row>
    <row r="7004" spans="21:22">
      <c r="U7004">
        <v>6962</v>
      </c>
      <c r="V7004" s="197">
        <v>-694.79267353130012</v>
      </c>
    </row>
    <row r="7005" spans="21:22">
      <c r="U7005">
        <v>6963</v>
      </c>
      <c r="V7005" s="197">
        <v>958.83996282801763</v>
      </c>
    </row>
    <row r="7006" spans="21:22">
      <c r="U7006">
        <v>6964</v>
      </c>
      <c r="V7006" s="197">
        <v>348.48482155808381</v>
      </c>
    </row>
    <row r="7007" spans="21:22">
      <c r="U7007">
        <v>6965</v>
      </c>
      <c r="V7007" s="197">
        <v>704.51469656000586</v>
      </c>
    </row>
    <row r="7008" spans="21:22">
      <c r="U7008">
        <v>6966</v>
      </c>
      <c r="V7008" s="197">
        <v>-470.57263131680094</v>
      </c>
    </row>
    <row r="7009" spans="21:22">
      <c r="U7009">
        <v>6967</v>
      </c>
      <c r="V7009" s="197">
        <v>1601.2892191477663</v>
      </c>
    </row>
    <row r="7010" spans="21:22">
      <c r="U7010">
        <v>6968</v>
      </c>
      <c r="V7010" s="197">
        <v>-525.04905729207644</v>
      </c>
    </row>
    <row r="7011" spans="21:22">
      <c r="U7011">
        <v>6969</v>
      </c>
      <c r="V7011" s="197">
        <v>-1022.9463528724114</v>
      </c>
    </row>
    <row r="7012" spans="21:22">
      <c r="U7012">
        <v>6970</v>
      </c>
      <c r="V7012" s="197">
        <v>-4.489648192646797</v>
      </c>
    </row>
    <row r="7013" spans="21:22">
      <c r="U7013">
        <v>6971</v>
      </c>
      <c r="V7013" s="197">
        <v>-776.04230308560295</v>
      </c>
    </row>
    <row r="7014" spans="21:22">
      <c r="U7014">
        <v>6972</v>
      </c>
      <c r="V7014" s="197">
        <v>33.605038972618047</v>
      </c>
    </row>
    <row r="7015" spans="21:22">
      <c r="U7015">
        <v>6973</v>
      </c>
      <c r="V7015" s="197">
        <v>-363.49864858130644</v>
      </c>
    </row>
    <row r="7016" spans="21:22">
      <c r="U7016">
        <v>6974</v>
      </c>
      <c r="V7016" s="197">
        <v>1171.5892726168706</v>
      </c>
    </row>
    <row r="7017" spans="21:22">
      <c r="U7017">
        <v>6975</v>
      </c>
      <c r="V7017" s="197">
        <v>-532.02191702815799</v>
      </c>
    </row>
    <row r="7018" spans="21:22">
      <c r="U7018">
        <v>6976</v>
      </c>
      <c r="V7018" s="197">
        <v>1168.480997534683</v>
      </c>
    </row>
    <row r="7019" spans="21:22">
      <c r="U7019">
        <v>6977</v>
      </c>
      <c r="V7019" s="197">
        <v>1169.3107565866471</v>
      </c>
    </row>
    <row r="7020" spans="21:22">
      <c r="U7020">
        <v>6978</v>
      </c>
      <c r="V7020" s="197">
        <v>-945.54109430088533</v>
      </c>
    </row>
    <row r="7021" spans="21:22">
      <c r="U7021">
        <v>6979</v>
      </c>
      <c r="V7021" s="197">
        <v>383.32373855854428</v>
      </c>
    </row>
    <row r="7022" spans="21:22">
      <c r="U7022">
        <v>6980</v>
      </c>
      <c r="V7022" s="197">
        <v>926.95159764166442</v>
      </c>
    </row>
    <row r="7023" spans="21:22">
      <c r="U7023">
        <v>6981</v>
      </c>
      <c r="V7023" s="197">
        <v>-243.58586688717156</v>
      </c>
    </row>
    <row r="7024" spans="21:22">
      <c r="U7024">
        <v>6982</v>
      </c>
      <c r="V7024" s="197">
        <v>225.36181506198446</v>
      </c>
    </row>
    <row r="7025" spans="21:22">
      <c r="U7025">
        <v>6983</v>
      </c>
      <c r="V7025" s="197">
        <v>-1224.3603162789461</v>
      </c>
    </row>
    <row r="7026" spans="21:22">
      <c r="U7026">
        <v>6984</v>
      </c>
      <c r="V7026" s="197">
        <v>99.106857562273376</v>
      </c>
    </row>
    <row r="7027" spans="21:22">
      <c r="U7027">
        <v>6985</v>
      </c>
      <c r="V7027" s="197">
        <v>294.61387525911005</v>
      </c>
    </row>
    <row r="7028" spans="21:22">
      <c r="U7028">
        <v>6986</v>
      </c>
      <c r="V7028" s="197">
        <v>-1475.1503976875413</v>
      </c>
    </row>
    <row r="7029" spans="21:22">
      <c r="U7029">
        <v>6987</v>
      </c>
      <c r="V7029" s="197">
        <v>165.61769531985132</v>
      </c>
    </row>
    <row r="7030" spans="21:22">
      <c r="U7030">
        <v>6988</v>
      </c>
      <c r="V7030" s="197">
        <v>1690.51730434005</v>
      </c>
    </row>
    <row r="7031" spans="21:22">
      <c r="U7031">
        <v>6989</v>
      </c>
      <c r="V7031" s="197">
        <v>498.21510151436161</v>
      </c>
    </row>
    <row r="7032" spans="21:22">
      <c r="U7032">
        <v>6990</v>
      </c>
      <c r="V7032" s="197">
        <v>-1815.1082303420203</v>
      </c>
    </row>
    <row r="7033" spans="21:22">
      <c r="U7033">
        <v>6991</v>
      </c>
      <c r="V7033" s="197">
        <v>-641.38488069945947</v>
      </c>
    </row>
    <row r="7034" spans="21:22">
      <c r="U7034">
        <v>6992</v>
      </c>
      <c r="V7034" s="197">
        <v>-488.97706899607607</v>
      </c>
    </row>
    <row r="7035" spans="21:22">
      <c r="U7035">
        <v>6993</v>
      </c>
      <c r="V7035" s="197">
        <v>1448.1433547729057</v>
      </c>
    </row>
    <row r="7036" spans="21:22">
      <c r="U7036">
        <v>6994</v>
      </c>
      <c r="V7036" s="197">
        <v>1330.6301783955414</v>
      </c>
    </row>
    <row r="7037" spans="21:22">
      <c r="U7037">
        <v>6995</v>
      </c>
      <c r="V7037" s="197">
        <v>-656.3467764675479</v>
      </c>
    </row>
    <row r="7038" spans="21:22">
      <c r="U7038">
        <v>6996</v>
      </c>
      <c r="V7038" s="197">
        <v>492.98340111081984</v>
      </c>
    </row>
    <row r="7039" spans="21:22">
      <c r="U7039">
        <v>6997</v>
      </c>
      <c r="V7039" s="197">
        <v>1393.1116825270335</v>
      </c>
    </row>
    <row r="7040" spans="21:22">
      <c r="U7040">
        <v>6998</v>
      </c>
      <c r="V7040" s="197">
        <v>290.73053556616844</v>
      </c>
    </row>
    <row r="7041" spans="21:22">
      <c r="U7041">
        <v>6999</v>
      </c>
      <c r="V7041" s="197">
        <v>1133.9989604822167</v>
      </c>
    </row>
    <row r="7042" spans="21:22">
      <c r="U7042">
        <v>7000</v>
      </c>
      <c r="V7042" s="197">
        <v>-1533.7362049790006</v>
      </c>
    </row>
    <row r="7043" spans="21:22">
      <c r="U7043">
        <v>7001</v>
      </c>
      <c r="V7043" s="197">
        <v>89.801295733965702</v>
      </c>
    </row>
    <row r="7044" spans="21:22">
      <c r="U7044">
        <v>7002</v>
      </c>
      <c r="V7044" s="197">
        <v>-874.74177147296018</v>
      </c>
    </row>
    <row r="7045" spans="21:22">
      <c r="U7045">
        <v>7003</v>
      </c>
      <c r="V7045" s="197">
        <v>-606.4267114435163</v>
      </c>
    </row>
    <row r="7046" spans="21:22">
      <c r="U7046">
        <v>7004</v>
      </c>
      <c r="V7046" s="197">
        <v>-186.83425024140769</v>
      </c>
    </row>
    <row r="7047" spans="21:22">
      <c r="U7047">
        <v>7005</v>
      </c>
      <c r="V7047" s="197">
        <v>-262.64888287766797</v>
      </c>
    </row>
    <row r="7048" spans="21:22">
      <c r="U7048">
        <v>7006</v>
      </c>
      <c r="V7048" s="197">
        <v>-716.28880857648028</v>
      </c>
    </row>
    <row r="7049" spans="21:22">
      <c r="U7049">
        <v>7007</v>
      </c>
      <c r="V7049" s="197">
        <v>-164.44871141694205</v>
      </c>
    </row>
    <row r="7050" spans="21:22">
      <c r="U7050">
        <v>7008</v>
      </c>
      <c r="V7050" s="197">
        <v>-330.61928210442494</v>
      </c>
    </row>
    <row r="7051" spans="21:22">
      <c r="U7051">
        <v>7009</v>
      </c>
      <c r="V7051" s="197">
        <v>-761.19883053992521</v>
      </c>
    </row>
    <row r="7052" spans="21:22">
      <c r="U7052">
        <v>7010</v>
      </c>
      <c r="V7052" s="197">
        <v>-267.60382195307886</v>
      </c>
    </row>
    <row r="7053" spans="21:22">
      <c r="U7053">
        <v>7011</v>
      </c>
      <c r="V7053" s="197">
        <v>-642.73854317790824</v>
      </c>
    </row>
    <row r="7054" spans="21:22">
      <c r="U7054">
        <v>7012</v>
      </c>
      <c r="V7054" s="197">
        <v>474.91026724633775</v>
      </c>
    </row>
    <row r="7055" spans="21:22">
      <c r="U7055">
        <v>7013</v>
      </c>
      <c r="V7055" s="197">
        <v>-676.81150320854294</v>
      </c>
    </row>
    <row r="7056" spans="21:22">
      <c r="U7056">
        <v>7014</v>
      </c>
      <c r="V7056" s="197">
        <v>-322.0974929986275</v>
      </c>
    </row>
    <row r="7057" spans="21:22">
      <c r="U7057">
        <v>7015</v>
      </c>
      <c r="V7057" s="197">
        <v>-1180.3010804471505</v>
      </c>
    </row>
    <row r="7058" spans="21:22">
      <c r="U7058">
        <v>7016</v>
      </c>
      <c r="V7058" s="197">
        <v>2453.8533714879964</v>
      </c>
    </row>
    <row r="7059" spans="21:22">
      <c r="U7059">
        <v>7017</v>
      </c>
      <c r="V7059" s="197">
        <v>3035.5468819450502</v>
      </c>
    </row>
    <row r="7060" spans="21:22">
      <c r="U7060">
        <v>7018</v>
      </c>
      <c r="V7060" s="197">
        <v>1149.6583169872897</v>
      </c>
    </row>
    <row r="7061" spans="21:22">
      <c r="U7061">
        <v>7019</v>
      </c>
      <c r="V7061" s="197">
        <v>292.90893462903227</v>
      </c>
    </row>
    <row r="7062" spans="21:22">
      <c r="U7062">
        <v>7020</v>
      </c>
      <c r="V7062" s="197">
        <v>-1539.2213838307387</v>
      </c>
    </row>
    <row r="7063" spans="21:22">
      <c r="U7063">
        <v>7021</v>
      </c>
      <c r="V7063" s="197">
        <v>-640.12275034256481</v>
      </c>
    </row>
    <row r="7064" spans="21:22">
      <c r="U7064">
        <v>7022</v>
      </c>
      <c r="V7064" s="197">
        <v>1429.0388367214091</v>
      </c>
    </row>
    <row r="7065" spans="21:22">
      <c r="U7065">
        <v>7023</v>
      </c>
      <c r="V7065" s="197">
        <v>-2180.4335307647279</v>
      </c>
    </row>
    <row r="7066" spans="21:22">
      <c r="U7066">
        <v>7024</v>
      </c>
      <c r="V7066" s="197">
        <v>1519.9537899204067</v>
      </c>
    </row>
    <row r="7067" spans="21:22">
      <c r="U7067">
        <v>7025</v>
      </c>
      <c r="V7067" s="197">
        <v>-283.70121092298712</v>
      </c>
    </row>
    <row r="7068" spans="21:22">
      <c r="U7068">
        <v>7026</v>
      </c>
      <c r="V7068" s="197">
        <v>230.91901912446266</v>
      </c>
    </row>
    <row r="7069" spans="21:22">
      <c r="U7069">
        <v>7027</v>
      </c>
      <c r="V7069" s="197">
        <v>-592.48967727923196</v>
      </c>
    </row>
    <row r="7070" spans="21:22">
      <c r="U7070">
        <v>7028</v>
      </c>
      <c r="V7070" s="197">
        <v>-675.3292985836606</v>
      </c>
    </row>
    <row r="7071" spans="21:22">
      <c r="U7071">
        <v>7029</v>
      </c>
      <c r="V7071" s="197">
        <v>407.37469009009317</v>
      </c>
    </row>
    <row r="7072" spans="21:22">
      <c r="U7072">
        <v>7030</v>
      </c>
      <c r="V7072" s="197">
        <v>344.4256973247505</v>
      </c>
    </row>
    <row r="7073" spans="21:22">
      <c r="U7073">
        <v>7031</v>
      </c>
      <c r="V7073" s="197">
        <v>983.8982710771561</v>
      </c>
    </row>
    <row r="7074" spans="21:22">
      <c r="U7074">
        <v>7032</v>
      </c>
      <c r="V7074" s="197">
        <v>-292.44776083073441</v>
      </c>
    </row>
    <row r="7075" spans="21:22">
      <c r="U7075">
        <v>7033</v>
      </c>
      <c r="V7075" s="197">
        <v>1149.3804819129809</v>
      </c>
    </row>
    <row r="7076" spans="21:22">
      <c r="U7076">
        <v>7034</v>
      </c>
      <c r="V7076" s="197">
        <v>-1028.6006981120081</v>
      </c>
    </row>
    <row r="7077" spans="21:22">
      <c r="U7077">
        <v>7035</v>
      </c>
      <c r="V7077" s="197">
        <v>-71.347334910382216</v>
      </c>
    </row>
    <row r="7078" spans="21:22">
      <c r="U7078">
        <v>7036</v>
      </c>
      <c r="V7078" s="197">
        <v>-201.94616230376118</v>
      </c>
    </row>
    <row r="7079" spans="21:22">
      <c r="U7079">
        <v>7037</v>
      </c>
      <c r="V7079" s="197">
        <v>-1333.7802610504175</v>
      </c>
    </row>
    <row r="7080" spans="21:22">
      <c r="U7080">
        <v>7038</v>
      </c>
      <c r="V7080" s="197">
        <v>169.30579340677662</v>
      </c>
    </row>
    <row r="7081" spans="21:22">
      <c r="U7081">
        <v>7039</v>
      </c>
      <c r="V7081" s="197">
        <v>0.7411862661658688</v>
      </c>
    </row>
    <row r="7082" spans="21:22">
      <c r="U7082">
        <v>7040</v>
      </c>
      <c r="V7082" s="197">
        <v>488.30759703214102</v>
      </c>
    </row>
    <row r="7083" spans="21:22">
      <c r="U7083">
        <v>7041</v>
      </c>
      <c r="V7083" s="197">
        <v>-145.93370995805535</v>
      </c>
    </row>
    <row r="7084" spans="21:22">
      <c r="U7084">
        <v>7042</v>
      </c>
      <c r="V7084" s="197">
        <v>211.97219013711455</v>
      </c>
    </row>
    <row r="7085" spans="21:22">
      <c r="U7085">
        <v>7043</v>
      </c>
      <c r="V7085" s="197">
        <v>405.50250856209306</v>
      </c>
    </row>
    <row r="7086" spans="21:22">
      <c r="U7086">
        <v>7044</v>
      </c>
      <c r="V7086" s="197">
        <v>-1587.3273259753917</v>
      </c>
    </row>
    <row r="7087" spans="21:22">
      <c r="U7087">
        <v>7045</v>
      </c>
      <c r="V7087" s="197">
        <v>40.794048562677034</v>
      </c>
    </row>
    <row r="7088" spans="21:22">
      <c r="U7088">
        <v>7046</v>
      </c>
      <c r="V7088" s="197">
        <v>302.9812298086631</v>
      </c>
    </row>
    <row r="7089" spans="21:22">
      <c r="U7089">
        <v>7047</v>
      </c>
      <c r="V7089" s="197">
        <v>260.48084638712237</v>
      </c>
    </row>
    <row r="7090" spans="21:22">
      <c r="U7090">
        <v>7048</v>
      </c>
      <c r="V7090" s="197">
        <v>-993.3551766368073</v>
      </c>
    </row>
    <row r="7091" spans="21:22">
      <c r="U7091">
        <v>7049</v>
      </c>
      <c r="V7091" s="197">
        <v>551.97856319179368</v>
      </c>
    </row>
    <row r="7092" spans="21:22">
      <c r="U7092">
        <v>7050</v>
      </c>
      <c r="V7092" s="197">
        <v>-375.58340446646338</v>
      </c>
    </row>
    <row r="7093" spans="21:22">
      <c r="U7093">
        <v>7051</v>
      </c>
      <c r="V7093" s="197">
        <v>-1018.2892875865248</v>
      </c>
    </row>
    <row r="7094" spans="21:22">
      <c r="U7094">
        <v>7052</v>
      </c>
      <c r="V7094" s="197">
        <v>643.87748909247034</v>
      </c>
    </row>
    <row r="7095" spans="21:22">
      <c r="U7095">
        <v>7053</v>
      </c>
      <c r="V7095" s="197">
        <v>1705.4046851051874</v>
      </c>
    </row>
    <row r="7096" spans="21:22">
      <c r="U7096">
        <v>7054</v>
      </c>
      <c r="V7096" s="197">
        <v>165.60164442388907</v>
      </c>
    </row>
    <row r="7097" spans="21:22">
      <c r="U7097">
        <v>7055</v>
      </c>
      <c r="V7097" s="197">
        <v>380.34015280756455</v>
      </c>
    </row>
    <row r="7098" spans="21:22">
      <c r="U7098">
        <v>7056</v>
      </c>
      <c r="V7098" s="197">
        <v>461.21182233878028</v>
      </c>
    </row>
    <row r="7099" spans="21:22">
      <c r="U7099">
        <v>7057</v>
      </c>
      <c r="V7099" s="197">
        <v>362.26871290213842</v>
      </c>
    </row>
    <row r="7100" spans="21:22">
      <c r="U7100">
        <v>7058</v>
      </c>
      <c r="V7100" s="197">
        <v>861.52352197953428</v>
      </c>
    </row>
    <row r="7101" spans="21:22">
      <c r="U7101">
        <v>7059</v>
      </c>
      <c r="V7101" s="197">
        <v>112.65738204584301</v>
      </c>
    </row>
    <row r="7102" spans="21:22">
      <c r="U7102">
        <v>7060</v>
      </c>
      <c r="V7102" s="197">
        <v>-114.33194942840208</v>
      </c>
    </row>
    <row r="7103" spans="21:22">
      <c r="U7103">
        <v>7061</v>
      </c>
      <c r="V7103" s="197">
        <v>-388.12776790405661</v>
      </c>
    </row>
    <row r="7104" spans="21:22">
      <c r="U7104">
        <v>7062</v>
      </c>
      <c r="V7104" s="197">
        <v>379.93769311962421</v>
      </c>
    </row>
    <row r="7105" spans="21:22">
      <c r="U7105">
        <v>7063</v>
      </c>
      <c r="V7105" s="197">
        <v>-97.681020485316964</v>
      </c>
    </row>
    <row r="7106" spans="21:22">
      <c r="U7106">
        <v>7064</v>
      </c>
      <c r="V7106" s="197">
        <v>871.88917121166878</v>
      </c>
    </row>
    <row r="7107" spans="21:22">
      <c r="U7107">
        <v>7065</v>
      </c>
      <c r="V7107" s="197">
        <v>-2287.9588398759738</v>
      </c>
    </row>
    <row r="7108" spans="21:22">
      <c r="U7108">
        <v>7066</v>
      </c>
      <c r="V7108" s="197">
        <v>-339.48182131259301</v>
      </c>
    </row>
    <row r="7109" spans="21:22">
      <c r="U7109">
        <v>7067</v>
      </c>
      <c r="V7109" s="197">
        <v>287.01174607941095</v>
      </c>
    </row>
    <row r="7110" spans="21:22">
      <c r="U7110">
        <v>7068</v>
      </c>
      <c r="V7110" s="197">
        <v>-290.35887999885745</v>
      </c>
    </row>
    <row r="7111" spans="21:22">
      <c r="U7111">
        <v>7069</v>
      </c>
      <c r="V7111" s="197">
        <v>-429.4665182234807</v>
      </c>
    </row>
    <row r="7112" spans="21:22">
      <c r="U7112">
        <v>7070</v>
      </c>
      <c r="V7112" s="197">
        <v>-1294.8007965369447</v>
      </c>
    </row>
    <row r="7113" spans="21:22">
      <c r="U7113">
        <v>7071</v>
      </c>
      <c r="V7113" s="197">
        <v>-800.13875664509919</v>
      </c>
    </row>
    <row r="7114" spans="21:22">
      <c r="U7114">
        <v>7072</v>
      </c>
      <c r="V7114" s="197">
        <v>-109.66853935703321</v>
      </c>
    </row>
    <row r="7115" spans="21:22">
      <c r="U7115">
        <v>7073</v>
      </c>
      <c r="V7115" s="197">
        <v>1398.1793350405894</v>
      </c>
    </row>
    <row r="7116" spans="21:22">
      <c r="U7116">
        <v>7074</v>
      </c>
      <c r="V7116" s="197">
        <v>-1110.901715100244</v>
      </c>
    </row>
    <row r="7117" spans="21:22">
      <c r="U7117">
        <v>7075</v>
      </c>
      <c r="V7117" s="197">
        <v>531.36381649715008</v>
      </c>
    </row>
    <row r="7118" spans="21:22">
      <c r="U7118">
        <v>7076</v>
      </c>
      <c r="V7118" s="197">
        <v>1376.8656000678616</v>
      </c>
    </row>
    <row r="7119" spans="21:22">
      <c r="U7119">
        <v>7077</v>
      </c>
      <c r="V7119" s="197">
        <v>-641.68865999747595</v>
      </c>
    </row>
    <row r="7120" spans="21:22">
      <c r="U7120">
        <v>7078</v>
      </c>
      <c r="V7120" s="197">
        <v>684.17989578518154</v>
      </c>
    </row>
    <row r="7121" spans="21:22">
      <c r="U7121">
        <v>7079</v>
      </c>
      <c r="V7121" s="197">
        <v>-910.39959746966178</v>
      </c>
    </row>
    <row r="7122" spans="21:22">
      <c r="U7122">
        <v>7080</v>
      </c>
      <c r="V7122" s="197">
        <v>278.91139318905641</v>
      </c>
    </row>
    <row r="7123" spans="21:22">
      <c r="U7123">
        <v>7081</v>
      </c>
      <c r="V7123" s="197">
        <v>-857.28654427782567</v>
      </c>
    </row>
    <row r="7124" spans="21:22">
      <c r="U7124">
        <v>7082</v>
      </c>
      <c r="V7124" s="197">
        <v>290.90562992692145</v>
      </c>
    </row>
    <row r="7125" spans="21:22">
      <c r="U7125">
        <v>7083</v>
      </c>
      <c r="V7125" s="197">
        <v>-566.46974486912382</v>
      </c>
    </row>
    <row r="7126" spans="21:22">
      <c r="U7126">
        <v>7084</v>
      </c>
      <c r="V7126" s="197">
        <v>2277.7288659636342</v>
      </c>
    </row>
    <row r="7127" spans="21:22">
      <c r="U7127">
        <v>7085</v>
      </c>
      <c r="V7127" s="197">
        <v>1056.360512719348</v>
      </c>
    </row>
    <row r="7128" spans="21:22">
      <c r="U7128">
        <v>7086</v>
      </c>
      <c r="V7128" s="197">
        <v>-995.01660219967334</v>
      </c>
    </row>
    <row r="7129" spans="21:22">
      <c r="U7129">
        <v>7087</v>
      </c>
      <c r="V7129" s="197">
        <v>1349.7291416630317</v>
      </c>
    </row>
    <row r="7130" spans="21:22">
      <c r="U7130">
        <v>7088</v>
      </c>
      <c r="V7130" s="197">
        <v>1802.211549034613</v>
      </c>
    </row>
    <row r="7131" spans="21:22">
      <c r="U7131">
        <v>7089</v>
      </c>
      <c r="V7131" s="197">
        <v>747.60061688020119</v>
      </c>
    </row>
    <row r="7132" spans="21:22">
      <c r="U7132">
        <v>7090</v>
      </c>
      <c r="V7132" s="197">
        <v>1546.7014250050472</v>
      </c>
    </row>
    <row r="7133" spans="21:22">
      <c r="U7133">
        <v>7091</v>
      </c>
      <c r="V7133" s="197">
        <v>96.675516260100252</v>
      </c>
    </row>
    <row r="7134" spans="21:22">
      <c r="U7134">
        <v>7092</v>
      </c>
      <c r="V7134" s="197">
        <v>-462.22194951966009</v>
      </c>
    </row>
    <row r="7135" spans="21:22">
      <c r="U7135">
        <v>7093</v>
      </c>
      <c r="V7135" s="197">
        <v>750.94109640046736</v>
      </c>
    </row>
    <row r="7136" spans="21:22">
      <c r="U7136">
        <v>7094</v>
      </c>
      <c r="V7136" s="197">
        <v>238.82194583023022</v>
      </c>
    </row>
    <row r="7137" spans="21:22">
      <c r="U7137">
        <v>7095</v>
      </c>
      <c r="V7137" s="197">
        <v>-566.31412782417578</v>
      </c>
    </row>
    <row r="7138" spans="21:22">
      <c r="U7138">
        <v>7096</v>
      </c>
      <c r="V7138" s="197">
        <v>283.16409415498811</v>
      </c>
    </row>
    <row r="7139" spans="21:22">
      <c r="U7139">
        <v>7097</v>
      </c>
      <c r="V7139" s="197">
        <v>1322.0749301135672</v>
      </c>
    </row>
    <row r="7140" spans="21:22">
      <c r="U7140">
        <v>7098</v>
      </c>
      <c r="V7140" s="197">
        <v>-694.83366120170285</v>
      </c>
    </row>
    <row r="7141" spans="21:22">
      <c r="U7141">
        <v>7099</v>
      </c>
      <c r="V7141" s="197">
        <v>669.3312926231531</v>
      </c>
    </row>
    <row r="7142" spans="21:22">
      <c r="U7142">
        <v>7100</v>
      </c>
      <c r="V7142" s="197">
        <v>-53.953642744809912</v>
      </c>
    </row>
    <row r="7143" spans="21:22">
      <c r="U7143">
        <v>7101</v>
      </c>
      <c r="V7143" s="197">
        <v>696.76193940852863</v>
      </c>
    </row>
    <row r="7144" spans="21:22">
      <c r="U7144">
        <v>7102</v>
      </c>
      <c r="V7144" s="197">
        <v>1607.8522373432436</v>
      </c>
    </row>
    <row r="7145" spans="21:22">
      <c r="U7145">
        <v>7103</v>
      </c>
      <c r="V7145" s="197">
        <v>-802.74467058335426</v>
      </c>
    </row>
    <row r="7146" spans="21:22">
      <c r="U7146">
        <v>7104</v>
      </c>
      <c r="V7146" s="197">
        <v>-2233.6635700368852</v>
      </c>
    </row>
    <row r="7147" spans="21:22">
      <c r="U7147">
        <v>7105</v>
      </c>
      <c r="V7147" s="197">
        <v>328.54313361403752</v>
      </c>
    </row>
    <row r="7148" spans="21:22">
      <c r="U7148">
        <v>7106</v>
      </c>
      <c r="V7148" s="197">
        <v>2000.0458160029277</v>
      </c>
    </row>
    <row r="7149" spans="21:22">
      <c r="U7149">
        <v>7107</v>
      </c>
      <c r="V7149" s="197">
        <v>-205.03429660659424</v>
      </c>
    </row>
    <row r="7150" spans="21:22">
      <c r="U7150">
        <v>7108</v>
      </c>
      <c r="V7150" s="197">
        <v>-1469.2527989490825</v>
      </c>
    </row>
    <row r="7151" spans="21:22">
      <c r="U7151">
        <v>7109</v>
      </c>
      <c r="V7151" s="197">
        <v>73.256682252780578</v>
      </c>
    </row>
    <row r="7152" spans="21:22">
      <c r="U7152">
        <v>7110</v>
      </c>
      <c r="V7152" s="197">
        <v>1419.3030208938014</v>
      </c>
    </row>
    <row r="7153" spans="21:22">
      <c r="U7153">
        <v>7111</v>
      </c>
      <c r="V7153" s="197">
        <v>1680.5227333999146</v>
      </c>
    </row>
    <row r="7154" spans="21:22">
      <c r="U7154">
        <v>7112</v>
      </c>
      <c r="V7154" s="197">
        <v>325.01141845007544</v>
      </c>
    </row>
    <row r="7155" spans="21:22">
      <c r="U7155">
        <v>7113</v>
      </c>
      <c r="V7155" s="197">
        <v>308.43508422795946</v>
      </c>
    </row>
    <row r="7156" spans="21:22">
      <c r="U7156">
        <v>7114</v>
      </c>
      <c r="V7156" s="197">
        <v>684.7636018768867</v>
      </c>
    </row>
    <row r="7157" spans="21:22">
      <c r="U7157">
        <v>7115</v>
      </c>
      <c r="V7157" s="197">
        <v>-952.74461508896593</v>
      </c>
    </row>
    <row r="7158" spans="21:22">
      <c r="U7158">
        <v>7116</v>
      </c>
      <c r="V7158" s="197">
        <v>378.86446072721702</v>
      </c>
    </row>
    <row r="7159" spans="21:22">
      <c r="U7159">
        <v>7117</v>
      </c>
      <c r="V7159" s="197">
        <v>1869.6722728991308</v>
      </c>
    </row>
    <row r="7160" spans="21:22">
      <c r="U7160">
        <v>7118</v>
      </c>
      <c r="V7160" s="197">
        <v>-657.49141432969054</v>
      </c>
    </row>
    <row r="7161" spans="21:22">
      <c r="U7161">
        <v>7119</v>
      </c>
      <c r="V7161" s="197">
        <v>225.22331331304318</v>
      </c>
    </row>
    <row r="7162" spans="21:22">
      <c r="U7162">
        <v>7120</v>
      </c>
      <c r="V7162" s="197">
        <v>-173.49349572500239</v>
      </c>
    </row>
    <row r="7163" spans="21:22">
      <c r="U7163">
        <v>7121</v>
      </c>
      <c r="V7163" s="197">
        <v>19.480044581277909</v>
      </c>
    </row>
    <row r="7164" spans="21:22">
      <c r="U7164">
        <v>7122</v>
      </c>
      <c r="V7164" s="197">
        <v>1737.9789137693399</v>
      </c>
    </row>
    <row r="7165" spans="21:22">
      <c r="U7165">
        <v>7123</v>
      </c>
      <c r="V7165" s="197">
        <v>-1200.4977036795835</v>
      </c>
    </row>
    <row r="7166" spans="21:22">
      <c r="U7166">
        <v>7124</v>
      </c>
      <c r="V7166" s="197">
        <v>-1403.5924792854723</v>
      </c>
    </row>
    <row r="7167" spans="21:22">
      <c r="U7167">
        <v>7125</v>
      </c>
      <c r="V7167" s="197">
        <v>135.544435056108</v>
      </c>
    </row>
    <row r="7168" spans="21:22">
      <c r="U7168">
        <v>7126</v>
      </c>
      <c r="V7168" s="197">
        <v>520.57812567631129</v>
      </c>
    </row>
    <row r="7169" spans="21:22">
      <c r="U7169">
        <v>7127</v>
      </c>
      <c r="V7169" s="197">
        <v>2320.7466522696141</v>
      </c>
    </row>
    <row r="7170" spans="21:22">
      <c r="U7170">
        <v>7128</v>
      </c>
      <c r="V7170" s="197">
        <v>-489.01716225936974</v>
      </c>
    </row>
    <row r="7171" spans="21:22">
      <c r="U7171">
        <v>7129</v>
      </c>
      <c r="V7171" s="197">
        <v>283.61476035886392</v>
      </c>
    </row>
    <row r="7172" spans="21:22">
      <c r="U7172">
        <v>7130</v>
      </c>
      <c r="V7172" s="197">
        <v>-235.13007820640865</v>
      </c>
    </row>
    <row r="7173" spans="21:22">
      <c r="U7173">
        <v>7131</v>
      </c>
      <c r="V7173" s="197">
        <v>92.140333085940881</v>
      </c>
    </row>
    <row r="7174" spans="21:22">
      <c r="U7174">
        <v>7132</v>
      </c>
      <c r="V7174" s="197">
        <v>-128.16722841066417</v>
      </c>
    </row>
    <row r="7175" spans="21:22">
      <c r="U7175">
        <v>7133</v>
      </c>
      <c r="V7175" s="197">
        <v>-1171.5970943357036</v>
      </c>
    </row>
    <row r="7176" spans="21:22">
      <c r="U7176">
        <v>7134</v>
      </c>
      <c r="V7176" s="197">
        <v>87.208625035161418</v>
      </c>
    </row>
    <row r="7177" spans="21:22">
      <c r="U7177">
        <v>7135</v>
      </c>
      <c r="V7177" s="197">
        <v>776.35188660103154</v>
      </c>
    </row>
    <row r="7178" spans="21:22">
      <c r="U7178">
        <v>7136</v>
      </c>
      <c r="V7178" s="197">
        <v>247.26687112851624</v>
      </c>
    </row>
    <row r="7179" spans="21:22">
      <c r="U7179">
        <v>7137</v>
      </c>
      <c r="V7179" s="197">
        <v>-588.58355397484183</v>
      </c>
    </row>
    <row r="7180" spans="21:22">
      <c r="U7180">
        <v>7138</v>
      </c>
      <c r="V7180" s="197">
        <v>-602.26845811985845</v>
      </c>
    </row>
    <row r="7181" spans="21:22">
      <c r="U7181">
        <v>7139</v>
      </c>
      <c r="V7181" s="197">
        <v>-1442.0321207944191</v>
      </c>
    </row>
    <row r="7182" spans="21:22">
      <c r="U7182">
        <v>7140</v>
      </c>
      <c r="V7182" s="197">
        <v>-129.8827986034114</v>
      </c>
    </row>
    <row r="7183" spans="21:22">
      <c r="U7183">
        <v>7141</v>
      </c>
      <c r="V7183" s="197">
        <v>1436.9195054251516</v>
      </c>
    </row>
    <row r="7184" spans="21:22">
      <c r="U7184">
        <v>7142</v>
      </c>
      <c r="V7184" s="197">
        <v>-931.06081280390686</v>
      </c>
    </row>
    <row r="7185" spans="21:22">
      <c r="U7185">
        <v>7143</v>
      </c>
      <c r="V7185" s="197">
        <v>2311.734393779408</v>
      </c>
    </row>
    <row r="7186" spans="21:22">
      <c r="U7186">
        <v>7144</v>
      </c>
      <c r="V7186" s="197">
        <v>1431.4384036244885</v>
      </c>
    </row>
    <row r="7187" spans="21:22">
      <c r="U7187">
        <v>7145</v>
      </c>
      <c r="V7187" s="197">
        <v>2640.9930534036498</v>
      </c>
    </row>
    <row r="7188" spans="21:22">
      <c r="U7188">
        <v>7146</v>
      </c>
      <c r="V7188" s="197">
        <v>730.64462439860972</v>
      </c>
    </row>
    <row r="7189" spans="21:22">
      <c r="U7189">
        <v>7147</v>
      </c>
      <c r="V7189" s="197">
        <v>643.47897913857582</v>
      </c>
    </row>
    <row r="7190" spans="21:22">
      <c r="U7190">
        <v>7148</v>
      </c>
      <c r="V7190" s="197">
        <v>997.44838551761427</v>
      </c>
    </row>
    <row r="7191" spans="21:22">
      <c r="U7191">
        <v>7149</v>
      </c>
      <c r="V7191" s="197">
        <v>-30.239653654749588</v>
      </c>
    </row>
    <row r="7192" spans="21:22">
      <c r="U7192">
        <v>7150</v>
      </c>
      <c r="V7192" s="197">
        <v>-120.29031423480387</v>
      </c>
    </row>
    <row r="7193" spans="21:22">
      <c r="U7193">
        <v>7151</v>
      </c>
      <c r="V7193" s="197">
        <v>1862.9746020945013</v>
      </c>
    </row>
    <row r="7194" spans="21:22">
      <c r="U7194">
        <v>7152</v>
      </c>
      <c r="V7194" s="197">
        <v>-785.54997991271966</v>
      </c>
    </row>
    <row r="7195" spans="21:22">
      <c r="U7195">
        <v>7153</v>
      </c>
      <c r="V7195" s="197">
        <v>-344.70802623223852</v>
      </c>
    </row>
    <row r="7196" spans="21:22">
      <c r="U7196">
        <v>7154</v>
      </c>
      <c r="V7196" s="197">
        <v>100.71580101469526</v>
      </c>
    </row>
    <row r="7197" spans="21:22">
      <c r="U7197">
        <v>7155</v>
      </c>
      <c r="V7197" s="197">
        <v>286.33413890462742</v>
      </c>
    </row>
    <row r="7198" spans="21:22">
      <c r="U7198">
        <v>7156</v>
      </c>
      <c r="V7198" s="197">
        <v>-193.48565781921269</v>
      </c>
    </row>
    <row r="7199" spans="21:22">
      <c r="U7199">
        <v>7157</v>
      </c>
      <c r="V7199" s="197">
        <v>890.00046598063386</v>
      </c>
    </row>
    <row r="7200" spans="21:22">
      <c r="U7200">
        <v>7158</v>
      </c>
      <c r="V7200" s="197">
        <v>110.12692533727741</v>
      </c>
    </row>
    <row r="7201" spans="21:22">
      <c r="U7201">
        <v>7159</v>
      </c>
      <c r="V7201" s="197">
        <v>-628.57743774868504</v>
      </c>
    </row>
    <row r="7202" spans="21:22">
      <c r="U7202">
        <v>7160</v>
      </c>
      <c r="V7202" s="197">
        <v>761.47303028235183</v>
      </c>
    </row>
    <row r="7203" spans="21:22">
      <c r="U7203">
        <v>7161</v>
      </c>
      <c r="V7203" s="197">
        <v>-1734.2767531422569</v>
      </c>
    </row>
    <row r="7204" spans="21:22">
      <c r="U7204">
        <v>7162</v>
      </c>
      <c r="V7204" s="197">
        <v>403.21995460996618</v>
      </c>
    </row>
    <row r="7205" spans="21:22">
      <c r="U7205">
        <v>7163</v>
      </c>
      <c r="V7205" s="197">
        <v>669.53914273305259</v>
      </c>
    </row>
    <row r="7206" spans="21:22">
      <c r="U7206">
        <v>7164</v>
      </c>
      <c r="V7206" s="197">
        <v>648.42725688428231</v>
      </c>
    </row>
    <row r="7207" spans="21:22">
      <c r="U7207">
        <v>7165</v>
      </c>
      <c r="V7207" s="197">
        <v>-438.23960328995719</v>
      </c>
    </row>
    <row r="7208" spans="21:22">
      <c r="U7208">
        <v>7166</v>
      </c>
      <c r="V7208" s="197">
        <v>1468.6562176038731</v>
      </c>
    </row>
    <row r="7209" spans="21:22">
      <c r="U7209">
        <v>7167</v>
      </c>
      <c r="V7209" s="197">
        <v>-311.76393644453327</v>
      </c>
    </row>
    <row r="7210" spans="21:22">
      <c r="U7210">
        <v>7168</v>
      </c>
      <c r="V7210" s="197">
        <v>-575.61758968869117</v>
      </c>
    </row>
    <row r="7211" spans="21:22">
      <c r="U7211">
        <v>7169</v>
      </c>
      <c r="V7211" s="197">
        <v>679.90498914605973</v>
      </c>
    </row>
    <row r="7212" spans="21:22">
      <c r="U7212">
        <v>7170</v>
      </c>
      <c r="V7212" s="197">
        <v>-449.44095759139469</v>
      </c>
    </row>
    <row r="7213" spans="21:22">
      <c r="U7213">
        <v>7171</v>
      </c>
      <c r="V7213" s="197">
        <v>-452.82074434987618</v>
      </c>
    </row>
    <row r="7214" spans="21:22">
      <c r="U7214">
        <v>7172</v>
      </c>
      <c r="V7214" s="197">
        <v>-113.0619924591102</v>
      </c>
    </row>
    <row r="7215" spans="21:22">
      <c r="U7215">
        <v>7173</v>
      </c>
      <c r="V7215" s="197">
        <v>133.51204298236468</v>
      </c>
    </row>
    <row r="7216" spans="21:22">
      <c r="U7216">
        <v>7174</v>
      </c>
      <c r="V7216" s="197">
        <v>1554.1308101468912</v>
      </c>
    </row>
    <row r="7217" spans="21:22">
      <c r="U7217">
        <v>7175</v>
      </c>
      <c r="V7217" s="197">
        <v>638.51951706224281</v>
      </c>
    </row>
    <row r="7218" spans="21:22">
      <c r="U7218">
        <v>7176</v>
      </c>
      <c r="V7218" s="197">
        <v>-695.15755466544533</v>
      </c>
    </row>
    <row r="7219" spans="21:22">
      <c r="U7219">
        <v>7177</v>
      </c>
      <c r="V7219" s="197">
        <v>2030.2308528221636</v>
      </c>
    </row>
    <row r="7220" spans="21:22">
      <c r="U7220">
        <v>7178</v>
      </c>
      <c r="V7220" s="197">
        <v>-295.52991902516277</v>
      </c>
    </row>
    <row r="7221" spans="21:22">
      <c r="U7221">
        <v>7179</v>
      </c>
      <c r="V7221" s="197">
        <v>110.27940081715769</v>
      </c>
    </row>
    <row r="7222" spans="21:22">
      <c r="U7222">
        <v>7180</v>
      </c>
      <c r="V7222" s="197">
        <v>709.63249201375629</v>
      </c>
    </row>
    <row r="7223" spans="21:22">
      <c r="U7223">
        <v>7181</v>
      </c>
      <c r="V7223" s="197">
        <v>392.1273178477291</v>
      </c>
    </row>
    <row r="7224" spans="21:22">
      <c r="U7224">
        <v>7182</v>
      </c>
      <c r="V7224" s="197">
        <v>-1668.6559159548176</v>
      </c>
    </row>
    <row r="7225" spans="21:22">
      <c r="U7225">
        <v>7183</v>
      </c>
      <c r="V7225" s="197">
        <v>-582.18037961377786</v>
      </c>
    </row>
    <row r="7226" spans="21:22">
      <c r="U7226">
        <v>7184</v>
      </c>
      <c r="V7226" s="197">
        <v>-269.95033356384511</v>
      </c>
    </row>
    <row r="7227" spans="21:22">
      <c r="U7227">
        <v>7185</v>
      </c>
      <c r="V7227" s="197">
        <v>1951.278180394587</v>
      </c>
    </row>
    <row r="7228" spans="21:22">
      <c r="U7228">
        <v>7186</v>
      </c>
      <c r="V7228" s="197">
        <v>-18.731058202787111</v>
      </c>
    </row>
    <row r="7229" spans="21:22">
      <c r="U7229">
        <v>7187</v>
      </c>
      <c r="V7229" s="197">
        <v>-1518.8166206968313</v>
      </c>
    </row>
    <row r="7230" spans="21:22">
      <c r="U7230">
        <v>7188</v>
      </c>
      <c r="V7230" s="197">
        <v>1055.0719580785972</v>
      </c>
    </row>
    <row r="7231" spans="21:22">
      <c r="U7231">
        <v>7189</v>
      </c>
      <c r="V7231" s="197">
        <v>-230.02524734004112</v>
      </c>
    </row>
    <row r="7232" spans="21:22">
      <c r="U7232">
        <v>7190</v>
      </c>
      <c r="V7232" s="197">
        <v>-31.8573387526082</v>
      </c>
    </row>
    <row r="7233" spans="21:22">
      <c r="U7233">
        <v>7191</v>
      </c>
      <c r="V7233" s="197">
        <v>41.734108081091946</v>
      </c>
    </row>
    <row r="7234" spans="21:22">
      <c r="U7234">
        <v>7192</v>
      </c>
      <c r="V7234" s="197">
        <v>1089.8754676949995</v>
      </c>
    </row>
    <row r="7235" spans="21:22">
      <c r="U7235">
        <v>7193</v>
      </c>
      <c r="V7235" s="197">
        <v>1417.3309204449515</v>
      </c>
    </row>
    <row r="7236" spans="21:22">
      <c r="U7236">
        <v>7194</v>
      </c>
      <c r="V7236" s="197">
        <v>-367.64131982053249</v>
      </c>
    </row>
    <row r="7237" spans="21:22">
      <c r="U7237">
        <v>7195</v>
      </c>
      <c r="V7237" s="197">
        <v>404.46544204929751</v>
      </c>
    </row>
    <row r="7238" spans="21:22">
      <c r="U7238">
        <v>7196</v>
      </c>
      <c r="V7238" s="197">
        <v>-759.25535910547251</v>
      </c>
    </row>
    <row r="7239" spans="21:22">
      <c r="U7239">
        <v>7197</v>
      </c>
      <c r="V7239" s="197">
        <v>637.42168839633791</v>
      </c>
    </row>
    <row r="7240" spans="21:22">
      <c r="U7240">
        <v>7198</v>
      </c>
      <c r="V7240" s="197">
        <v>-2108.2253779981215</v>
      </c>
    </row>
    <row r="7241" spans="21:22">
      <c r="U7241">
        <v>7199</v>
      </c>
      <c r="V7241" s="197">
        <v>-288.98099025224258</v>
      </c>
    </row>
    <row r="7242" spans="21:22">
      <c r="U7242">
        <v>7200</v>
      </c>
      <c r="V7242" s="197">
        <v>1637.5609212124696</v>
      </c>
    </row>
    <row r="7243" spans="21:22">
      <c r="U7243">
        <v>7201</v>
      </c>
      <c r="V7243" s="197">
        <v>279.50162057371324</v>
      </c>
    </row>
    <row r="7244" spans="21:22">
      <c r="U7244">
        <v>7202</v>
      </c>
      <c r="V7244" s="197">
        <v>-305.26263427595353</v>
      </c>
    </row>
    <row r="7245" spans="21:22">
      <c r="U7245">
        <v>7203</v>
      </c>
      <c r="V7245" s="197">
        <v>-1139.9889707635684</v>
      </c>
    </row>
    <row r="7246" spans="21:22">
      <c r="U7246">
        <v>7204</v>
      </c>
      <c r="V7246" s="197">
        <v>157.23354553838712</v>
      </c>
    </row>
    <row r="7247" spans="21:22">
      <c r="U7247">
        <v>7205</v>
      </c>
      <c r="V7247" s="197">
        <v>-499.83436154326085</v>
      </c>
    </row>
    <row r="7248" spans="21:22">
      <c r="U7248">
        <v>7206</v>
      </c>
      <c r="V7248" s="197">
        <v>72.979850440185515</v>
      </c>
    </row>
    <row r="7249" spans="21:22">
      <c r="U7249">
        <v>7207</v>
      </c>
      <c r="V7249" s="197">
        <v>1670.568416514061</v>
      </c>
    </row>
    <row r="7250" spans="21:22">
      <c r="U7250">
        <v>7208</v>
      </c>
      <c r="V7250" s="197">
        <v>620.22435809893159</v>
      </c>
    </row>
    <row r="7251" spans="21:22">
      <c r="U7251">
        <v>7209</v>
      </c>
      <c r="V7251" s="197">
        <v>-712.47067931021252</v>
      </c>
    </row>
    <row r="7252" spans="21:22">
      <c r="U7252">
        <v>7210</v>
      </c>
      <c r="V7252" s="197">
        <v>-275.45425854511439</v>
      </c>
    </row>
    <row r="7253" spans="21:22">
      <c r="U7253">
        <v>7211</v>
      </c>
      <c r="V7253" s="197">
        <v>587.76376495189675</v>
      </c>
    </row>
    <row r="7254" spans="21:22">
      <c r="U7254">
        <v>7212</v>
      </c>
      <c r="V7254" s="197">
        <v>-821.7682156699027</v>
      </c>
    </row>
    <row r="7255" spans="21:22">
      <c r="U7255">
        <v>7213</v>
      </c>
      <c r="V7255" s="197">
        <v>1288.3821911716591</v>
      </c>
    </row>
    <row r="7256" spans="21:22">
      <c r="U7256">
        <v>7214</v>
      </c>
      <c r="V7256" s="197">
        <v>-429.11178020426399</v>
      </c>
    </row>
    <row r="7257" spans="21:22">
      <c r="U7257">
        <v>7215</v>
      </c>
      <c r="V7257" s="197">
        <v>-184.67073302720655</v>
      </c>
    </row>
    <row r="7258" spans="21:22">
      <c r="U7258">
        <v>7216</v>
      </c>
      <c r="V7258" s="197">
        <v>527.19889852778329</v>
      </c>
    </row>
    <row r="7259" spans="21:22">
      <c r="U7259">
        <v>7217</v>
      </c>
      <c r="V7259" s="197">
        <v>65.59808464755119</v>
      </c>
    </row>
    <row r="7260" spans="21:22">
      <c r="U7260">
        <v>7218</v>
      </c>
      <c r="V7260" s="197">
        <v>129.35073791500744</v>
      </c>
    </row>
    <row r="7261" spans="21:22">
      <c r="U7261">
        <v>7219</v>
      </c>
      <c r="V7261" s="197">
        <v>-684.644497602402</v>
      </c>
    </row>
    <row r="7262" spans="21:22">
      <c r="U7262">
        <v>7220</v>
      </c>
      <c r="V7262" s="197">
        <v>-1361.0722327996427</v>
      </c>
    </row>
    <row r="7263" spans="21:22">
      <c r="U7263">
        <v>7221</v>
      </c>
      <c r="V7263" s="197">
        <v>1049.6457392927955</v>
      </c>
    </row>
    <row r="7264" spans="21:22">
      <c r="U7264">
        <v>7222</v>
      </c>
      <c r="V7264" s="197">
        <v>1015.09599190585</v>
      </c>
    </row>
    <row r="7265" spans="21:22">
      <c r="U7265">
        <v>7223</v>
      </c>
      <c r="V7265" s="197">
        <v>205.47890851153488</v>
      </c>
    </row>
    <row r="7266" spans="21:22">
      <c r="U7266">
        <v>7224</v>
      </c>
      <c r="V7266" s="197">
        <v>-671.06807685734975</v>
      </c>
    </row>
    <row r="7267" spans="21:22">
      <c r="U7267">
        <v>7225</v>
      </c>
      <c r="V7267" s="197">
        <v>-1003.8726625783715</v>
      </c>
    </row>
    <row r="7268" spans="21:22">
      <c r="U7268">
        <v>7226</v>
      </c>
      <c r="V7268" s="197">
        <v>-1919.7223545175791</v>
      </c>
    </row>
    <row r="7269" spans="21:22">
      <c r="U7269">
        <v>7227</v>
      </c>
      <c r="V7269" s="197">
        <v>313.27741169217745</v>
      </c>
    </row>
    <row r="7270" spans="21:22">
      <c r="U7270">
        <v>7228</v>
      </c>
      <c r="V7270" s="197">
        <v>-731.08595541582667</v>
      </c>
    </row>
    <row r="7271" spans="21:22">
      <c r="U7271">
        <v>7229</v>
      </c>
      <c r="V7271" s="197">
        <v>-343.78876991833226</v>
      </c>
    </row>
    <row r="7272" spans="21:22">
      <c r="U7272">
        <v>7230</v>
      </c>
      <c r="V7272" s="197">
        <v>2576.6207821922417</v>
      </c>
    </row>
    <row r="7273" spans="21:22">
      <c r="U7273">
        <v>7231</v>
      </c>
      <c r="V7273" s="197">
        <v>-150.93785733755078</v>
      </c>
    </row>
    <row r="7274" spans="21:22">
      <c r="U7274">
        <v>7232</v>
      </c>
      <c r="V7274" s="197">
        <v>441.43041735553226</v>
      </c>
    </row>
    <row r="7275" spans="21:22">
      <c r="U7275">
        <v>7233</v>
      </c>
      <c r="V7275" s="197">
        <v>-1148.710381286804</v>
      </c>
    </row>
    <row r="7276" spans="21:22">
      <c r="U7276">
        <v>7234</v>
      </c>
      <c r="V7276" s="197">
        <v>-701.49935975701965</v>
      </c>
    </row>
    <row r="7277" spans="21:22">
      <c r="U7277">
        <v>7235</v>
      </c>
      <c r="V7277" s="197">
        <v>2761.377387094577</v>
      </c>
    </row>
    <row r="7278" spans="21:22">
      <c r="U7278">
        <v>7236</v>
      </c>
      <c r="V7278" s="197">
        <v>1945.4105643084715</v>
      </c>
    </row>
    <row r="7279" spans="21:22">
      <c r="U7279">
        <v>7237</v>
      </c>
      <c r="V7279" s="197">
        <v>-1158.5387389747614</v>
      </c>
    </row>
    <row r="7280" spans="21:22">
      <c r="U7280">
        <v>7238</v>
      </c>
      <c r="V7280" s="197">
        <v>-929.52813370545732</v>
      </c>
    </row>
    <row r="7281" spans="21:22">
      <c r="U7281">
        <v>7239</v>
      </c>
      <c r="V7281" s="197">
        <v>637.73025110872732</v>
      </c>
    </row>
    <row r="7282" spans="21:22">
      <c r="U7282">
        <v>7240</v>
      </c>
      <c r="V7282" s="197">
        <v>-895.55581023394075</v>
      </c>
    </row>
    <row r="7283" spans="21:22">
      <c r="U7283">
        <v>7241</v>
      </c>
      <c r="V7283" s="197">
        <v>-1450.9897090882023</v>
      </c>
    </row>
    <row r="7284" spans="21:22">
      <c r="U7284">
        <v>7242</v>
      </c>
      <c r="V7284" s="197">
        <v>-1234.8457086367109</v>
      </c>
    </row>
    <row r="7285" spans="21:22">
      <c r="U7285">
        <v>7243</v>
      </c>
      <c r="V7285" s="197">
        <v>-598.3641706486228</v>
      </c>
    </row>
    <row r="7286" spans="21:22">
      <c r="U7286">
        <v>7244</v>
      </c>
      <c r="V7286" s="197">
        <v>731.97752531983747</v>
      </c>
    </row>
    <row r="7287" spans="21:22">
      <c r="U7287">
        <v>7245</v>
      </c>
      <c r="V7287" s="197">
        <v>266.25240885336666</v>
      </c>
    </row>
    <row r="7288" spans="21:22">
      <c r="U7288">
        <v>7246</v>
      </c>
      <c r="V7288" s="197">
        <v>-832.438653862092</v>
      </c>
    </row>
    <row r="7289" spans="21:22">
      <c r="U7289">
        <v>7247</v>
      </c>
      <c r="V7289" s="197">
        <v>1395.0049213521975</v>
      </c>
    </row>
    <row r="7290" spans="21:22">
      <c r="U7290">
        <v>7248</v>
      </c>
      <c r="V7290" s="197">
        <v>-533.78520090011125</v>
      </c>
    </row>
    <row r="7291" spans="21:22">
      <c r="U7291">
        <v>7249</v>
      </c>
      <c r="V7291" s="197">
        <v>114.75433759106951</v>
      </c>
    </row>
    <row r="7292" spans="21:22">
      <c r="U7292">
        <v>7250</v>
      </c>
      <c r="V7292" s="197">
        <v>-811.38546681460343</v>
      </c>
    </row>
    <row r="7293" spans="21:22">
      <c r="U7293">
        <v>7251</v>
      </c>
      <c r="V7293" s="197">
        <v>-683.40223113017964</v>
      </c>
    </row>
    <row r="7294" spans="21:22">
      <c r="U7294">
        <v>7252</v>
      </c>
      <c r="V7294" s="197">
        <v>-898.28610867691032</v>
      </c>
    </row>
    <row r="7295" spans="21:22">
      <c r="U7295">
        <v>7253</v>
      </c>
      <c r="V7295" s="197">
        <v>1880.1071320970307</v>
      </c>
    </row>
    <row r="7296" spans="21:22">
      <c r="U7296">
        <v>7254</v>
      </c>
      <c r="V7296" s="197">
        <v>607.15244879516013</v>
      </c>
    </row>
    <row r="7297" spans="21:22">
      <c r="U7297">
        <v>7255</v>
      </c>
      <c r="V7297" s="197">
        <v>273.16334134983282</v>
      </c>
    </row>
    <row r="7298" spans="21:22">
      <c r="U7298">
        <v>7256</v>
      </c>
      <c r="V7298" s="197">
        <v>825.01616501155195</v>
      </c>
    </row>
    <row r="7299" spans="21:22">
      <c r="U7299">
        <v>7257</v>
      </c>
      <c r="V7299" s="197">
        <v>-1842.4678383292683</v>
      </c>
    </row>
    <row r="7300" spans="21:22">
      <c r="U7300">
        <v>7258</v>
      </c>
      <c r="V7300" s="197">
        <v>-593.80923037437242</v>
      </c>
    </row>
    <row r="7301" spans="21:22">
      <c r="U7301">
        <v>7259</v>
      </c>
      <c r="V7301" s="197">
        <v>216.99269059807307</v>
      </c>
    </row>
    <row r="7302" spans="21:22">
      <c r="U7302">
        <v>7260</v>
      </c>
      <c r="V7302" s="197">
        <v>460.37741279290378</v>
      </c>
    </row>
    <row r="7303" spans="21:22">
      <c r="U7303">
        <v>7261</v>
      </c>
      <c r="V7303" s="197">
        <v>729.18783246080989</v>
      </c>
    </row>
    <row r="7304" spans="21:22">
      <c r="U7304">
        <v>7262</v>
      </c>
      <c r="V7304" s="197">
        <v>387.12160711380858</v>
      </c>
    </row>
    <row r="7305" spans="21:22">
      <c r="U7305">
        <v>7263</v>
      </c>
      <c r="V7305" s="197">
        <v>209.27800088901557</v>
      </c>
    </row>
    <row r="7306" spans="21:22">
      <c r="U7306">
        <v>7264</v>
      </c>
      <c r="V7306" s="197">
        <v>187.42932356389343</v>
      </c>
    </row>
    <row r="7307" spans="21:22">
      <c r="U7307">
        <v>7265</v>
      </c>
      <c r="V7307" s="197">
        <v>-105.5250827712903</v>
      </c>
    </row>
    <row r="7308" spans="21:22">
      <c r="U7308">
        <v>7266</v>
      </c>
      <c r="V7308" s="197">
        <v>1423.4220078463104</v>
      </c>
    </row>
    <row r="7309" spans="21:22">
      <c r="U7309">
        <v>7267</v>
      </c>
      <c r="V7309" s="197">
        <v>1356.2281697686781</v>
      </c>
    </row>
    <row r="7310" spans="21:22">
      <c r="U7310">
        <v>7268</v>
      </c>
      <c r="V7310" s="197">
        <v>2147.7716004928075</v>
      </c>
    </row>
    <row r="7311" spans="21:22">
      <c r="U7311">
        <v>7269</v>
      </c>
      <c r="V7311" s="197">
        <v>-480.10623005508074</v>
      </c>
    </row>
    <row r="7312" spans="21:22">
      <c r="U7312">
        <v>7270</v>
      </c>
      <c r="V7312" s="197">
        <v>-1045.8373972036172</v>
      </c>
    </row>
    <row r="7313" spans="21:22">
      <c r="U7313">
        <v>7271</v>
      </c>
      <c r="V7313" s="197">
        <v>-293.24339138815492</v>
      </c>
    </row>
    <row r="7314" spans="21:22">
      <c r="U7314">
        <v>7272</v>
      </c>
      <c r="V7314" s="197">
        <v>-617.13533709741318</v>
      </c>
    </row>
    <row r="7315" spans="21:22">
      <c r="U7315">
        <v>7273</v>
      </c>
      <c r="V7315" s="197">
        <v>685.54237035376855</v>
      </c>
    </row>
    <row r="7316" spans="21:22">
      <c r="U7316">
        <v>7274</v>
      </c>
      <c r="V7316" s="197">
        <v>159.1126498663827</v>
      </c>
    </row>
    <row r="7317" spans="21:22">
      <c r="U7317">
        <v>7275</v>
      </c>
      <c r="V7317" s="197">
        <v>-10.010343378751188</v>
      </c>
    </row>
    <row r="7318" spans="21:22">
      <c r="U7318">
        <v>7276</v>
      </c>
      <c r="V7318" s="197">
        <v>-2375.9187199984408</v>
      </c>
    </row>
    <row r="7319" spans="21:22">
      <c r="U7319">
        <v>7277</v>
      </c>
      <c r="V7319" s="197">
        <v>1163.0159136501732</v>
      </c>
    </row>
    <row r="7320" spans="21:22">
      <c r="U7320">
        <v>7278</v>
      </c>
      <c r="V7320" s="197">
        <v>687.99907559890016</v>
      </c>
    </row>
    <row r="7321" spans="21:22">
      <c r="U7321">
        <v>7279</v>
      </c>
      <c r="V7321" s="197">
        <v>-322.95265240880468</v>
      </c>
    </row>
    <row r="7322" spans="21:22">
      <c r="U7322">
        <v>7280</v>
      </c>
      <c r="V7322" s="197">
        <v>62.332107172015277</v>
      </c>
    </row>
    <row r="7323" spans="21:22">
      <c r="U7323">
        <v>7281</v>
      </c>
      <c r="V7323" s="197">
        <v>-374.17453739356876</v>
      </c>
    </row>
    <row r="7324" spans="21:22">
      <c r="U7324">
        <v>7282</v>
      </c>
      <c r="V7324" s="197">
        <v>271.46474020072685</v>
      </c>
    </row>
    <row r="7325" spans="21:22">
      <c r="U7325">
        <v>7283</v>
      </c>
      <c r="V7325" s="197">
        <v>-296.07970665206847</v>
      </c>
    </row>
    <row r="7326" spans="21:22">
      <c r="U7326">
        <v>7284</v>
      </c>
      <c r="V7326" s="197">
        <v>-0.47480429153772263</v>
      </c>
    </row>
    <row r="7327" spans="21:22">
      <c r="U7327">
        <v>7285</v>
      </c>
      <c r="V7327" s="197">
        <v>170.56101217423702</v>
      </c>
    </row>
    <row r="7328" spans="21:22">
      <c r="U7328">
        <v>7286</v>
      </c>
      <c r="V7328" s="197">
        <v>304.02050562174242</v>
      </c>
    </row>
    <row r="7329" spans="21:22">
      <c r="U7329">
        <v>7287</v>
      </c>
      <c r="V7329" s="197">
        <v>486.82880474373047</v>
      </c>
    </row>
    <row r="7330" spans="21:22">
      <c r="U7330">
        <v>7288</v>
      </c>
      <c r="V7330" s="197">
        <v>-2242.7257243329341</v>
      </c>
    </row>
    <row r="7331" spans="21:22">
      <c r="U7331">
        <v>7289</v>
      </c>
      <c r="V7331" s="197">
        <v>209.16878373790257</v>
      </c>
    </row>
    <row r="7332" spans="21:22">
      <c r="U7332">
        <v>7290</v>
      </c>
      <c r="V7332" s="197">
        <v>-1132.3562652360126</v>
      </c>
    </row>
    <row r="7333" spans="21:22">
      <c r="U7333">
        <v>7291</v>
      </c>
      <c r="V7333" s="197">
        <v>225.488060486368</v>
      </c>
    </row>
    <row r="7334" spans="21:22">
      <c r="U7334">
        <v>7292</v>
      </c>
      <c r="V7334" s="197">
        <v>-326.79991506194926</v>
      </c>
    </row>
    <row r="7335" spans="21:22">
      <c r="U7335">
        <v>7293</v>
      </c>
      <c r="V7335" s="197">
        <v>1237.8987520705223</v>
      </c>
    </row>
    <row r="7336" spans="21:22">
      <c r="U7336">
        <v>7294</v>
      </c>
      <c r="V7336" s="197">
        <v>-768.92995917011194</v>
      </c>
    </row>
    <row r="7337" spans="21:22">
      <c r="U7337">
        <v>7295</v>
      </c>
      <c r="V7337" s="197">
        <v>-1883.2817128257341</v>
      </c>
    </row>
    <row r="7338" spans="21:22">
      <c r="U7338">
        <v>7296</v>
      </c>
      <c r="V7338" s="197">
        <v>354.56298777643212</v>
      </c>
    </row>
    <row r="7339" spans="21:22">
      <c r="U7339">
        <v>7297</v>
      </c>
      <c r="V7339" s="197">
        <v>-541.15477342416057</v>
      </c>
    </row>
    <row r="7340" spans="21:22">
      <c r="U7340">
        <v>7298</v>
      </c>
      <c r="V7340" s="197">
        <v>-1924.9303003101454</v>
      </c>
    </row>
    <row r="7341" spans="21:22">
      <c r="U7341">
        <v>7299</v>
      </c>
      <c r="V7341" s="197">
        <v>-400.96406334591262</v>
      </c>
    </row>
    <row r="7342" spans="21:22">
      <c r="U7342">
        <v>7300</v>
      </c>
      <c r="V7342" s="197">
        <v>1308.7354475845882</v>
      </c>
    </row>
    <row r="7343" spans="21:22">
      <c r="U7343">
        <v>7301</v>
      </c>
      <c r="V7343" s="197">
        <v>946.68009292472743</v>
      </c>
    </row>
    <row r="7344" spans="21:22">
      <c r="U7344">
        <v>7302</v>
      </c>
      <c r="V7344" s="197">
        <v>1268.985517856451</v>
      </c>
    </row>
    <row r="7345" spans="21:22">
      <c r="U7345">
        <v>7303</v>
      </c>
      <c r="V7345" s="197">
        <v>1497.122631130874</v>
      </c>
    </row>
    <row r="7346" spans="21:22">
      <c r="U7346">
        <v>7304</v>
      </c>
      <c r="V7346" s="197">
        <v>-1246.6595981112512</v>
      </c>
    </row>
    <row r="7347" spans="21:22">
      <c r="U7347">
        <v>7305</v>
      </c>
      <c r="V7347" s="197">
        <v>188.7300052801059</v>
      </c>
    </row>
    <row r="7348" spans="21:22">
      <c r="U7348">
        <v>7306</v>
      </c>
      <c r="V7348" s="197">
        <v>1003.6921586818</v>
      </c>
    </row>
    <row r="7349" spans="21:22">
      <c r="U7349">
        <v>7307</v>
      </c>
      <c r="V7349" s="197">
        <v>188.07452463271295</v>
      </c>
    </row>
    <row r="7350" spans="21:22">
      <c r="U7350">
        <v>7308</v>
      </c>
      <c r="V7350" s="197">
        <v>1182.2998858866404</v>
      </c>
    </row>
    <row r="7351" spans="21:22">
      <c r="U7351">
        <v>7309</v>
      </c>
      <c r="V7351" s="197">
        <v>1259.32289108434</v>
      </c>
    </row>
    <row r="7352" spans="21:22">
      <c r="U7352">
        <v>7310</v>
      </c>
      <c r="V7352" s="197">
        <v>446.62454258607977</v>
      </c>
    </row>
    <row r="7353" spans="21:22">
      <c r="U7353">
        <v>7311</v>
      </c>
      <c r="V7353" s="197">
        <v>400.10577992370452</v>
      </c>
    </row>
    <row r="7354" spans="21:22">
      <c r="U7354">
        <v>7312</v>
      </c>
      <c r="V7354" s="197">
        <v>-423.84533205513088</v>
      </c>
    </row>
    <row r="7355" spans="21:22">
      <c r="U7355">
        <v>7313</v>
      </c>
      <c r="V7355" s="197">
        <v>576.83834749918969</v>
      </c>
    </row>
    <row r="7356" spans="21:22">
      <c r="U7356">
        <v>7314</v>
      </c>
      <c r="V7356" s="197">
        <v>884.18760176980982</v>
      </c>
    </row>
    <row r="7357" spans="21:22">
      <c r="U7357">
        <v>7315</v>
      </c>
      <c r="V7357" s="197">
        <v>321.3609462567772</v>
      </c>
    </row>
    <row r="7358" spans="21:22">
      <c r="U7358">
        <v>7316</v>
      </c>
      <c r="V7358" s="197">
        <v>-75.475083585562174</v>
      </c>
    </row>
    <row r="7359" spans="21:22">
      <c r="U7359">
        <v>7317</v>
      </c>
      <c r="V7359" s="197">
        <v>-1365.7637141845671</v>
      </c>
    </row>
    <row r="7360" spans="21:22">
      <c r="U7360">
        <v>7318</v>
      </c>
      <c r="V7360" s="197">
        <v>1569.1422846143005</v>
      </c>
    </row>
    <row r="7361" spans="21:22">
      <c r="U7361">
        <v>7319</v>
      </c>
      <c r="V7361" s="197">
        <v>-99.948498954860554</v>
      </c>
    </row>
    <row r="7362" spans="21:22">
      <c r="U7362">
        <v>7320</v>
      </c>
      <c r="V7362" s="197">
        <v>-1496.3587110701949</v>
      </c>
    </row>
    <row r="7363" spans="21:22">
      <c r="U7363">
        <v>7321</v>
      </c>
      <c r="V7363" s="197">
        <v>388.68701872960173</v>
      </c>
    </row>
    <row r="7364" spans="21:22">
      <c r="U7364">
        <v>7322</v>
      </c>
      <c r="V7364" s="197">
        <v>1225.6032278676951</v>
      </c>
    </row>
    <row r="7365" spans="21:22">
      <c r="U7365">
        <v>7323</v>
      </c>
      <c r="V7365" s="197">
        <v>441.71741848117728</v>
      </c>
    </row>
    <row r="7366" spans="21:22">
      <c r="U7366">
        <v>7324</v>
      </c>
      <c r="V7366" s="197">
        <v>-2073.664371500985</v>
      </c>
    </row>
    <row r="7367" spans="21:22">
      <c r="U7367">
        <v>7325</v>
      </c>
      <c r="V7367" s="197">
        <v>362.95469180940177</v>
      </c>
    </row>
    <row r="7368" spans="21:22">
      <c r="U7368">
        <v>7326</v>
      </c>
      <c r="V7368" s="197">
        <v>80.851186741919292</v>
      </c>
    </row>
    <row r="7369" spans="21:22">
      <c r="U7369">
        <v>7327</v>
      </c>
      <c r="V7369" s="197">
        <v>-438.42582106991102</v>
      </c>
    </row>
    <row r="7370" spans="21:22">
      <c r="U7370">
        <v>7328</v>
      </c>
      <c r="V7370" s="197">
        <v>1493.4443571591778</v>
      </c>
    </row>
    <row r="7371" spans="21:22">
      <c r="U7371">
        <v>7329</v>
      </c>
      <c r="V7371" s="197">
        <v>-246.03947695605194</v>
      </c>
    </row>
    <row r="7372" spans="21:22">
      <c r="U7372">
        <v>7330</v>
      </c>
      <c r="V7372" s="197">
        <v>89.74586301417385</v>
      </c>
    </row>
    <row r="7373" spans="21:22">
      <c r="U7373">
        <v>7331</v>
      </c>
      <c r="V7373" s="197">
        <v>1218.4264071295311</v>
      </c>
    </row>
    <row r="7374" spans="21:22">
      <c r="U7374">
        <v>7332</v>
      </c>
      <c r="V7374" s="197">
        <v>802.41872866569474</v>
      </c>
    </row>
    <row r="7375" spans="21:22">
      <c r="U7375">
        <v>7333</v>
      </c>
      <c r="V7375" s="197">
        <v>-33.762917741323719</v>
      </c>
    </row>
    <row r="7376" spans="21:22">
      <c r="U7376">
        <v>7334</v>
      </c>
      <c r="V7376" s="197">
        <v>70.768606444663277</v>
      </c>
    </row>
    <row r="7377" spans="21:22">
      <c r="U7377">
        <v>7335</v>
      </c>
      <c r="V7377" s="197">
        <v>752.80746611678364</v>
      </c>
    </row>
    <row r="7378" spans="21:22">
      <c r="U7378">
        <v>7336</v>
      </c>
      <c r="V7378" s="197">
        <v>232.0731325101562</v>
      </c>
    </row>
    <row r="7379" spans="21:22">
      <c r="U7379">
        <v>7337</v>
      </c>
      <c r="V7379" s="197">
        <v>-294.10044210240272</v>
      </c>
    </row>
    <row r="7380" spans="21:22">
      <c r="U7380">
        <v>7338</v>
      </c>
      <c r="V7380" s="197">
        <v>636.37140774573754</v>
      </c>
    </row>
    <row r="7381" spans="21:22">
      <c r="U7381">
        <v>7339</v>
      </c>
      <c r="V7381" s="197">
        <v>1296.7877586875888</v>
      </c>
    </row>
    <row r="7382" spans="21:22">
      <c r="U7382">
        <v>7340</v>
      </c>
      <c r="V7382" s="197">
        <v>-338.77756682541303</v>
      </c>
    </row>
    <row r="7383" spans="21:22">
      <c r="U7383">
        <v>7341</v>
      </c>
      <c r="V7383" s="197">
        <v>-265.61339255049177</v>
      </c>
    </row>
    <row r="7384" spans="21:22">
      <c r="U7384">
        <v>7342</v>
      </c>
      <c r="V7384" s="197">
        <v>-104.68263743464996</v>
      </c>
    </row>
    <row r="7385" spans="21:22">
      <c r="U7385">
        <v>7343</v>
      </c>
      <c r="V7385" s="197">
        <v>-1307.0575186983469</v>
      </c>
    </row>
    <row r="7386" spans="21:22">
      <c r="U7386">
        <v>7344</v>
      </c>
      <c r="V7386" s="197">
        <v>-840.61443306362708</v>
      </c>
    </row>
    <row r="7387" spans="21:22">
      <c r="U7387">
        <v>7345</v>
      </c>
      <c r="V7387" s="197">
        <v>790.40333242040083</v>
      </c>
    </row>
    <row r="7388" spans="21:22">
      <c r="U7388">
        <v>7346</v>
      </c>
      <c r="V7388" s="197">
        <v>1896.8582738678895</v>
      </c>
    </row>
    <row r="7389" spans="21:22">
      <c r="U7389">
        <v>7347</v>
      </c>
      <c r="V7389" s="197">
        <v>-453.87022740602771</v>
      </c>
    </row>
    <row r="7390" spans="21:22">
      <c r="U7390">
        <v>7348</v>
      </c>
      <c r="V7390" s="197">
        <v>1679.4229326478014</v>
      </c>
    </row>
    <row r="7391" spans="21:22">
      <c r="U7391">
        <v>7349</v>
      </c>
      <c r="V7391" s="197">
        <v>394.07923632862213</v>
      </c>
    </row>
    <row r="7392" spans="21:22">
      <c r="U7392">
        <v>7350</v>
      </c>
      <c r="V7392" s="197">
        <v>1723.6664706587515</v>
      </c>
    </row>
    <row r="7393" spans="21:22">
      <c r="U7393">
        <v>7351</v>
      </c>
      <c r="V7393" s="197">
        <v>639.89831309713827</v>
      </c>
    </row>
    <row r="7394" spans="21:22">
      <c r="U7394">
        <v>7352</v>
      </c>
      <c r="V7394" s="197">
        <v>1169.4321680371179</v>
      </c>
    </row>
    <row r="7395" spans="21:22">
      <c r="U7395">
        <v>7353</v>
      </c>
      <c r="V7395" s="197">
        <v>-375.96731992613786</v>
      </c>
    </row>
    <row r="7396" spans="21:22">
      <c r="U7396">
        <v>7354</v>
      </c>
      <c r="V7396" s="197">
        <v>-732.78100645165227</v>
      </c>
    </row>
    <row r="7397" spans="21:22">
      <c r="U7397">
        <v>7355</v>
      </c>
      <c r="V7397" s="197">
        <v>-590.36611298555704</v>
      </c>
    </row>
    <row r="7398" spans="21:22">
      <c r="U7398">
        <v>7356</v>
      </c>
      <c r="V7398" s="197">
        <v>-1373.389015848491</v>
      </c>
    </row>
    <row r="7399" spans="21:22">
      <c r="U7399">
        <v>7357</v>
      </c>
      <c r="V7399" s="197">
        <v>1720.7176896944013</v>
      </c>
    </row>
    <row r="7400" spans="21:22">
      <c r="U7400">
        <v>7358</v>
      </c>
      <c r="V7400" s="197">
        <v>285.81650454991188</v>
      </c>
    </row>
    <row r="7401" spans="21:22">
      <c r="U7401">
        <v>7359</v>
      </c>
      <c r="V7401" s="197">
        <v>128.58706979330177</v>
      </c>
    </row>
    <row r="7402" spans="21:22">
      <c r="U7402">
        <v>7360</v>
      </c>
      <c r="V7402" s="197">
        <v>-492.30898950448073</v>
      </c>
    </row>
    <row r="7403" spans="21:22">
      <c r="U7403">
        <v>7361</v>
      </c>
      <c r="V7403" s="197">
        <v>-78.004088481844207</v>
      </c>
    </row>
    <row r="7404" spans="21:22">
      <c r="U7404">
        <v>7362</v>
      </c>
      <c r="V7404" s="197">
        <v>-302.96198931474078</v>
      </c>
    </row>
    <row r="7405" spans="21:22">
      <c r="U7405">
        <v>7363</v>
      </c>
      <c r="V7405" s="197">
        <v>-163.81820251809597</v>
      </c>
    </row>
    <row r="7406" spans="21:22">
      <c r="U7406">
        <v>7364</v>
      </c>
      <c r="V7406" s="197">
        <v>365.59287060415477</v>
      </c>
    </row>
    <row r="7407" spans="21:22">
      <c r="U7407">
        <v>7365</v>
      </c>
      <c r="V7407" s="197">
        <v>-70.013648839879664</v>
      </c>
    </row>
    <row r="7408" spans="21:22">
      <c r="U7408">
        <v>7366</v>
      </c>
      <c r="V7408" s="197">
        <v>1382.5851205407132</v>
      </c>
    </row>
    <row r="7409" spans="21:22">
      <c r="U7409">
        <v>7367</v>
      </c>
      <c r="V7409" s="197">
        <v>809.1119521590083</v>
      </c>
    </row>
    <row r="7410" spans="21:22">
      <c r="U7410">
        <v>7368</v>
      </c>
      <c r="V7410" s="197">
        <v>-515.08172531487094</v>
      </c>
    </row>
    <row r="7411" spans="21:22">
      <c r="U7411">
        <v>7369</v>
      </c>
      <c r="V7411" s="197">
        <v>129.69068682035797</v>
      </c>
    </row>
    <row r="7412" spans="21:22">
      <c r="U7412">
        <v>7370</v>
      </c>
      <c r="V7412" s="197">
        <v>-840.30070598309521</v>
      </c>
    </row>
    <row r="7413" spans="21:22">
      <c r="U7413">
        <v>7371</v>
      </c>
      <c r="V7413" s="197">
        <v>-844.40590338709035</v>
      </c>
    </row>
    <row r="7414" spans="21:22">
      <c r="U7414">
        <v>7372</v>
      </c>
      <c r="V7414" s="197">
        <v>-785.09373614985498</v>
      </c>
    </row>
    <row r="7415" spans="21:22">
      <c r="U7415">
        <v>7373</v>
      </c>
      <c r="V7415" s="197">
        <v>-2000.0371047926703</v>
      </c>
    </row>
    <row r="7416" spans="21:22">
      <c r="U7416">
        <v>7374</v>
      </c>
      <c r="V7416" s="197">
        <v>1036.1181374798186</v>
      </c>
    </row>
    <row r="7417" spans="21:22">
      <c r="U7417">
        <v>7375</v>
      </c>
      <c r="V7417" s="197">
        <v>395.01644945849984</v>
      </c>
    </row>
    <row r="7418" spans="21:22">
      <c r="U7418">
        <v>7376</v>
      </c>
      <c r="V7418" s="197">
        <v>751.97412350676723</v>
      </c>
    </row>
    <row r="7419" spans="21:22">
      <c r="U7419">
        <v>7377</v>
      </c>
      <c r="V7419" s="197">
        <v>75.643271625325667</v>
      </c>
    </row>
    <row r="7420" spans="21:22">
      <c r="U7420">
        <v>7378</v>
      </c>
      <c r="V7420" s="197">
        <v>531.36177990792839</v>
      </c>
    </row>
    <row r="7421" spans="21:22">
      <c r="U7421">
        <v>7379</v>
      </c>
      <c r="V7421" s="197">
        <v>963.26993068227989</v>
      </c>
    </row>
    <row r="7422" spans="21:22">
      <c r="U7422">
        <v>7380</v>
      </c>
      <c r="V7422" s="197">
        <v>691.01276131477289</v>
      </c>
    </row>
    <row r="7423" spans="21:22">
      <c r="U7423">
        <v>7381</v>
      </c>
      <c r="V7423" s="197">
        <v>-336.15427457982992</v>
      </c>
    </row>
    <row r="7424" spans="21:22">
      <c r="U7424">
        <v>7382</v>
      </c>
      <c r="V7424" s="197">
        <v>2376.2466603122703</v>
      </c>
    </row>
    <row r="7425" spans="21:22">
      <c r="U7425">
        <v>7383</v>
      </c>
      <c r="V7425" s="197">
        <v>-464.51039089922682</v>
      </c>
    </row>
    <row r="7426" spans="21:22">
      <c r="U7426">
        <v>7384</v>
      </c>
      <c r="V7426" s="197">
        <v>185.59124950789692</v>
      </c>
    </row>
    <row r="7427" spans="21:22">
      <c r="U7427">
        <v>7385</v>
      </c>
      <c r="V7427" s="197">
        <v>308.08412201263343</v>
      </c>
    </row>
    <row r="7428" spans="21:22">
      <c r="U7428">
        <v>7386</v>
      </c>
      <c r="V7428" s="197">
        <v>-296.21021087113303</v>
      </c>
    </row>
    <row r="7429" spans="21:22">
      <c r="U7429">
        <v>7387</v>
      </c>
      <c r="V7429" s="197">
        <v>-231.54158750843993</v>
      </c>
    </row>
    <row r="7430" spans="21:22">
      <c r="U7430">
        <v>7388</v>
      </c>
      <c r="V7430" s="197">
        <v>-51.729512082976072</v>
      </c>
    </row>
    <row r="7431" spans="21:22">
      <c r="U7431">
        <v>7389</v>
      </c>
      <c r="V7431" s="197">
        <v>-75.868490300356285</v>
      </c>
    </row>
    <row r="7432" spans="21:22">
      <c r="U7432">
        <v>7390</v>
      </c>
      <c r="V7432" s="197">
        <v>2594.3458366201312</v>
      </c>
    </row>
    <row r="7433" spans="21:22">
      <c r="U7433">
        <v>7391</v>
      </c>
      <c r="V7433" s="197">
        <v>-55.676752609575715</v>
      </c>
    </row>
    <row r="7434" spans="21:22">
      <c r="U7434">
        <v>7392</v>
      </c>
      <c r="V7434" s="197">
        <v>-717.79502185948991</v>
      </c>
    </row>
    <row r="7435" spans="21:22">
      <c r="U7435">
        <v>7393</v>
      </c>
      <c r="V7435" s="197">
        <v>-1842.5662278588229</v>
      </c>
    </row>
    <row r="7436" spans="21:22">
      <c r="U7436">
        <v>7394</v>
      </c>
      <c r="V7436" s="197">
        <v>501.71943115316049</v>
      </c>
    </row>
    <row r="7437" spans="21:22">
      <c r="U7437">
        <v>7395</v>
      </c>
      <c r="V7437" s="197">
        <v>-26.193561657346507</v>
      </c>
    </row>
    <row r="7438" spans="21:22">
      <c r="U7438">
        <v>7396</v>
      </c>
      <c r="V7438" s="197">
        <v>-1238.6314309648228</v>
      </c>
    </row>
    <row r="7439" spans="21:22">
      <c r="U7439">
        <v>7397</v>
      </c>
      <c r="V7439" s="197">
        <v>239.87083175814385</v>
      </c>
    </row>
    <row r="7440" spans="21:22">
      <c r="U7440">
        <v>7398</v>
      </c>
      <c r="V7440" s="197">
        <v>1096.2071320657647</v>
      </c>
    </row>
    <row r="7441" spans="21:22">
      <c r="U7441">
        <v>7399</v>
      </c>
      <c r="V7441" s="197">
        <v>788.54558030326825</v>
      </c>
    </row>
    <row r="7442" spans="21:22">
      <c r="U7442">
        <v>7400</v>
      </c>
      <c r="V7442" s="197">
        <v>1393.9168575123995</v>
      </c>
    </row>
    <row r="7443" spans="21:22">
      <c r="U7443">
        <v>7401</v>
      </c>
      <c r="V7443" s="197">
        <v>-1208.8973404679537</v>
      </c>
    </row>
    <row r="7444" spans="21:22">
      <c r="U7444">
        <v>7402</v>
      </c>
      <c r="V7444" s="197">
        <v>1799.7081751968876</v>
      </c>
    </row>
    <row r="7445" spans="21:22">
      <c r="U7445">
        <v>7403</v>
      </c>
      <c r="V7445" s="197">
        <v>-482.87688624299193</v>
      </c>
    </row>
    <row r="7446" spans="21:22">
      <c r="U7446">
        <v>7404</v>
      </c>
      <c r="V7446" s="197">
        <v>1165.2440178701884</v>
      </c>
    </row>
    <row r="7447" spans="21:22">
      <c r="U7447">
        <v>7405</v>
      </c>
      <c r="V7447" s="197">
        <v>1296.3498223436254</v>
      </c>
    </row>
    <row r="7448" spans="21:22">
      <c r="U7448">
        <v>7406</v>
      </c>
      <c r="V7448" s="197">
        <v>-75.121738072522277</v>
      </c>
    </row>
    <row r="7449" spans="21:22">
      <c r="U7449">
        <v>7407</v>
      </c>
      <c r="V7449" s="197">
        <v>-2.5843566929703741</v>
      </c>
    </row>
    <row r="7450" spans="21:22">
      <c r="U7450">
        <v>7408</v>
      </c>
      <c r="V7450" s="197">
        <v>-1420.3208386501119</v>
      </c>
    </row>
    <row r="7451" spans="21:22">
      <c r="U7451">
        <v>7409</v>
      </c>
      <c r="V7451" s="197">
        <v>314.8259535619693</v>
      </c>
    </row>
    <row r="7452" spans="21:22">
      <c r="U7452">
        <v>7410</v>
      </c>
      <c r="V7452" s="197">
        <v>411.11627335285715</v>
      </c>
    </row>
    <row r="7453" spans="21:22">
      <c r="U7453">
        <v>7411</v>
      </c>
      <c r="V7453" s="197">
        <v>204.00525537250491</v>
      </c>
    </row>
    <row r="7454" spans="21:22">
      <c r="U7454">
        <v>7412</v>
      </c>
      <c r="V7454" s="197">
        <v>136.95680596102977</v>
      </c>
    </row>
    <row r="7455" spans="21:22">
      <c r="U7455">
        <v>7413</v>
      </c>
      <c r="V7455" s="197">
        <v>1537.2416414513552</v>
      </c>
    </row>
    <row r="7456" spans="21:22">
      <c r="U7456">
        <v>7414</v>
      </c>
      <c r="V7456" s="197">
        <v>-405.10887219232308</v>
      </c>
    </row>
    <row r="7457" spans="21:22">
      <c r="U7457">
        <v>7415</v>
      </c>
      <c r="V7457" s="197">
        <v>-1492.9489666273164</v>
      </c>
    </row>
    <row r="7458" spans="21:22">
      <c r="U7458">
        <v>7416</v>
      </c>
      <c r="V7458" s="197">
        <v>583.00459505654965</v>
      </c>
    </row>
    <row r="7459" spans="21:22">
      <c r="U7459">
        <v>7417</v>
      </c>
      <c r="V7459" s="197">
        <v>-811.96616947350776</v>
      </c>
    </row>
    <row r="7460" spans="21:22">
      <c r="U7460">
        <v>7418</v>
      </c>
      <c r="V7460" s="197">
        <v>1063.5010383093645</v>
      </c>
    </row>
    <row r="7461" spans="21:22">
      <c r="U7461">
        <v>7419</v>
      </c>
      <c r="V7461" s="197">
        <v>-263.36654860131466</v>
      </c>
    </row>
    <row r="7462" spans="21:22">
      <c r="U7462">
        <v>7420</v>
      </c>
      <c r="V7462" s="197">
        <v>180.03360580155567</v>
      </c>
    </row>
    <row r="7463" spans="21:22">
      <c r="U7463">
        <v>7421</v>
      </c>
      <c r="V7463" s="197">
        <v>746.0485518182486</v>
      </c>
    </row>
    <row r="7464" spans="21:22">
      <c r="U7464">
        <v>7422</v>
      </c>
      <c r="V7464" s="197">
        <v>127.72517405596223</v>
      </c>
    </row>
    <row r="7465" spans="21:22">
      <c r="U7465">
        <v>7423</v>
      </c>
      <c r="V7465" s="197">
        <v>-184.1849377464527</v>
      </c>
    </row>
    <row r="7466" spans="21:22">
      <c r="U7466">
        <v>7424</v>
      </c>
      <c r="V7466" s="197">
        <v>-196.22120773292659</v>
      </c>
    </row>
    <row r="7467" spans="21:22">
      <c r="U7467">
        <v>7425</v>
      </c>
      <c r="V7467" s="197">
        <v>-303.30697861109678</v>
      </c>
    </row>
    <row r="7468" spans="21:22">
      <c r="U7468">
        <v>7426</v>
      </c>
      <c r="V7468" s="197">
        <v>1626.2912584550011</v>
      </c>
    </row>
    <row r="7469" spans="21:22">
      <c r="U7469">
        <v>7427</v>
      </c>
      <c r="V7469" s="197">
        <v>-1089.3410029033787</v>
      </c>
    </row>
    <row r="7470" spans="21:22">
      <c r="U7470">
        <v>7428</v>
      </c>
      <c r="V7470" s="197">
        <v>-1317.9582098413723</v>
      </c>
    </row>
    <row r="7471" spans="21:22">
      <c r="U7471">
        <v>7429</v>
      </c>
      <c r="V7471" s="197">
        <v>737.33247834515441</v>
      </c>
    </row>
    <row r="7472" spans="21:22">
      <c r="U7472">
        <v>7430</v>
      </c>
      <c r="V7472" s="197">
        <v>-979.06464971308878</v>
      </c>
    </row>
    <row r="7473" spans="21:22">
      <c r="U7473">
        <v>7431</v>
      </c>
      <c r="V7473" s="197">
        <v>106.32732368851886</v>
      </c>
    </row>
    <row r="7474" spans="21:22">
      <c r="U7474">
        <v>7432</v>
      </c>
      <c r="V7474" s="197">
        <v>730.82400213942219</v>
      </c>
    </row>
    <row r="7475" spans="21:22">
      <c r="U7475">
        <v>7433</v>
      </c>
      <c r="V7475" s="197">
        <v>1649.1491939748182</v>
      </c>
    </row>
    <row r="7476" spans="21:22">
      <c r="U7476">
        <v>7434</v>
      </c>
      <c r="V7476" s="197">
        <v>-1253.7516473541016</v>
      </c>
    </row>
    <row r="7477" spans="21:22">
      <c r="U7477">
        <v>7435</v>
      </c>
      <c r="V7477" s="197">
        <v>992.9307297924247</v>
      </c>
    </row>
    <row r="7478" spans="21:22">
      <c r="U7478">
        <v>7436</v>
      </c>
      <c r="V7478" s="197">
        <v>1140.0301958384282</v>
      </c>
    </row>
    <row r="7479" spans="21:22">
      <c r="U7479">
        <v>7437</v>
      </c>
      <c r="V7479" s="197">
        <v>-1299.518443147376</v>
      </c>
    </row>
    <row r="7480" spans="21:22">
      <c r="U7480">
        <v>7438</v>
      </c>
      <c r="V7480" s="197">
        <v>-1442.3012973641328</v>
      </c>
    </row>
    <row r="7481" spans="21:22">
      <c r="U7481">
        <v>7439</v>
      </c>
      <c r="V7481" s="197">
        <v>342.38047157204306</v>
      </c>
    </row>
    <row r="7482" spans="21:22">
      <c r="U7482">
        <v>7440</v>
      </c>
      <c r="V7482" s="197">
        <v>1601.1372908098667</v>
      </c>
    </row>
    <row r="7483" spans="21:22">
      <c r="U7483">
        <v>7441</v>
      </c>
      <c r="V7483" s="197">
        <v>1390.1911675053059</v>
      </c>
    </row>
    <row r="7484" spans="21:22">
      <c r="U7484">
        <v>7442</v>
      </c>
      <c r="V7484" s="197">
        <v>1498.9440364519905</v>
      </c>
    </row>
    <row r="7485" spans="21:22">
      <c r="U7485">
        <v>7443</v>
      </c>
      <c r="V7485" s="197">
        <v>1128.1146849963745</v>
      </c>
    </row>
    <row r="7486" spans="21:22">
      <c r="U7486">
        <v>7444</v>
      </c>
      <c r="V7486" s="197">
        <v>637.65114214616915</v>
      </c>
    </row>
    <row r="7487" spans="21:22">
      <c r="U7487">
        <v>7445</v>
      </c>
      <c r="V7487" s="197">
        <v>699.51718465467434</v>
      </c>
    </row>
    <row r="7488" spans="21:22">
      <c r="U7488">
        <v>7446</v>
      </c>
      <c r="V7488" s="197">
        <v>-330.34511455863623</v>
      </c>
    </row>
    <row r="7489" spans="21:22">
      <c r="U7489">
        <v>7447</v>
      </c>
      <c r="V7489" s="197">
        <v>945.87279471643842</v>
      </c>
    </row>
    <row r="7490" spans="21:22">
      <c r="U7490">
        <v>7448</v>
      </c>
      <c r="V7490" s="197">
        <v>2572.6825075179236</v>
      </c>
    </row>
    <row r="7491" spans="21:22">
      <c r="U7491">
        <v>7449</v>
      </c>
      <c r="V7491" s="197">
        <v>-374.21748007565941</v>
      </c>
    </row>
    <row r="7492" spans="21:22">
      <c r="U7492">
        <v>7450</v>
      </c>
      <c r="V7492" s="197">
        <v>1116.2834070238534</v>
      </c>
    </row>
    <row r="7493" spans="21:22">
      <c r="U7493">
        <v>7451</v>
      </c>
      <c r="V7493" s="197">
        <v>258.82860123883415</v>
      </c>
    </row>
    <row r="7494" spans="21:22">
      <c r="U7494">
        <v>7452</v>
      </c>
      <c r="V7494" s="197">
        <v>934.79188637921334</v>
      </c>
    </row>
    <row r="7495" spans="21:22">
      <c r="U7495">
        <v>7453</v>
      </c>
      <c r="V7495" s="197">
        <v>140.57804638946308</v>
      </c>
    </row>
    <row r="7496" spans="21:22">
      <c r="U7496">
        <v>7454</v>
      </c>
      <c r="V7496" s="197">
        <v>73.404885366472413</v>
      </c>
    </row>
    <row r="7497" spans="21:22">
      <c r="U7497">
        <v>7455</v>
      </c>
      <c r="V7497" s="197">
        <v>646.81720973667234</v>
      </c>
    </row>
    <row r="7498" spans="21:22">
      <c r="U7498">
        <v>7456</v>
      </c>
      <c r="V7498" s="197">
        <v>207.03453810220623</v>
      </c>
    </row>
    <row r="7499" spans="21:22">
      <c r="U7499">
        <v>7457</v>
      </c>
      <c r="V7499" s="197">
        <v>106.47039858985897</v>
      </c>
    </row>
    <row r="7500" spans="21:22">
      <c r="U7500">
        <v>7458</v>
      </c>
      <c r="V7500" s="197">
        <v>66.551419747556736</v>
      </c>
    </row>
    <row r="7501" spans="21:22">
      <c r="U7501">
        <v>7459</v>
      </c>
      <c r="V7501" s="197">
        <v>-722.93719430980809</v>
      </c>
    </row>
    <row r="7502" spans="21:22">
      <c r="U7502">
        <v>7460</v>
      </c>
      <c r="V7502" s="197">
        <v>-105.55456314780736</v>
      </c>
    </row>
    <row r="7503" spans="21:22">
      <c r="U7503">
        <v>7461</v>
      </c>
      <c r="V7503" s="197">
        <v>1450.5628336683192</v>
      </c>
    </row>
    <row r="7504" spans="21:22">
      <c r="U7504">
        <v>7462</v>
      </c>
      <c r="V7504" s="197">
        <v>-209.72102675557829</v>
      </c>
    </row>
    <row r="7505" spans="21:22">
      <c r="U7505">
        <v>7463</v>
      </c>
      <c r="V7505" s="197">
        <v>1032.1166800804167</v>
      </c>
    </row>
    <row r="7506" spans="21:22">
      <c r="U7506">
        <v>7464</v>
      </c>
      <c r="V7506" s="197">
        <v>948.45661264886121</v>
      </c>
    </row>
    <row r="7507" spans="21:22">
      <c r="U7507">
        <v>7465</v>
      </c>
      <c r="V7507" s="197">
        <v>-2223.4772424764496</v>
      </c>
    </row>
    <row r="7508" spans="21:22">
      <c r="U7508">
        <v>7466</v>
      </c>
      <c r="V7508" s="197">
        <v>703.80094400619305</v>
      </c>
    </row>
    <row r="7509" spans="21:22">
      <c r="U7509">
        <v>7467</v>
      </c>
      <c r="V7509" s="197">
        <v>1332.1582631152116</v>
      </c>
    </row>
    <row r="7510" spans="21:22">
      <c r="U7510">
        <v>7468</v>
      </c>
      <c r="V7510" s="197">
        <v>227.53838769527457</v>
      </c>
    </row>
    <row r="7511" spans="21:22">
      <c r="U7511">
        <v>7469</v>
      </c>
      <c r="V7511" s="197">
        <v>-778.41399602059323</v>
      </c>
    </row>
    <row r="7512" spans="21:22">
      <c r="U7512">
        <v>7470</v>
      </c>
      <c r="V7512" s="197">
        <v>-2236.5550019231141</v>
      </c>
    </row>
    <row r="7513" spans="21:22">
      <c r="U7513">
        <v>7471</v>
      </c>
      <c r="V7513" s="197">
        <v>-2106.8490111036454</v>
      </c>
    </row>
    <row r="7514" spans="21:22">
      <c r="U7514">
        <v>7472</v>
      </c>
      <c r="V7514" s="197">
        <v>178.66950582484765</v>
      </c>
    </row>
    <row r="7515" spans="21:22">
      <c r="U7515">
        <v>7473</v>
      </c>
      <c r="V7515" s="197">
        <v>1467.4527858714457</v>
      </c>
    </row>
    <row r="7516" spans="21:22">
      <c r="U7516">
        <v>7474</v>
      </c>
      <c r="V7516" s="197">
        <v>1569.5390592334502</v>
      </c>
    </row>
    <row r="7517" spans="21:22">
      <c r="U7517">
        <v>7475</v>
      </c>
      <c r="V7517" s="197">
        <v>700.63897600510018</v>
      </c>
    </row>
    <row r="7518" spans="21:22">
      <c r="U7518">
        <v>7476</v>
      </c>
      <c r="V7518" s="197">
        <v>1000.0449183565593</v>
      </c>
    </row>
    <row r="7519" spans="21:22">
      <c r="U7519">
        <v>7477</v>
      </c>
      <c r="V7519" s="197">
        <v>-1131.960973396614</v>
      </c>
    </row>
    <row r="7520" spans="21:22">
      <c r="U7520">
        <v>7478</v>
      </c>
      <c r="V7520" s="197">
        <v>-477.22950087618545</v>
      </c>
    </row>
    <row r="7521" spans="21:22">
      <c r="U7521">
        <v>7479</v>
      </c>
      <c r="V7521" s="197">
        <v>1046.4157623310525</v>
      </c>
    </row>
    <row r="7522" spans="21:22">
      <c r="U7522">
        <v>7480</v>
      </c>
      <c r="V7522" s="197">
        <v>-1773.6261402957834</v>
      </c>
    </row>
    <row r="7523" spans="21:22">
      <c r="U7523">
        <v>7481</v>
      </c>
      <c r="V7523" s="197">
        <v>1519.8123853050349</v>
      </c>
    </row>
    <row r="7524" spans="21:22">
      <c r="U7524">
        <v>7482</v>
      </c>
      <c r="V7524" s="197">
        <v>445.81306941018295</v>
      </c>
    </row>
    <row r="7525" spans="21:22">
      <c r="U7525">
        <v>7483</v>
      </c>
      <c r="V7525" s="197">
        <v>933.53756585646056</v>
      </c>
    </row>
    <row r="7526" spans="21:22">
      <c r="U7526">
        <v>7484</v>
      </c>
      <c r="V7526" s="197">
        <v>-1213.9786511196742</v>
      </c>
    </row>
    <row r="7527" spans="21:22">
      <c r="U7527">
        <v>7485</v>
      </c>
      <c r="V7527" s="197">
        <v>425.99152446500267</v>
      </c>
    </row>
    <row r="7528" spans="21:22">
      <c r="U7528">
        <v>7486</v>
      </c>
      <c r="V7528" s="197">
        <v>-491.16240016119224</v>
      </c>
    </row>
    <row r="7529" spans="21:22">
      <c r="U7529">
        <v>7487</v>
      </c>
      <c r="V7529" s="197">
        <v>594.13024304080227</v>
      </c>
    </row>
    <row r="7530" spans="21:22">
      <c r="U7530">
        <v>7488</v>
      </c>
      <c r="V7530" s="197">
        <v>-384.12067826305304</v>
      </c>
    </row>
    <row r="7531" spans="21:22">
      <c r="U7531">
        <v>7489</v>
      </c>
      <c r="V7531" s="197">
        <v>-697.87147204062057</v>
      </c>
    </row>
    <row r="7532" spans="21:22">
      <c r="U7532">
        <v>7490</v>
      </c>
      <c r="V7532" s="197">
        <v>-982.86931651018631</v>
      </c>
    </row>
    <row r="7533" spans="21:22">
      <c r="U7533">
        <v>7491</v>
      </c>
      <c r="V7533" s="197">
        <v>-1174.2980885009938</v>
      </c>
    </row>
    <row r="7534" spans="21:22">
      <c r="U7534">
        <v>7492</v>
      </c>
      <c r="V7534" s="197">
        <v>-636.96928914646696</v>
      </c>
    </row>
    <row r="7535" spans="21:22">
      <c r="U7535">
        <v>7493</v>
      </c>
      <c r="V7535" s="197">
        <v>-63.401159474442323</v>
      </c>
    </row>
    <row r="7536" spans="21:22">
      <c r="U7536">
        <v>7494</v>
      </c>
      <c r="V7536" s="197">
        <v>-1442.7301487744746</v>
      </c>
    </row>
    <row r="7537" spans="21:22">
      <c r="U7537">
        <v>7495</v>
      </c>
      <c r="V7537" s="197">
        <v>-450.71301546164517</v>
      </c>
    </row>
    <row r="7538" spans="21:22">
      <c r="U7538">
        <v>7496</v>
      </c>
      <c r="V7538" s="197">
        <v>270.07633947226151</v>
      </c>
    </row>
    <row r="7539" spans="21:22">
      <c r="U7539">
        <v>7497</v>
      </c>
      <c r="V7539" s="197">
        <v>-227.39302019092901</v>
      </c>
    </row>
    <row r="7540" spans="21:22">
      <c r="U7540">
        <v>7498</v>
      </c>
      <c r="V7540" s="197">
        <v>-227.32740062488733</v>
      </c>
    </row>
    <row r="7541" spans="21:22">
      <c r="U7541">
        <v>7499</v>
      </c>
      <c r="V7541" s="197">
        <v>1134.9324251798253</v>
      </c>
    </row>
    <row r="7542" spans="21:22">
      <c r="U7542">
        <v>7500</v>
      </c>
      <c r="V7542" s="197">
        <v>-908.69603654662615</v>
      </c>
    </row>
    <row r="7543" spans="21:22">
      <c r="U7543">
        <v>7501</v>
      </c>
      <c r="V7543" s="197">
        <v>-1435.0975074670284</v>
      </c>
    </row>
    <row r="7544" spans="21:22">
      <c r="U7544">
        <v>7502</v>
      </c>
      <c r="V7544" s="197">
        <v>1258.0859052662968</v>
      </c>
    </row>
    <row r="7545" spans="21:22">
      <c r="U7545">
        <v>7503</v>
      </c>
      <c r="V7545" s="197">
        <v>580.38320160481135</v>
      </c>
    </row>
    <row r="7546" spans="21:22">
      <c r="U7546">
        <v>7504</v>
      </c>
      <c r="V7546" s="197">
        <v>236.09106213679561</v>
      </c>
    </row>
    <row r="7547" spans="21:22">
      <c r="U7547">
        <v>7505</v>
      </c>
      <c r="V7547" s="197">
        <v>113.15735337514084</v>
      </c>
    </row>
    <row r="7548" spans="21:22">
      <c r="U7548">
        <v>7506</v>
      </c>
      <c r="V7548" s="197">
        <v>-898.43285366132613</v>
      </c>
    </row>
    <row r="7549" spans="21:22">
      <c r="U7549">
        <v>7507</v>
      </c>
      <c r="V7549" s="197">
        <v>-1967.6579041650687</v>
      </c>
    </row>
    <row r="7550" spans="21:22">
      <c r="U7550">
        <v>7508</v>
      </c>
      <c r="V7550" s="197">
        <v>700.58087832415345</v>
      </c>
    </row>
    <row r="7551" spans="21:22">
      <c r="U7551">
        <v>7509</v>
      </c>
      <c r="V7551" s="197">
        <v>348.25245349127601</v>
      </c>
    </row>
    <row r="7552" spans="21:22">
      <c r="U7552">
        <v>7510</v>
      </c>
      <c r="V7552" s="197">
        <v>778.16347461401483</v>
      </c>
    </row>
    <row r="7553" spans="21:22">
      <c r="U7553">
        <v>7511</v>
      </c>
      <c r="V7553" s="197">
        <v>353.64121529124304</v>
      </c>
    </row>
    <row r="7554" spans="21:22">
      <c r="U7554">
        <v>7512</v>
      </c>
      <c r="V7554" s="197">
        <v>-431.16941426541945</v>
      </c>
    </row>
    <row r="7555" spans="21:22">
      <c r="U7555">
        <v>7513</v>
      </c>
      <c r="V7555" s="197">
        <v>1911.6906589119133</v>
      </c>
    </row>
    <row r="7556" spans="21:22">
      <c r="U7556">
        <v>7514</v>
      </c>
      <c r="V7556" s="197">
        <v>-397.65070932802729</v>
      </c>
    </row>
    <row r="7557" spans="21:22">
      <c r="U7557">
        <v>7515</v>
      </c>
      <c r="V7557" s="197">
        <v>1755.4889210776491</v>
      </c>
    </row>
    <row r="7558" spans="21:22">
      <c r="U7558">
        <v>7516</v>
      </c>
      <c r="V7558" s="197">
        <v>-987.87021274555332</v>
      </c>
    </row>
    <row r="7559" spans="21:22">
      <c r="U7559">
        <v>7517</v>
      </c>
      <c r="V7559" s="197">
        <v>-341.46997536337011</v>
      </c>
    </row>
    <row r="7560" spans="21:22">
      <c r="U7560">
        <v>7518</v>
      </c>
      <c r="V7560" s="197">
        <v>93.285484653520143</v>
      </c>
    </row>
    <row r="7561" spans="21:22">
      <c r="U7561">
        <v>7519</v>
      </c>
      <c r="V7561" s="197">
        <v>417.62367739938151</v>
      </c>
    </row>
    <row r="7562" spans="21:22">
      <c r="U7562">
        <v>7520</v>
      </c>
      <c r="V7562" s="197">
        <v>253.39893157085365</v>
      </c>
    </row>
    <row r="7563" spans="21:22">
      <c r="U7563">
        <v>7521</v>
      </c>
      <c r="V7563" s="197">
        <v>-1013.4969194084499</v>
      </c>
    </row>
    <row r="7564" spans="21:22">
      <c r="U7564">
        <v>7522</v>
      </c>
      <c r="V7564" s="197">
        <v>-155.27495678841532</v>
      </c>
    </row>
    <row r="7565" spans="21:22">
      <c r="U7565">
        <v>7523</v>
      </c>
      <c r="V7565" s="197">
        <v>1222.5699692856583</v>
      </c>
    </row>
    <row r="7566" spans="21:22">
      <c r="U7566">
        <v>7524</v>
      </c>
      <c r="V7566" s="197">
        <v>1037.8099614819041</v>
      </c>
    </row>
    <row r="7567" spans="21:22">
      <c r="U7567">
        <v>7525</v>
      </c>
      <c r="V7567" s="197">
        <v>785.32767339239285</v>
      </c>
    </row>
    <row r="7568" spans="21:22">
      <c r="U7568">
        <v>7526</v>
      </c>
      <c r="V7568" s="197">
        <v>72.356947154203624</v>
      </c>
    </row>
    <row r="7569" spans="21:22">
      <c r="U7569">
        <v>7527</v>
      </c>
      <c r="V7569" s="197">
        <v>380.5295049033989</v>
      </c>
    </row>
    <row r="7570" spans="21:22">
      <c r="U7570">
        <v>7528</v>
      </c>
      <c r="V7570" s="197">
        <v>-1105.9102037510429</v>
      </c>
    </row>
    <row r="7571" spans="21:22">
      <c r="U7571">
        <v>7529</v>
      </c>
      <c r="V7571" s="197">
        <v>1801.1401239469822</v>
      </c>
    </row>
    <row r="7572" spans="21:22">
      <c r="U7572">
        <v>7530</v>
      </c>
      <c r="V7572" s="197">
        <v>1157.7365321347661</v>
      </c>
    </row>
    <row r="7573" spans="21:22">
      <c r="U7573">
        <v>7531</v>
      </c>
      <c r="V7573" s="197">
        <v>1176.2611674268348</v>
      </c>
    </row>
    <row r="7574" spans="21:22">
      <c r="U7574">
        <v>7532</v>
      </c>
      <c r="V7574" s="197">
        <v>-166.41630227625438</v>
      </c>
    </row>
    <row r="7575" spans="21:22">
      <c r="U7575">
        <v>7533</v>
      </c>
      <c r="V7575" s="197">
        <v>-2025.7957831579058</v>
      </c>
    </row>
    <row r="7576" spans="21:22">
      <c r="U7576">
        <v>7534</v>
      </c>
      <c r="V7576" s="197">
        <v>-727.62569819003284</v>
      </c>
    </row>
    <row r="7577" spans="21:22">
      <c r="U7577">
        <v>7535</v>
      </c>
      <c r="V7577" s="197">
        <v>1573.9859570373576</v>
      </c>
    </row>
    <row r="7578" spans="21:22">
      <c r="U7578">
        <v>7536</v>
      </c>
      <c r="V7578" s="197">
        <v>-188.91889453225548</v>
      </c>
    </row>
    <row r="7579" spans="21:22">
      <c r="U7579">
        <v>7537</v>
      </c>
      <c r="V7579" s="197">
        <v>21.106167860689155</v>
      </c>
    </row>
    <row r="7580" spans="21:22">
      <c r="U7580">
        <v>7538</v>
      </c>
      <c r="V7580" s="197">
        <v>-1338.9057791011926</v>
      </c>
    </row>
    <row r="7581" spans="21:22">
      <c r="U7581">
        <v>7539</v>
      </c>
      <c r="V7581" s="197">
        <v>376.07676542927737</v>
      </c>
    </row>
    <row r="7582" spans="21:22">
      <c r="U7582">
        <v>7540</v>
      </c>
      <c r="V7582" s="197">
        <v>1097.0378006870585</v>
      </c>
    </row>
    <row r="7583" spans="21:22">
      <c r="U7583">
        <v>7541</v>
      </c>
      <c r="V7583" s="197">
        <v>191.25647906158849</v>
      </c>
    </row>
    <row r="7584" spans="21:22">
      <c r="U7584">
        <v>7542</v>
      </c>
      <c r="V7584" s="197">
        <v>-400.78937101394951</v>
      </c>
    </row>
    <row r="7585" spans="21:22">
      <c r="U7585">
        <v>7543</v>
      </c>
      <c r="V7585" s="197">
        <v>638.87555273419753</v>
      </c>
    </row>
    <row r="7586" spans="21:22">
      <c r="U7586">
        <v>7544</v>
      </c>
      <c r="V7586" s="197">
        <v>-1364.2919242036871</v>
      </c>
    </row>
    <row r="7587" spans="21:22">
      <c r="U7587">
        <v>7545</v>
      </c>
      <c r="V7587" s="197">
        <v>-2804.9650227030611</v>
      </c>
    </row>
    <row r="7588" spans="21:22">
      <c r="U7588">
        <v>7546</v>
      </c>
      <c r="V7588" s="197">
        <v>-730.00085056330863</v>
      </c>
    </row>
    <row r="7589" spans="21:22">
      <c r="U7589">
        <v>7547</v>
      </c>
      <c r="V7589" s="197">
        <v>-218.49772990918206</v>
      </c>
    </row>
    <row r="7590" spans="21:22">
      <c r="U7590">
        <v>7548</v>
      </c>
      <c r="V7590" s="197">
        <v>108.72675415160995</v>
      </c>
    </row>
    <row r="7591" spans="21:22">
      <c r="U7591">
        <v>7549</v>
      </c>
      <c r="V7591" s="197">
        <v>794.45189124450053</v>
      </c>
    </row>
    <row r="7592" spans="21:22">
      <c r="U7592">
        <v>7550</v>
      </c>
      <c r="V7592" s="197">
        <v>1036.2620835750045</v>
      </c>
    </row>
    <row r="7593" spans="21:22">
      <c r="U7593">
        <v>7551</v>
      </c>
      <c r="V7593" s="197">
        <v>-329.41198990317577</v>
      </c>
    </row>
    <row r="7594" spans="21:22">
      <c r="U7594">
        <v>7552</v>
      </c>
      <c r="V7594" s="197">
        <v>1353.802020172745</v>
      </c>
    </row>
    <row r="7595" spans="21:22">
      <c r="U7595">
        <v>7553</v>
      </c>
      <c r="V7595" s="197">
        <v>1223.7342542903768</v>
      </c>
    </row>
    <row r="7596" spans="21:22">
      <c r="U7596">
        <v>7554</v>
      </c>
      <c r="V7596" s="197">
        <v>-906.01952900295396</v>
      </c>
    </row>
    <row r="7597" spans="21:22">
      <c r="U7597">
        <v>7555</v>
      </c>
      <c r="V7597" s="197">
        <v>133.44366802151438</v>
      </c>
    </row>
    <row r="7598" spans="21:22">
      <c r="U7598">
        <v>7556</v>
      </c>
      <c r="V7598" s="197">
        <v>199.75601853824855</v>
      </c>
    </row>
    <row r="7599" spans="21:22">
      <c r="U7599">
        <v>7557</v>
      </c>
      <c r="V7599" s="197">
        <v>-1048.8300616948561</v>
      </c>
    </row>
    <row r="7600" spans="21:22">
      <c r="U7600">
        <v>7558</v>
      </c>
      <c r="V7600" s="197">
        <v>997.66274537504842</v>
      </c>
    </row>
    <row r="7601" spans="21:22">
      <c r="U7601">
        <v>7559</v>
      </c>
      <c r="V7601" s="197">
        <v>434.63747333799148</v>
      </c>
    </row>
    <row r="7602" spans="21:22">
      <c r="U7602">
        <v>7560</v>
      </c>
      <c r="V7602" s="197">
        <v>634.66689006387742</v>
      </c>
    </row>
    <row r="7603" spans="21:22">
      <c r="U7603">
        <v>7561</v>
      </c>
      <c r="V7603" s="197">
        <v>861.31438165899749</v>
      </c>
    </row>
    <row r="7604" spans="21:22">
      <c r="U7604">
        <v>7562</v>
      </c>
      <c r="V7604" s="197">
        <v>771.76592875451843</v>
      </c>
    </row>
    <row r="7605" spans="21:22">
      <c r="U7605">
        <v>7563</v>
      </c>
      <c r="V7605" s="197">
        <v>-352.23332487869135</v>
      </c>
    </row>
    <row r="7606" spans="21:22">
      <c r="U7606">
        <v>7564</v>
      </c>
      <c r="V7606" s="197">
        <v>-554.82875135442669</v>
      </c>
    </row>
    <row r="7607" spans="21:22">
      <c r="U7607">
        <v>7565</v>
      </c>
      <c r="V7607" s="197">
        <v>-445.76519280014787</v>
      </c>
    </row>
    <row r="7608" spans="21:22">
      <c r="U7608">
        <v>7566</v>
      </c>
      <c r="V7608" s="197">
        <v>-0.176929160713172</v>
      </c>
    </row>
    <row r="7609" spans="21:22">
      <c r="U7609">
        <v>7567</v>
      </c>
      <c r="V7609" s="197">
        <v>-733.86376318957741</v>
      </c>
    </row>
    <row r="7610" spans="21:22">
      <c r="U7610">
        <v>7568</v>
      </c>
      <c r="V7610" s="197">
        <v>-1063.8975574582025</v>
      </c>
    </row>
    <row r="7611" spans="21:22">
      <c r="U7611">
        <v>7569</v>
      </c>
      <c r="V7611" s="197">
        <v>-876.1864631576052</v>
      </c>
    </row>
    <row r="7612" spans="21:22">
      <c r="U7612">
        <v>7570</v>
      </c>
      <c r="V7612" s="197">
        <v>734.25580203158211</v>
      </c>
    </row>
    <row r="7613" spans="21:22">
      <c r="U7613">
        <v>7571</v>
      </c>
      <c r="V7613" s="197">
        <v>-113.47853947444474</v>
      </c>
    </row>
    <row r="7614" spans="21:22">
      <c r="U7614">
        <v>7572</v>
      </c>
      <c r="V7614" s="197">
        <v>65.976025262107783</v>
      </c>
    </row>
    <row r="7615" spans="21:22">
      <c r="U7615">
        <v>7573</v>
      </c>
      <c r="V7615" s="197">
        <v>-150.27164332334712</v>
      </c>
    </row>
    <row r="7616" spans="21:22">
      <c r="U7616">
        <v>7574</v>
      </c>
      <c r="V7616" s="197">
        <v>403.08263399600912</v>
      </c>
    </row>
    <row r="7617" spans="21:22">
      <c r="U7617">
        <v>7575</v>
      </c>
      <c r="V7617" s="197">
        <v>506.01136184190585</v>
      </c>
    </row>
    <row r="7618" spans="21:22">
      <c r="U7618">
        <v>7576</v>
      </c>
      <c r="V7618" s="197">
        <v>-270.91156707457787</v>
      </c>
    </row>
    <row r="7619" spans="21:22">
      <c r="U7619">
        <v>7577</v>
      </c>
      <c r="V7619" s="197">
        <v>-101.1264139226908</v>
      </c>
    </row>
    <row r="7620" spans="21:22">
      <c r="U7620">
        <v>7578</v>
      </c>
      <c r="V7620" s="197">
        <v>1397.8653169709778</v>
      </c>
    </row>
    <row r="7621" spans="21:22">
      <c r="U7621">
        <v>7579</v>
      </c>
      <c r="V7621" s="197">
        <v>-745.49576076946573</v>
      </c>
    </row>
    <row r="7622" spans="21:22">
      <c r="U7622">
        <v>7580</v>
      </c>
      <c r="V7622" s="197">
        <v>99.316515740604615</v>
      </c>
    </row>
    <row r="7623" spans="21:22">
      <c r="U7623">
        <v>7581</v>
      </c>
      <c r="V7623" s="197">
        <v>-1199.050558863813</v>
      </c>
    </row>
    <row r="7624" spans="21:22">
      <c r="U7624">
        <v>7582</v>
      </c>
      <c r="V7624" s="197">
        <v>-707.53864276893296</v>
      </c>
    </row>
    <row r="7625" spans="21:22">
      <c r="U7625">
        <v>7583</v>
      </c>
      <c r="V7625" s="197">
        <v>201.97288707652984</v>
      </c>
    </row>
    <row r="7626" spans="21:22">
      <c r="U7626">
        <v>7584</v>
      </c>
      <c r="V7626" s="197">
        <v>1045.902274117987</v>
      </c>
    </row>
    <row r="7627" spans="21:22">
      <c r="U7627">
        <v>7585</v>
      </c>
      <c r="V7627" s="197">
        <v>672.42674828720442</v>
      </c>
    </row>
    <row r="7628" spans="21:22">
      <c r="U7628">
        <v>7586</v>
      </c>
      <c r="V7628" s="197">
        <v>-475.24770127700248</v>
      </c>
    </row>
    <row r="7629" spans="21:22">
      <c r="U7629">
        <v>7587</v>
      </c>
      <c r="V7629" s="197">
        <v>-204.83953276749963</v>
      </c>
    </row>
    <row r="7630" spans="21:22">
      <c r="U7630">
        <v>7588</v>
      </c>
      <c r="V7630" s="197">
        <v>69.439100402793969</v>
      </c>
    </row>
    <row r="7631" spans="21:22">
      <c r="U7631">
        <v>7589</v>
      </c>
      <c r="V7631" s="197">
        <v>1128.5752020397663</v>
      </c>
    </row>
    <row r="7632" spans="21:22">
      <c r="U7632">
        <v>7590</v>
      </c>
      <c r="V7632" s="197">
        <v>404.71873490620646</v>
      </c>
    </row>
    <row r="7633" spans="21:22">
      <c r="U7633">
        <v>7591</v>
      </c>
      <c r="V7633" s="197">
        <v>469.95891720377904</v>
      </c>
    </row>
    <row r="7634" spans="21:22">
      <c r="U7634">
        <v>7592</v>
      </c>
      <c r="V7634" s="197">
        <v>704.14118292362036</v>
      </c>
    </row>
    <row r="7635" spans="21:22">
      <c r="U7635">
        <v>7593</v>
      </c>
      <c r="V7635" s="197">
        <v>410.15079963188589</v>
      </c>
    </row>
    <row r="7636" spans="21:22">
      <c r="U7636">
        <v>7594</v>
      </c>
      <c r="V7636" s="197">
        <v>-770.04236060518951</v>
      </c>
    </row>
    <row r="7637" spans="21:22">
      <c r="U7637">
        <v>7595</v>
      </c>
      <c r="V7637" s="197">
        <v>-970.2158142184478</v>
      </c>
    </row>
    <row r="7638" spans="21:22">
      <c r="U7638">
        <v>7596</v>
      </c>
      <c r="V7638" s="197">
        <v>-1187.6415238919681</v>
      </c>
    </row>
    <row r="7639" spans="21:22">
      <c r="U7639">
        <v>7597</v>
      </c>
      <c r="V7639" s="197">
        <v>458.08139165323945</v>
      </c>
    </row>
    <row r="7640" spans="21:22">
      <c r="U7640">
        <v>7598</v>
      </c>
      <c r="V7640" s="197">
        <v>439.30358266684453</v>
      </c>
    </row>
    <row r="7641" spans="21:22">
      <c r="U7641">
        <v>7599</v>
      </c>
      <c r="V7641" s="197">
        <v>402.99225705271795</v>
      </c>
    </row>
    <row r="7642" spans="21:22">
      <c r="U7642">
        <v>7600</v>
      </c>
      <c r="V7642" s="197">
        <v>-614.00986420236245</v>
      </c>
    </row>
    <row r="7643" spans="21:22">
      <c r="U7643">
        <v>7601</v>
      </c>
      <c r="V7643" s="197">
        <v>1572.4738756858344</v>
      </c>
    </row>
    <row r="7644" spans="21:22">
      <c r="U7644">
        <v>7602</v>
      </c>
      <c r="V7644" s="197">
        <v>355.65641119921168</v>
      </c>
    </row>
    <row r="7645" spans="21:22">
      <c r="U7645">
        <v>7603</v>
      </c>
      <c r="V7645" s="197">
        <v>249.6711775670299</v>
      </c>
    </row>
    <row r="7646" spans="21:22">
      <c r="U7646">
        <v>7604</v>
      </c>
      <c r="V7646" s="197">
        <v>955.74486107806138</v>
      </c>
    </row>
    <row r="7647" spans="21:22">
      <c r="U7647">
        <v>7605</v>
      </c>
      <c r="V7647" s="197">
        <v>1601.9227295429305</v>
      </c>
    </row>
    <row r="7648" spans="21:22">
      <c r="U7648">
        <v>7606</v>
      </c>
      <c r="V7648" s="197">
        <v>-728.9749631187301</v>
      </c>
    </row>
    <row r="7649" spans="21:22">
      <c r="U7649">
        <v>7607</v>
      </c>
      <c r="V7649" s="197">
        <v>-948.78557413446333</v>
      </c>
    </row>
    <row r="7650" spans="21:22">
      <c r="U7650">
        <v>7608</v>
      </c>
      <c r="V7650" s="197">
        <v>-1170.7281290595906</v>
      </c>
    </row>
    <row r="7651" spans="21:22">
      <c r="U7651">
        <v>7609</v>
      </c>
      <c r="V7651" s="197">
        <v>162.96630009683017</v>
      </c>
    </row>
    <row r="7652" spans="21:22">
      <c r="U7652">
        <v>7610</v>
      </c>
      <c r="V7652" s="197">
        <v>247.54932286305242</v>
      </c>
    </row>
    <row r="7653" spans="21:22">
      <c r="U7653">
        <v>7611</v>
      </c>
      <c r="V7653" s="197">
        <v>940.49444638312161</v>
      </c>
    </row>
    <row r="7654" spans="21:22">
      <c r="U7654">
        <v>7612</v>
      </c>
      <c r="V7654" s="197">
        <v>-69.357951896428574</v>
      </c>
    </row>
    <row r="7655" spans="21:22">
      <c r="U7655">
        <v>7613</v>
      </c>
      <c r="V7655" s="197">
        <v>-594.7537507217221</v>
      </c>
    </row>
    <row r="7656" spans="21:22">
      <c r="U7656">
        <v>7614</v>
      </c>
      <c r="V7656" s="197">
        <v>-556.59984292245213</v>
      </c>
    </row>
    <row r="7657" spans="21:22">
      <c r="U7657">
        <v>7615</v>
      </c>
      <c r="V7657" s="197">
        <v>-1865.7681970304595</v>
      </c>
    </row>
    <row r="7658" spans="21:22">
      <c r="U7658">
        <v>7616</v>
      </c>
      <c r="V7658" s="197">
        <v>2997.0847475143887</v>
      </c>
    </row>
    <row r="7659" spans="21:22">
      <c r="U7659">
        <v>7617</v>
      </c>
      <c r="V7659" s="197">
        <v>581.04848550324425</v>
      </c>
    </row>
    <row r="7660" spans="21:22">
      <c r="U7660">
        <v>7618</v>
      </c>
      <c r="V7660" s="197">
        <v>377.72937546677531</v>
      </c>
    </row>
    <row r="7661" spans="21:22">
      <c r="U7661">
        <v>7619</v>
      </c>
      <c r="V7661" s="197">
        <v>-276.57454330868688</v>
      </c>
    </row>
    <row r="7662" spans="21:22">
      <c r="U7662">
        <v>7620</v>
      </c>
      <c r="V7662" s="197">
        <v>-92.343849348731482</v>
      </c>
    </row>
    <row r="7663" spans="21:22">
      <c r="U7663">
        <v>7621</v>
      </c>
      <c r="V7663" s="197">
        <v>-1827.0322045212772</v>
      </c>
    </row>
    <row r="7664" spans="21:22">
      <c r="U7664">
        <v>7622</v>
      </c>
      <c r="V7664" s="197">
        <v>227.60078508703313</v>
      </c>
    </row>
    <row r="7665" spans="21:22">
      <c r="U7665">
        <v>7623</v>
      </c>
      <c r="V7665" s="197">
        <v>301.84614611799839</v>
      </c>
    </row>
    <row r="7666" spans="21:22">
      <c r="U7666">
        <v>7624</v>
      </c>
      <c r="V7666" s="197">
        <v>-1069.7197321961353</v>
      </c>
    </row>
    <row r="7667" spans="21:22">
      <c r="U7667">
        <v>7625</v>
      </c>
      <c r="V7667" s="197">
        <v>-30.766869234631542</v>
      </c>
    </row>
    <row r="7668" spans="21:22">
      <c r="U7668">
        <v>7626</v>
      </c>
      <c r="V7668" s="197">
        <v>-6.8570178812754818</v>
      </c>
    </row>
    <row r="7669" spans="21:22">
      <c r="U7669">
        <v>7627</v>
      </c>
      <c r="V7669" s="197">
        <v>104.25330298807155</v>
      </c>
    </row>
    <row r="7670" spans="21:22">
      <c r="U7670">
        <v>7628</v>
      </c>
      <c r="V7670" s="197">
        <v>740.92068614691925</v>
      </c>
    </row>
    <row r="7671" spans="21:22">
      <c r="U7671">
        <v>7629</v>
      </c>
      <c r="V7671" s="197">
        <v>598.37972371536921</v>
      </c>
    </row>
    <row r="7672" spans="21:22">
      <c r="U7672">
        <v>7630</v>
      </c>
      <c r="V7672" s="197">
        <v>86.264478209677065</v>
      </c>
    </row>
    <row r="7673" spans="21:22">
      <c r="U7673">
        <v>7631</v>
      </c>
      <c r="V7673" s="197">
        <v>1144.7563291235163</v>
      </c>
    </row>
    <row r="7674" spans="21:22">
      <c r="U7674">
        <v>7632</v>
      </c>
      <c r="V7674" s="197">
        <v>609.65105626249067</v>
      </c>
    </row>
    <row r="7675" spans="21:22">
      <c r="U7675">
        <v>7633</v>
      </c>
      <c r="V7675" s="197">
        <v>-938.86363785554909</v>
      </c>
    </row>
    <row r="7676" spans="21:22">
      <c r="U7676">
        <v>7634</v>
      </c>
      <c r="V7676" s="197">
        <v>-371.12344320448267</v>
      </c>
    </row>
    <row r="7677" spans="21:22">
      <c r="U7677">
        <v>7635</v>
      </c>
      <c r="V7677" s="197">
        <v>-624.60854072867801</v>
      </c>
    </row>
    <row r="7678" spans="21:22">
      <c r="U7678">
        <v>7636</v>
      </c>
      <c r="V7678" s="197">
        <v>1975.0410695639541</v>
      </c>
    </row>
    <row r="7679" spans="21:22">
      <c r="U7679">
        <v>7637</v>
      </c>
      <c r="V7679" s="197">
        <v>-2091.5311216051973</v>
      </c>
    </row>
    <row r="7680" spans="21:22">
      <c r="U7680">
        <v>7638</v>
      </c>
      <c r="V7680" s="197">
        <v>976.10137522173704</v>
      </c>
    </row>
    <row r="7681" spans="21:22">
      <c r="U7681">
        <v>7639</v>
      </c>
      <c r="V7681" s="197">
        <v>806.88931497016256</v>
      </c>
    </row>
    <row r="7682" spans="21:22">
      <c r="U7682">
        <v>7640</v>
      </c>
      <c r="V7682" s="197">
        <v>-197.24057419112836</v>
      </c>
    </row>
    <row r="7683" spans="21:22">
      <c r="U7683">
        <v>7641</v>
      </c>
      <c r="V7683" s="197">
        <v>1236.178620566807</v>
      </c>
    </row>
    <row r="7684" spans="21:22">
      <c r="U7684">
        <v>7642</v>
      </c>
      <c r="V7684" s="197">
        <v>807.58011407115214</v>
      </c>
    </row>
    <row r="7685" spans="21:22">
      <c r="U7685">
        <v>7643</v>
      </c>
      <c r="V7685" s="197">
        <v>-741.15190606219039</v>
      </c>
    </row>
    <row r="7686" spans="21:22">
      <c r="U7686">
        <v>7644</v>
      </c>
      <c r="V7686" s="197">
        <v>-628.69667071419804</v>
      </c>
    </row>
    <row r="7687" spans="21:22">
      <c r="U7687">
        <v>7645</v>
      </c>
      <c r="V7687" s="197">
        <v>571.08204386030184</v>
      </c>
    </row>
    <row r="7688" spans="21:22">
      <c r="U7688">
        <v>7646</v>
      </c>
      <c r="V7688" s="197">
        <v>-188.19437376554225</v>
      </c>
    </row>
    <row r="7689" spans="21:22">
      <c r="U7689">
        <v>7647</v>
      </c>
      <c r="V7689" s="197">
        <v>979.41383059824193</v>
      </c>
    </row>
    <row r="7690" spans="21:22">
      <c r="U7690">
        <v>7648</v>
      </c>
      <c r="V7690" s="197">
        <v>-1517.2932528113831</v>
      </c>
    </row>
    <row r="7691" spans="21:22">
      <c r="U7691">
        <v>7649</v>
      </c>
      <c r="V7691" s="197">
        <v>750.26187831532411</v>
      </c>
    </row>
    <row r="7692" spans="21:22">
      <c r="U7692">
        <v>7650</v>
      </c>
      <c r="V7692" s="197">
        <v>286.26451575144915</v>
      </c>
    </row>
    <row r="7693" spans="21:22">
      <c r="U7693">
        <v>7651</v>
      </c>
      <c r="V7693" s="197">
        <v>347.90202644641295</v>
      </c>
    </row>
    <row r="7694" spans="21:22">
      <c r="U7694">
        <v>7652</v>
      </c>
      <c r="V7694" s="197">
        <v>-38.04178719589396</v>
      </c>
    </row>
    <row r="7695" spans="21:22">
      <c r="U7695">
        <v>7653</v>
      </c>
      <c r="V7695" s="197">
        <v>-403.13641195596983</v>
      </c>
    </row>
    <row r="7696" spans="21:22">
      <c r="U7696">
        <v>7654</v>
      </c>
      <c r="V7696" s="197">
        <v>-217.44797509852958</v>
      </c>
    </row>
    <row r="7697" spans="21:22">
      <c r="U7697">
        <v>7655</v>
      </c>
      <c r="V7697" s="197">
        <v>935.72745259054022</v>
      </c>
    </row>
    <row r="7698" spans="21:22">
      <c r="U7698">
        <v>7656</v>
      </c>
      <c r="V7698" s="197">
        <v>-282.35919709210958</v>
      </c>
    </row>
    <row r="7699" spans="21:22">
      <c r="U7699">
        <v>7657</v>
      </c>
      <c r="V7699" s="197">
        <v>-532.67529571404657</v>
      </c>
    </row>
    <row r="7700" spans="21:22">
      <c r="U7700">
        <v>7658</v>
      </c>
      <c r="V7700" s="197">
        <v>367.23319504658951</v>
      </c>
    </row>
    <row r="7701" spans="21:22">
      <c r="U7701">
        <v>7659</v>
      </c>
      <c r="V7701" s="197">
        <v>-220.61590096223989</v>
      </c>
    </row>
    <row r="7702" spans="21:22">
      <c r="U7702">
        <v>7660</v>
      </c>
      <c r="V7702" s="197">
        <v>-397.21512262616619</v>
      </c>
    </row>
    <row r="7703" spans="21:22">
      <c r="U7703">
        <v>7661</v>
      </c>
      <c r="V7703" s="197">
        <v>-383.33730569611106</v>
      </c>
    </row>
    <row r="7704" spans="21:22">
      <c r="U7704">
        <v>7662</v>
      </c>
      <c r="V7704" s="197">
        <v>1.8779037212951266</v>
      </c>
    </row>
    <row r="7705" spans="21:22">
      <c r="U7705">
        <v>7663</v>
      </c>
      <c r="V7705" s="197">
        <v>-765.38034126546677</v>
      </c>
    </row>
    <row r="7706" spans="21:22">
      <c r="U7706">
        <v>7664</v>
      </c>
      <c r="V7706" s="197">
        <v>1809.0256604388019</v>
      </c>
    </row>
    <row r="7707" spans="21:22">
      <c r="U7707">
        <v>7665</v>
      </c>
      <c r="V7707" s="197">
        <v>1552.6095971094412</v>
      </c>
    </row>
    <row r="7708" spans="21:22">
      <c r="U7708">
        <v>7666</v>
      </c>
      <c r="V7708" s="197">
        <v>171.92526192114349</v>
      </c>
    </row>
    <row r="7709" spans="21:22">
      <c r="U7709">
        <v>7667</v>
      </c>
      <c r="V7709" s="197">
        <v>1261.5886535723287</v>
      </c>
    </row>
    <row r="7710" spans="21:22">
      <c r="U7710">
        <v>7668</v>
      </c>
      <c r="V7710" s="197">
        <v>244.993941740445</v>
      </c>
    </row>
    <row r="7711" spans="21:22">
      <c r="U7711">
        <v>7669</v>
      </c>
      <c r="V7711" s="197">
        <v>221.60607896337899</v>
      </c>
    </row>
    <row r="7712" spans="21:22">
      <c r="U7712">
        <v>7670</v>
      </c>
      <c r="V7712" s="197">
        <v>251.06337444259898</v>
      </c>
    </row>
    <row r="7713" spans="21:22">
      <c r="U7713">
        <v>7671</v>
      </c>
      <c r="V7713" s="197">
        <v>1303.1149712751439</v>
      </c>
    </row>
    <row r="7714" spans="21:22">
      <c r="U7714">
        <v>7672</v>
      </c>
      <c r="V7714" s="197">
        <v>199.78834416456058</v>
      </c>
    </row>
    <row r="7715" spans="21:22">
      <c r="U7715">
        <v>7673</v>
      </c>
      <c r="V7715" s="197">
        <v>215.46963123433068</v>
      </c>
    </row>
    <row r="7716" spans="21:22">
      <c r="U7716">
        <v>7674</v>
      </c>
      <c r="V7716" s="197">
        <v>-434.42045573284287</v>
      </c>
    </row>
    <row r="7717" spans="21:22">
      <c r="U7717">
        <v>7675</v>
      </c>
      <c r="V7717" s="197">
        <v>95.83907545663601</v>
      </c>
    </row>
    <row r="7718" spans="21:22">
      <c r="U7718">
        <v>7676</v>
      </c>
      <c r="V7718" s="197">
        <v>1761.3250088820578</v>
      </c>
    </row>
    <row r="7719" spans="21:22">
      <c r="U7719">
        <v>7677</v>
      </c>
      <c r="V7719" s="197">
        <v>40.373291253295562</v>
      </c>
    </row>
    <row r="7720" spans="21:22">
      <c r="U7720">
        <v>7678</v>
      </c>
      <c r="V7720" s="197">
        <v>58.211388730497816</v>
      </c>
    </row>
    <row r="7721" spans="21:22">
      <c r="U7721">
        <v>7679</v>
      </c>
      <c r="V7721" s="197">
        <v>-579.19201045231353</v>
      </c>
    </row>
    <row r="7722" spans="21:22">
      <c r="U7722">
        <v>7680</v>
      </c>
      <c r="V7722" s="197">
        <v>-235.314594274797</v>
      </c>
    </row>
    <row r="7723" spans="21:22">
      <c r="U7723">
        <v>7681</v>
      </c>
      <c r="V7723" s="197">
        <v>726.54901134371312</v>
      </c>
    </row>
    <row r="7724" spans="21:22">
      <c r="U7724">
        <v>7682</v>
      </c>
      <c r="V7724" s="197">
        <v>-175.67640528003056</v>
      </c>
    </row>
    <row r="7725" spans="21:22">
      <c r="U7725">
        <v>7683</v>
      </c>
      <c r="V7725" s="197">
        <v>148.97127158752119</v>
      </c>
    </row>
    <row r="7726" spans="21:22">
      <c r="U7726">
        <v>7684</v>
      </c>
      <c r="V7726" s="197">
        <v>708.24066042048412</v>
      </c>
    </row>
    <row r="7727" spans="21:22">
      <c r="U7727">
        <v>7685</v>
      </c>
      <c r="V7727" s="197">
        <v>125.53961582190678</v>
      </c>
    </row>
    <row r="7728" spans="21:22">
      <c r="U7728">
        <v>7686</v>
      </c>
      <c r="V7728" s="197">
        <v>-509.29340646291513</v>
      </c>
    </row>
    <row r="7729" spans="21:22">
      <c r="U7729">
        <v>7687</v>
      </c>
      <c r="V7729" s="197">
        <v>1159.0531021732393</v>
      </c>
    </row>
    <row r="7730" spans="21:22">
      <c r="U7730">
        <v>7688</v>
      </c>
      <c r="V7730" s="197">
        <v>1948.7082739811731</v>
      </c>
    </row>
    <row r="7731" spans="21:22">
      <c r="U7731">
        <v>7689</v>
      </c>
      <c r="V7731" s="197">
        <v>-451.22775659490611</v>
      </c>
    </row>
    <row r="7732" spans="21:22">
      <c r="U7732">
        <v>7690</v>
      </c>
      <c r="V7732" s="197">
        <v>404.76123092400087</v>
      </c>
    </row>
    <row r="7733" spans="21:22">
      <c r="U7733">
        <v>7691</v>
      </c>
      <c r="V7733" s="197">
        <v>-1169.3408579543111</v>
      </c>
    </row>
    <row r="7734" spans="21:22">
      <c r="U7734">
        <v>7692</v>
      </c>
      <c r="V7734" s="197">
        <v>-1052.4105898345085</v>
      </c>
    </row>
    <row r="7735" spans="21:22">
      <c r="U7735">
        <v>7693</v>
      </c>
      <c r="V7735" s="197">
        <v>-302.76459386042751</v>
      </c>
    </row>
    <row r="7736" spans="21:22">
      <c r="U7736">
        <v>7694</v>
      </c>
      <c r="V7736" s="197">
        <v>-852.51048740050055</v>
      </c>
    </row>
    <row r="7737" spans="21:22">
      <c r="U7737">
        <v>7695</v>
      </c>
      <c r="V7737" s="197">
        <v>839.6843525500351</v>
      </c>
    </row>
    <row r="7738" spans="21:22">
      <c r="U7738">
        <v>7696</v>
      </c>
      <c r="V7738" s="197">
        <v>-173.34137475919101</v>
      </c>
    </row>
    <row r="7739" spans="21:22">
      <c r="U7739">
        <v>7697</v>
      </c>
      <c r="V7739" s="197">
        <v>-397.0984175382618</v>
      </c>
    </row>
    <row r="7740" spans="21:22">
      <c r="U7740">
        <v>7698</v>
      </c>
      <c r="V7740" s="197">
        <v>-139.02930449403718</v>
      </c>
    </row>
    <row r="7741" spans="21:22">
      <c r="U7741">
        <v>7699</v>
      </c>
      <c r="V7741" s="197">
        <v>-2752.7418803781748</v>
      </c>
    </row>
    <row r="7742" spans="21:22">
      <c r="U7742">
        <v>7700</v>
      </c>
      <c r="V7742" s="197">
        <v>139.26142108474232</v>
      </c>
    </row>
    <row r="7743" spans="21:22">
      <c r="U7743">
        <v>7701</v>
      </c>
      <c r="V7743" s="197">
        <v>-494.94788775145167</v>
      </c>
    </row>
    <row r="7744" spans="21:22">
      <c r="U7744">
        <v>7702</v>
      </c>
      <c r="V7744" s="197">
        <v>-981.42083609775705</v>
      </c>
    </row>
    <row r="7745" spans="21:22">
      <c r="U7745">
        <v>7703</v>
      </c>
      <c r="V7745" s="197">
        <v>1020.1518983041649</v>
      </c>
    </row>
    <row r="7746" spans="21:22">
      <c r="U7746">
        <v>7704</v>
      </c>
      <c r="V7746" s="197">
        <v>-1330.4043224439013</v>
      </c>
    </row>
    <row r="7747" spans="21:22">
      <c r="U7747">
        <v>7705</v>
      </c>
      <c r="V7747" s="197">
        <v>918.95047916905514</v>
      </c>
    </row>
    <row r="7748" spans="21:22">
      <c r="U7748">
        <v>7706</v>
      </c>
      <c r="V7748" s="197">
        <v>949.49243461546689</v>
      </c>
    </row>
    <row r="7749" spans="21:22">
      <c r="U7749">
        <v>7707</v>
      </c>
      <c r="V7749" s="197">
        <v>616.32369672724758</v>
      </c>
    </row>
    <row r="7750" spans="21:22">
      <c r="U7750">
        <v>7708</v>
      </c>
      <c r="V7750" s="197">
        <v>-1945.9820345096191</v>
      </c>
    </row>
    <row r="7751" spans="21:22">
      <c r="U7751">
        <v>7709</v>
      </c>
      <c r="V7751" s="197">
        <v>34.162747180315435</v>
      </c>
    </row>
    <row r="7752" spans="21:22">
      <c r="U7752">
        <v>7710</v>
      </c>
      <c r="V7752" s="197">
        <v>722.46245011616588</v>
      </c>
    </row>
    <row r="7753" spans="21:22">
      <c r="U7753">
        <v>7711</v>
      </c>
      <c r="V7753" s="197">
        <v>927.60098184226968</v>
      </c>
    </row>
    <row r="7754" spans="21:22">
      <c r="U7754">
        <v>7712</v>
      </c>
      <c r="V7754" s="197">
        <v>-445.595335288841</v>
      </c>
    </row>
    <row r="7755" spans="21:22">
      <c r="U7755">
        <v>7713</v>
      </c>
      <c r="V7755" s="197">
        <v>-178.61015940422021</v>
      </c>
    </row>
    <row r="7756" spans="21:22">
      <c r="U7756">
        <v>7714</v>
      </c>
      <c r="V7756" s="197">
        <v>-608.57775672536286</v>
      </c>
    </row>
    <row r="7757" spans="21:22">
      <c r="U7757">
        <v>7715</v>
      </c>
      <c r="V7757" s="197">
        <v>-1974.4834977247867</v>
      </c>
    </row>
    <row r="7758" spans="21:22">
      <c r="U7758">
        <v>7716</v>
      </c>
      <c r="V7758" s="197">
        <v>448.12252941804923</v>
      </c>
    </row>
    <row r="7759" spans="21:22">
      <c r="U7759">
        <v>7717</v>
      </c>
      <c r="V7759" s="197">
        <v>-667.62928943293809</v>
      </c>
    </row>
    <row r="7760" spans="21:22">
      <c r="U7760">
        <v>7718</v>
      </c>
      <c r="V7760" s="197">
        <v>-1621.0461325233478</v>
      </c>
    </row>
    <row r="7761" spans="21:22">
      <c r="U7761">
        <v>7719</v>
      </c>
      <c r="V7761" s="197">
        <v>-34.764098399252276</v>
      </c>
    </row>
    <row r="7762" spans="21:22">
      <c r="U7762">
        <v>7720</v>
      </c>
      <c r="V7762" s="197">
        <v>-308.39880439082469</v>
      </c>
    </row>
    <row r="7763" spans="21:22">
      <c r="U7763">
        <v>7721</v>
      </c>
      <c r="V7763" s="197">
        <v>980.85846699502463</v>
      </c>
    </row>
    <row r="7764" spans="21:22">
      <c r="U7764">
        <v>7722</v>
      </c>
      <c r="V7764" s="197">
        <v>-136.4025557507845</v>
      </c>
    </row>
    <row r="7765" spans="21:22">
      <c r="U7765">
        <v>7723</v>
      </c>
      <c r="V7765" s="197">
        <v>60.246998460052247</v>
      </c>
    </row>
    <row r="7766" spans="21:22">
      <c r="U7766">
        <v>7724</v>
      </c>
      <c r="V7766" s="197">
        <v>-838.2429172559664</v>
      </c>
    </row>
    <row r="7767" spans="21:22">
      <c r="U7767">
        <v>7725</v>
      </c>
      <c r="V7767" s="197">
        <v>719.56754316620641</v>
      </c>
    </row>
    <row r="7768" spans="21:22">
      <c r="U7768">
        <v>7726</v>
      </c>
      <c r="V7768" s="197">
        <v>944.04466805748962</v>
      </c>
    </row>
    <row r="7769" spans="21:22">
      <c r="U7769">
        <v>7727</v>
      </c>
      <c r="V7769" s="197">
        <v>14.673886232102348</v>
      </c>
    </row>
    <row r="7770" spans="21:22">
      <c r="U7770">
        <v>7728</v>
      </c>
      <c r="V7770" s="197">
        <v>1153.4623074236924</v>
      </c>
    </row>
    <row r="7771" spans="21:22">
      <c r="U7771">
        <v>7729</v>
      </c>
      <c r="V7771" s="197">
        <v>1656.254262032877</v>
      </c>
    </row>
    <row r="7772" spans="21:22">
      <c r="U7772">
        <v>7730</v>
      </c>
      <c r="V7772" s="197">
        <v>-718.03353861200276</v>
      </c>
    </row>
    <row r="7773" spans="21:22">
      <c r="U7773">
        <v>7731</v>
      </c>
      <c r="V7773" s="197">
        <v>-777.2519904828855</v>
      </c>
    </row>
    <row r="7774" spans="21:22">
      <c r="U7774">
        <v>7732</v>
      </c>
      <c r="V7774" s="197">
        <v>-127.03539627802544</v>
      </c>
    </row>
    <row r="7775" spans="21:22">
      <c r="U7775">
        <v>7733</v>
      </c>
      <c r="V7775" s="197">
        <v>200.55415007189001</v>
      </c>
    </row>
    <row r="7776" spans="21:22">
      <c r="U7776">
        <v>7734</v>
      </c>
      <c r="V7776" s="197">
        <v>2012.8390374062114</v>
      </c>
    </row>
    <row r="7777" spans="21:22">
      <c r="U7777">
        <v>7735</v>
      </c>
      <c r="V7777" s="197">
        <v>-165.94901861906931</v>
      </c>
    </row>
    <row r="7778" spans="21:22">
      <c r="U7778">
        <v>7736</v>
      </c>
      <c r="V7778" s="197">
        <v>953.15399869526868</v>
      </c>
    </row>
    <row r="7779" spans="21:22">
      <c r="U7779">
        <v>7737</v>
      </c>
      <c r="V7779" s="197">
        <v>503.43477815218444</v>
      </c>
    </row>
    <row r="7780" spans="21:22">
      <c r="U7780">
        <v>7738</v>
      </c>
      <c r="V7780" s="197">
        <v>-618.15712931209237</v>
      </c>
    </row>
    <row r="7781" spans="21:22">
      <c r="U7781">
        <v>7739</v>
      </c>
      <c r="V7781" s="197">
        <v>407.83802047364043</v>
      </c>
    </row>
    <row r="7782" spans="21:22">
      <c r="U7782">
        <v>7740</v>
      </c>
      <c r="V7782" s="197">
        <v>-97.179094812645133</v>
      </c>
    </row>
    <row r="7783" spans="21:22">
      <c r="U7783">
        <v>7741</v>
      </c>
      <c r="V7783" s="197">
        <v>-1018.7538032796854</v>
      </c>
    </row>
    <row r="7784" spans="21:22">
      <c r="U7784">
        <v>7742</v>
      </c>
      <c r="V7784" s="197">
        <v>-315.8660594886673</v>
      </c>
    </row>
    <row r="7785" spans="21:22">
      <c r="U7785">
        <v>7743</v>
      </c>
      <c r="V7785" s="197">
        <v>779.48067548309064</v>
      </c>
    </row>
    <row r="7786" spans="21:22">
      <c r="U7786">
        <v>7744</v>
      </c>
      <c r="V7786" s="197">
        <v>522.8155016805423</v>
      </c>
    </row>
    <row r="7787" spans="21:22">
      <c r="U7787">
        <v>7745</v>
      </c>
      <c r="V7787" s="197">
        <v>-120.91163552691071</v>
      </c>
    </row>
    <row r="7788" spans="21:22">
      <c r="U7788">
        <v>7746</v>
      </c>
      <c r="V7788" s="197">
        <v>871.57706883444121</v>
      </c>
    </row>
    <row r="7789" spans="21:22">
      <c r="U7789">
        <v>7747</v>
      </c>
      <c r="V7789" s="197">
        <v>-969.48201644185565</v>
      </c>
    </row>
    <row r="7790" spans="21:22">
      <c r="U7790">
        <v>7748</v>
      </c>
      <c r="V7790" s="197">
        <v>-2265.2770799754976</v>
      </c>
    </row>
    <row r="7791" spans="21:22">
      <c r="U7791">
        <v>7749</v>
      </c>
      <c r="V7791" s="197">
        <v>935.37187889206371</v>
      </c>
    </row>
    <row r="7792" spans="21:22">
      <c r="U7792">
        <v>7750</v>
      </c>
      <c r="V7792" s="197">
        <v>871.83996844633043</v>
      </c>
    </row>
    <row r="7793" spans="21:22">
      <c r="U7793">
        <v>7751</v>
      </c>
      <c r="V7793" s="197">
        <v>501.91929597438678</v>
      </c>
    </row>
    <row r="7794" spans="21:22">
      <c r="U7794">
        <v>7752</v>
      </c>
      <c r="V7794" s="197">
        <v>-2703.2125846101258</v>
      </c>
    </row>
    <row r="7795" spans="21:22">
      <c r="U7795">
        <v>7753</v>
      </c>
      <c r="V7795" s="197">
        <v>328.04237903909211</v>
      </c>
    </row>
    <row r="7796" spans="21:22">
      <c r="U7796">
        <v>7754</v>
      </c>
      <c r="V7796" s="197">
        <v>-1805.4300040928135</v>
      </c>
    </row>
    <row r="7797" spans="21:22">
      <c r="U7797">
        <v>7755</v>
      </c>
      <c r="V7797" s="197">
        <v>1088.44733030317</v>
      </c>
    </row>
    <row r="7798" spans="21:22">
      <c r="U7798">
        <v>7756</v>
      </c>
      <c r="V7798" s="197">
        <v>1650.1600913004736</v>
      </c>
    </row>
    <row r="7799" spans="21:22">
      <c r="U7799">
        <v>7757</v>
      </c>
      <c r="V7799" s="197">
        <v>285.21109246100156</v>
      </c>
    </row>
    <row r="7800" spans="21:22">
      <c r="U7800">
        <v>7758</v>
      </c>
      <c r="V7800" s="197">
        <v>260.72766440339183</v>
      </c>
    </row>
    <row r="7801" spans="21:22">
      <c r="U7801">
        <v>7759</v>
      </c>
      <c r="V7801" s="197">
        <v>-1324.042215228576</v>
      </c>
    </row>
    <row r="7802" spans="21:22">
      <c r="U7802">
        <v>7760</v>
      </c>
      <c r="V7802" s="197">
        <v>-220.97218730198233</v>
      </c>
    </row>
    <row r="7803" spans="21:22">
      <c r="U7803">
        <v>7761</v>
      </c>
      <c r="V7803" s="197">
        <v>71.5548560080382</v>
      </c>
    </row>
    <row r="7804" spans="21:22">
      <c r="U7804">
        <v>7762</v>
      </c>
      <c r="V7804" s="197">
        <v>-707.90721076123464</v>
      </c>
    </row>
    <row r="7805" spans="21:22">
      <c r="U7805">
        <v>7763</v>
      </c>
      <c r="V7805" s="197">
        <v>40.06090961998207</v>
      </c>
    </row>
    <row r="7806" spans="21:22">
      <c r="U7806">
        <v>7764</v>
      </c>
      <c r="V7806" s="197">
        <v>-95.334907701691947</v>
      </c>
    </row>
    <row r="7807" spans="21:22">
      <c r="U7807">
        <v>7765</v>
      </c>
      <c r="V7807" s="197">
        <v>193.30900880302391</v>
      </c>
    </row>
    <row r="7808" spans="21:22">
      <c r="U7808">
        <v>7766</v>
      </c>
      <c r="V7808" s="197">
        <v>-1775.5912998115807</v>
      </c>
    </row>
    <row r="7809" spans="21:22">
      <c r="U7809">
        <v>7767</v>
      </c>
      <c r="V7809" s="197">
        <v>-704.39017906673621</v>
      </c>
    </row>
    <row r="7810" spans="21:22">
      <c r="U7810">
        <v>7768</v>
      </c>
      <c r="V7810" s="197">
        <v>-2160.3039837308847</v>
      </c>
    </row>
    <row r="7811" spans="21:22">
      <c r="U7811">
        <v>7769</v>
      </c>
      <c r="V7811" s="197">
        <v>-272.54731611286633</v>
      </c>
    </row>
    <row r="7812" spans="21:22">
      <c r="U7812">
        <v>7770</v>
      </c>
      <c r="V7812" s="197">
        <v>158.305181655154</v>
      </c>
    </row>
    <row r="7813" spans="21:22">
      <c r="U7813">
        <v>7771</v>
      </c>
      <c r="V7813" s="197">
        <v>150.20077507316776</v>
      </c>
    </row>
    <row r="7814" spans="21:22">
      <c r="U7814">
        <v>7772</v>
      </c>
      <c r="V7814" s="197">
        <v>890.26058982780364</v>
      </c>
    </row>
    <row r="7815" spans="21:22">
      <c r="U7815">
        <v>7773</v>
      </c>
      <c r="V7815" s="197">
        <v>1169.6778813099947</v>
      </c>
    </row>
    <row r="7816" spans="21:22">
      <c r="U7816">
        <v>7774</v>
      </c>
      <c r="V7816" s="197">
        <v>-1029.6717689041175</v>
      </c>
    </row>
    <row r="7817" spans="21:22">
      <c r="U7817">
        <v>7775</v>
      </c>
      <c r="V7817" s="197">
        <v>47.947349301134601</v>
      </c>
    </row>
    <row r="7818" spans="21:22">
      <c r="U7818">
        <v>7776</v>
      </c>
      <c r="V7818" s="197">
        <v>1881.6947488724443</v>
      </c>
    </row>
    <row r="7819" spans="21:22">
      <c r="U7819">
        <v>7777</v>
      </c>
      <c r="V7819" s="197">
        <v>1988.7036243360003</v>
      </c>
    </row>
    <row r="7820" spans="21:22">
      <c r="U7820">
        <v>7778</v>
      </c>
      <c r="V7820" s="197">
        <v>-337.67971831302742</v>
      </c>
    </row>
    <row r="7821" spans="21:22">
      <c r="U7821">
        <v>7779</v>
      </c>
      <c r="V7821" s="197">
        <v>-741.95339149084384</v>
      </c>
    </row>
    <row r="7822" spans="21:22">
      <c r="U7822">
        <v>7780</v>
      </c>
      <c r="V7822" s="197">
        <v>150.76581737269214</v>
      </c>
    </row>
    <row r="7823" spans="21:22">
      <c r="U7823">
        <v>7781</v>
      </c>
      <c r="V7823" s="197">
        <v>-401.21944161041063</v>
      </c>
    </row>
    <row r="7824" spans="21:22">
      <c r="U7824">
        <v>7782</v>
      </c>
      <c r="V7824" s="197">
        <v>427.36007109305586</v>
      </c>
    </row>
    <row r="7825" spans="21:22">
      <c r="U7825">
        <v>7783</v>
      </c>
      <c r="V7825" s="197">
        <v>-493.72764582580709</v>
      </c>
    </row>
    <row r="7826" spans="21:22">
      <c r="U7826">
        <v>7784</v>
      </c>
      <c r="V7826" s="197">
        <v>-1062.0885127042291</v>
      </c>
    </row>
    <row r="7827" spans="21:22">
      <c r="U7827">
        <v>7785</v>
      </c>
      <c r="V7827" s="197">
        <v>2377.0248802696624</v>
      </c>
    </row>
    <row r="7828" spans="21:22">
      <c r="U7828">
        <v>7786</v>
      </c>
      <c r="V7828" s="197">
        <v>890.97242936293696</v>
      </c>
    </row>
    <row r="7829" spans="21:22">
      <c r="U7829">
        <v>7787</v>
      </c>
      <c r="V7829" s="197">
        <v>1600.4884060305922</v>
      </c>
    </row>
    <row r="7830" spans="21:22">
      <c r="U7830">
        <v>7788</v>
      </c>
      <c r="V7830" s="197">
        <v>1121.8005281974908</v>
      </c>
    </row>
    <row r="7831" spans="21:22">
      <c r="U7831">
        <v>7789</v>
      </c>
      <c r="V7831" s="197">
        <v>392.71586257167405</v>
      </c>
    </row>
    <row r="7832" spans="21:22">
      <c r="U7832">
        <v>7790</v>
      </c>
      <c r="V7832" s="197">
        <v>-1497.4427456658696</v>
      </c>
    </row>
    <row r="7833" spans="21:22">
      <c r="U7833">
        <v>7791</v>
      </c>
      <c r="V7833" s="197">
        <v>409.35402185303491</v>
      </c>
    </row>
    <row r="7834" spans="21:22">
      <c r="U7834">
        <v>7792</v>
      </c>
      <c r="V7834" s="197">
        <v>-792.71690955761892</v>
      </c>
    </row>
    <row r="7835" spans="21:22">
      <c r="U7835">
        <v>7793</v>
      </c>
      <c r="V7835" s="197">
        <v>135.91028805674679</v>
      </c>
    </row>
    <row r="7836" spans="21:22">
      <c r="U7836">
        <v>7794</v>
      </c>
      <c r="V7836" s="197">
        <v>-1063.2479273453166</v>
      </c>
    </row>
    <row r="7837" spans="21:22">
      <c r="U7837">
        <v>7795</v>
      </c>
      <c r="V7837" s="197">
        <v>1675.0491127096318</v>
      </c>
    </row>
    <row r="7838" spans="21:22">
      <c r="U7838">
        <v>7796</v>
      </c>
      <c r="V7838" s="197">
        <v>424.49692535636962</v>
      </c>
    </row>
    <row r="7839" spans="21:22">
      <c r="U7839">
        <v>7797</v>
      </c>
      <c r="V7839" s="197">
        <v>-430.51651037055143</v>
      </c>
    </row>
    <row r="7840" spans="21:22">
      <c r="U7840">
        <v>7798</v>
      </c>
      <c r="V7840" s="197">
        <v>1025.4339010327208</v>
      </c>
    </row>
    <row r="7841" spans="21:22">
      <c r="U7841">
        <v>7799</v>
      </c>
      <c r="V7841" s="197">
        <v>186.94774793669046</v>
      </c>
    </row>
    <row r="7842" spans="21:22">
      <c r="U7842">
        <v>7800</v>
      </c>
      <c r="V7842" s="197">
        <v>2548.8914445260934</v>
      </c>
    </row>
    <row r="7843" spans="21:22">
      <c r="U7843">
        <v>7801</v>
      </c>
      <c r="V7843" s="197">
        <v>1956.4858546850446</v>
      </c>
    </row>
    <row r="7844" spans="21:22">
      <c r="U7844">
        <v>7802</v>
      </c>
      <c r="V7844" s="197">
        <v>655.62698803594117</v>
      </c>
    </row>
    <row r="7845" spans="21:22">
      <c r="U7845">
        <v>7803</v>
      </c>
      <c r="V7845" s="197">
        <v>-153.81184530309741</v>
      </c>
    </row>
    <row r="7846" spans="21:22">
      <c r="U7846">
        <v>7804</v>
      </c>
      <c r="V7846" s="197">
        <v>-45.208322515642607</v>
      </c>
    </row>
    <row r="7847" spans="21:22">
      <c r="U7847">
        <v>7805</v>
      </c>
      <c r="V7847" s="197">
        <v>-1712.3724285942085</v>
      </c>
    </row>
    <row r="7848" spans="21:22">
      <c r="U7848">
        <v>7806</v>
      </c>
      <c r="V7848" s="197">
        <v>-728.54938883572868</v>
      </c>
    </row>
    <row r="7849" spans="21:22">
      <c r="U7849">
        <v>7807</v>
      </c>
      <c r="V7849" s="197">
        <v>64.590921027934598</v>
      </c>
    </row>
    <row r="7850" spans="21:22">
      <c r="U7850">
        <v>7808</v>
      </c>
      <c r="V7850" s="197">
        <v>774.81196827360054</v>
      </c>
    </row>
    <row r="7851" spans="21:22">
      <c r="U7851">
        <v>7809</v>
      </c>
      <c r="V7851" s="197">
        <v>290.38057457166178</v>
      </c>
    </row>
    <row r="7852" spans="21:22">
      <c r="U7852">
        <v>7810</v>
      </c>
      <c r="V7852" s="197">
        <v>-37.867970005068969</v>
      </c>
    </row>
    <row r="7853" spans="21:22">
      <c r="U7853">
        <v>7811</v>
      </c>
      <c r="V7853" s="197">
        <v>229.57949685083889</v>
      </c>
    </row>
    <row r="7854" spans="21:22">
      <c r="U7854">
        <v>7812</v>
      </c>
      <c r="V7854" s="197">
        <v>434.16294464220351</v>
      </c>
    </row>
    <row r="7855" spans="21:22">
      <c r="U7855">
        <v>7813</v>
      </c>
      <c r="V7855" s="197">
        <v>350.71509958768013</v>
      </c>
    </row>
    <row r="7856" spans="21:22">
      <c r="U7856">
        <v>7814</v>
      </c>
      <c r="V7856" s="197">
        <v>-892.37911096450421</v>
      </c>
    </row>
    <row r="7857" spans="21:22">
      <c r="U7857">
        <v>7815</v>
      </c>
      <c r="V7857" s="197">
        <v>1440.64382187915</v>
      </c>
    </row>
    <row r="7858" spans="21:22">
      <c r="U7858">
        <v>7816</v>
      </c>
      <c r="V7858" s="197">
        <v>800.5331876573598</v>
      </c>
    </row>
    <row r="7859" spans="21:22">
      <c r="U7859">
        <v>7817</v>
      </c>
      <c r="V7859" s="197">
        <v>-37.381161535602416</v>
      </c>
    </row>
    <row r="7860" spans="21:22">
      <c r="U7860">
        <v>7818</v>
      </c>
      <c r="V7860" s="197">
        <v>-642.41961061645293</v>
      </c>
    </row>
    <row r="7861" spans="21:22">
      <c r="U7861">
        <v>7819</v>
      </c>
      <c r="V7861" s="197">
        <v>-1691.5557511646914</v>
      </c>
    </row>
    <row r="7862" spans="21:22">
      <c r="U7862">
        <v>7820</v>
      </c>
      <c r="V7862" s="197">
        <v>-382.34458618159164</v>
      </c>
    </row>
    <row r="7863" spans="21:22">
      <c r="U7863">
        <v>7821</v>
      </c>
      <c r="V7863" s="197">
        <v>642.50745546680423</v>
      </c>
    </row>
    <row r="7864" spans="21:22">
      <c r="U7864">
        <v>7822</v>
      </c>
      <c r="V7864" s="197">
        <v>-107.7840598860509</v>
      </c>
    </row>
    <row r="7865" spans="21:22">
      <c r="U7865">
        <v>7823</v>
      </c>
      <c r="V7865" s="197">
        <v>1888.6704156555911</v>
      </c>
    </row>
    <row r="7866" spans="21:22">
      <c r="U7866">
        <v>7824</v>
      </c>
      <c r="V7866" s="197">
        <v>-24.504965599765285</v>
      </c>
    </row>
    <row r="7867" spans="21:22">
      <c r="U7867">
        <v>7825</v>
      </c>
      <c r="V7867" s="197">
        <v>-416.87997409726023</v>
      </c>
    </row>
    <row r="7868" spans="21:22">
      <c r="U7868">
        <v>7826</v>
      </c>
      <c r="V7868" s="197">
        <v>531.73013565256338</v>
      </c>
    </row>
    <row r="7869" spans="21:22">
      <c r="U7869">
        <v>7827</v>
      </c>
      <c r="V7869" s="197">
        <v>372.23981372930837</v>
      </c>
    </row>
    <row r="7870" spans="21:22">
      <c r="U7870">
        <v>7828</v>
      </c>
      <c r="V7870" s="197">
        <v>265.48222493036997</v>
      </c>
    </row>
    <row r="7871" spans="21:22">
      <c r="U7871">
        <v>7829</v>
      </c>
      <c r="V7871" s="197">
        <v>-427.18841155136766</v>
      </c>
    </row>
    <row r="7872" spans="21:22">
      <c r="U7872">
        <v>7830</v>
      </c>
      <c r="V7872" s="197">
        <v>-1442.0044742099221</v>
      </c>
    </row>
    <row r="7873" spans="21:22">
      <c r="U7873">
        <v>7831</v>
      </c>
      <c r="V7873" s="197">
        <v>158.90573722078821</v>
      </c>
    </row>
    <row r="7874" spans="21:22">
      <c r="U7874">
        <v>7832</v>
      </c>
      <c r="V7874" s="197">
        <v>712.11684632482229</v>
      </c>
    </row>
    <row r="7875" spans="21:22">
      <c r="U7875">
        <v>7833</v>
      </c>
      <c r="V7875" s="197">
        <v>1151.2669103933229</v>
      </c>
    </row>
    <row r="7876" spans="21:22">
      <c r="U7876">
        <v>7834</v>
      </c>
      <c r="V7876" s="197">
        <v>1738.7441153257898</v>
      </c>
    </row>
    <row r="7877" spans="21:22">
      <c r="U7877">
        <v>7835</v>
      </c>
      <c r="V7877" s="197">
        <v>1174.0373138930001</v>
      </c>
    </row>
    <row r="7878" spans="21:22">
      <c r="U7878">
        <v>7836</v>
      </c>
      <c r="V7878" s="197">
        <v>40.771318016722624</v>
      </c>
    </row>
    <row r="7879" spans="21:22">
      <c r="U7879">
        <v>7837</v>
      </c>
      <c r="V7879" s="197">
        <v>4.6776506906086297</v>
      </c>
    </row>
    <row r="7880" spans="21:22">
      <c r="U7880">
        <v>7838</v>
      </c>
      <c r="V7880" s="197">
        <v>-1719.7246409917534</v>
      </c>
    </row>
    <row r="7881" spans="21:22">
      <c r="U7881">
        <v>7839</v>
      </c>
      <c r="V7881" s="197">
        <v>644.68753224409329</v>
      </c>
    </row>
    <row r="7882" spans="21:22">
      <c r="U7882">
        <v>7840</v>
      </c>
      <c r="V7882" s="197">
        <v>-149.40251933546111</v>
      </c>
    </row>
    <row r="7883" spans="21:22">
      <c r="U7883">
        <v>7841</v>
      </c>
      <c r="V7883" s="197">
        <v>-1103.6969529185881</v>
      </c>
    </row>
    <row r="7884" spans="21:22">
      <c r="U7884">
        <v>7842</v>
      </c>
      <c r="V7884" s="197">
        <v>-339.84987606216862</v>
      </c>
    </row>
    <row r="7885" spans="21:22">
      <c r="U7885">
        <v>7843</v>
      </c>
      <c r="V7885" s="197">
        <v>122.4604906087375</v>
      </c>
    </row>
    <row r="7886" spans="21:22">
      <c r="U7886">
        <v>7844</v>
      </c>
      <c r="V7886" s="197">
        <v>-747.7143200176572</v>
      </c>
    </row>
    <row r="7887" spans="21:22">
      <c r="U7887">
        <v>7845</v>
      </c>
      <c r="V7887" s="197">
        <v>341.78046948712972</v>
      </c>
    </row>
    <row r="7888" spans="21:22">
      <c r="U7888">
        <v>7846</v>
      </c>
      <c r="V7888" s="197">
        <v>74.749874769793138</v>
      </c>
    </row>
    <row r="7889" spans="21:22">
      <c r="U7889">
        <v>7847</v>
      </c>
      <c r="V7889" s="197">
        <v>-291.03705257090206</v>
      </c>
    </row>
    <row r="7890" spans="21:22">
      <c r="U7890">
        <v>7848</v>
      </c>
      <c r="V7890" s="197">
        <v>-320.35032347890296</v>
      </c>
    </row>
    <row r="7891" spans="21:22">
      <c r="U7891">
        <v>7849</v>
      </c>
      <c r="V7891" s="197">
        <v>-2276.2366285862986</v>
      </c>
    </row>
    <row r="7892" spans="21:22">
      <c r="U7892">
        <v>7850</v>
      </c>
      <c r="V7892" s="197">
        <v>1098.9395554484383</v>
      </c>
    </row>
    <row r="7893" spans="21:22">
      <c r="U7893">
        <v>7851</v>
      </c>
      <c r="V7893" s="197">
        <v>757.43106018122148</v>
      </c>
    </row>
    <row r="7894" spans="21:22">
      <c r="U7894">
        <v>7852</v>
      </c>
      <c r="V7894" s="197">
        <v>-351.46724194450962</v>
      </c>
    </row>
    <row r="7895" spans="21:22">
      <c r="U7895">
        <v>7853</v>
      </c>
      <c r="V7895" s="197">
        <v>1142.8143588253859</v>
      </c>
    </row>
    <row r="7896" spans="21:22">
      <c r="U7896">
        <v>7854</v>
      </c>
      <c r="V7896" s="197">
        <v>-85.073470634756319</v>
      </c>
    </row>
    <row r="7897" spans="21:22">
      <c r="U7897">
        <v>7855</v>
      </c>
      <c r="V7897" s="197">
        <v>-151.81937844863796</v>
      </c>
    </row>
    <row r="7898" spans="21:22">
      <c r="U7898">
        <v>7856</v>
      </c>
      <c r="V7898" s="197">
        <v>1485.7855144612852</v>
      </c>
    </row>
    <row r="7899" spans="21:22">
      <c r="U7899">
        <v>7857</v>
      </c>
      <c r="V7899" s="197">
        <v>798.82909315864526</v>
      </c>
    </row>
    <row r="7900" spans="21:22">
      <c r="U7900">
        <v>7858</v>
      </c>
      <c r="V7900" s="197">
        <v>129.88163154080004</v>
      </c>
    </row>
    <row r="7901" spans="21:22">
      <c r="U7901">
        <v>7859</v>
      </c>
      <c r="V7901" s="197">
        <v>898.86673421564001</v>
      </c>
    </row>
    <row r="7902" spans="21:22">
      <c r="U7902">
        <v>7860</v>
      </c>
      <c r="V7902" s="197">
        <v>2179.8896558565802</v>
      </c>
    </row>
    <row r="7903" spans="21:22">
      <c r="U7903">
        <v>7861</v>
      </c>
      <c r="V7903" s="197">
        <v>-308.6290677385594</v>
      </c>
    </row>
    <row r="7904" spans="21:22">
      <c r="U7904">
        <v>7862</v>
      </c>
      <c r="V7904" s="197">
        <v>174.88160490060386</v>
      </c>
    </row>
    <row r="7905" spans="21:22">
      <c r="U7905">
        <v>7863</v>
      </c>
      <c r="V7905" s="197">
        <v>211.95664942515816</v>
      </c>
    </row>
    <row r="7906" spans="21:22">
      <c r="U7906">
        <v>7864</v>
      </c>
      <c r="V7906" s="197">
        <v>-1132.0878758173299</v>
      </c>
    </row>
    <row r="7907" spans="21:22">
      <c r="U7907">
        <v>7865</v>
      </c>
      <c r="V7907" s="197">
        <v>1935.6430850381546</v>
      </c>
    </row>
    <row r="7908" spans="21:22">
      <c r="U7908">
        <v>7866</v>
      </c>
      <c r="V7908" s="197">
        <v>-203.8531976114262</v>
      </c>
    </row>
    <row r="7909" spans="21:22">
      <c r="U7909">
        <v>7867</v>
      </c>
      <c r="V7909" s="197">
        <v>-625.36795294599415</v>
      </c>
    </row>
    <row r="7910" spans="21:22">
      <c r="U7910">
        <v>7868</v>
      </c>
      <c r="V7910" s="197">
        <v>37.462416807517151</v>
      </c>
    </row>
    <row r="7911" spans="21:22">
      <c r="U7911">
        <v>7869</v>
      </c>
      <c r="V7911" s="197">
        <v>-312.68192772952324</v>
      </c>
    </row>
    <row r="7912" spans="21:22">
      <c r="U7912">
        <v>7870</v>
      </c>
      <c r="V7912" s="197">
        <v>390.61446826108562</v>
      </c>
    </row>
    <row r="7913" spans="21:22">
      <c r="U7913">
        <v>7871</v>
      </c>
      <c r="V7913" s="197">
        <v>1384.4606893740765</v>
      </c>
    </row>
    <row r="7914" spans="21:22">
      <c r="U7914">
        <v>7872</v>
      </c>
      <c r="V7914" s="197">
        <v>1227.5914238991345</v>
      </c>
    </row>
    <row r="7915" spans="21:22">
      <c r="U7915">
        <v>7873</v>
      </c>
      <c r="V7915" s="197">
        <v>851.78576051344589</v>
      </c>
    </row>
    <row r="7916" spans="21:22">
      <c r="U7916">
        <v>7874</v>
      </c>
      <c r="V7916" s="197">
        <v>231.59680206202498</v>
      </c>
    </row>
    <row r="7917" spans="21:22">
      <c r="U7917">
        <v>7875</v>
      </c>
      <c r="V7917" s="197">
        <v>-878.87423431475349</v>
      </c>
    </row>
    <row r="7918" spans="21:22">
      <c r="U7918">
        <v>7876</v>
      </c>
      <c r="V7918" s="197">
        <v>881.11483148924094</v>
      </c>
    </row>
    <row r="7919" spans="21:22">
      <c r="U7919">
        <v>7877</v>
      </c>
      <c r="V7919" s="197">
        <v>-83.401966798109072</v>
      </c>
    </row>
    <row r="7920" spans="21:22">
      <c r="U7920">
        <v>7878</v>
      </c>
      <c r="V7920" s="197">
        <v>1146.1028046213444</v>
      </c>
    </row>
    <row r="7921" spans="21:22">
      <c r="U7921">
        <v>7879</v>
      </c>
      <c r="V7921" s="197">
        <v>-46.564478434975115</v>
      </c>
    </row>
    <row r="7922" spans="21:22">
      <c r="U7922">
        <v>7880</v>
      </c>
      <c r="V7922" s="197">
        <v>866.88941180831125</v>
      </c>
    </row>
    <row r="7923" spans="21:22">
      <c r="U7923">
        <v>7881</v>
      </c>
      <c r="V7923" s="197">
        <v>1670.7687448678339</v>
      </c>
    </row>
    <row r="7924" spans="21:22">
      <c r="U7924">
        <v>7882</v>
      </c>
      <c r="V7924" s="197">
        <v>-951.21505397454166</v>
      </c>
    </row>
    <row r="7925" spans="21:22">
      <c r="U7925">
        <v>7883</v>
      </c>
      <c r="V7925" s="197">
        <v>303.31752900282322</v>
      </c>
    </row>
    <row r="7926" spans="21:22">
      <c r="U7926">
        <v>7884</v>
      </c>
      <c r="V7926" s="197">
        <v>-387.3948372120733</v>
      </c>
    </row>
    <row r="7927" spans="21:22">
      <c r="U7927">
        <v>7885</v>
      </c>
      <c r="V7927" s="197">
        <v>-722.25380779887541</v>
      </c>
    </row>
    <row r="7928" spans="21:22">
      <c r="U7928">
        <v>7886</v>
      </c>
      <c r="V7928" s="197">
        <v>-485.54251451939427</v>
      </c>
    </row>
    <row r="7929" spans="21:22">
      <c r="U7929">
        <v>7887</v>
      </c>
      <c r="V7929" s="197">
        <v>676.11865534661729</v>
      </c>
    </row>
    <row r="7930" spans="21:22">
      <c r="U7930">
        <v>7888</v>
      </c>
      <c r="V7930" s="197">
        <v>702.87462967324291</v>
      </c>
    </row>
    <row r="7931" spans="21:22">
      <c r="U7931">
        <v>7889</v>
      </c>
      <c r="V7931" s="197">
        <v>477.92603940387772</v>
      </c>
    </row>
    <row r="7932" spans="21:22">
      <c r="U7932">
        <v>7890</v>
      </c>
      <c r="V7932" s="197">
        <v>30.053418530495961</v>
      </c>
    </row>
    <row r="7933" spans="21:22">
      <c r="U7933">
        <v>7891</v>
      </c>
      <c r="V7933" s="197">
        <v>3.5631440012925566</v>
      </c>
    </row>
    <row r="7934" spans="21:22">
      <c r="U7934">
        <v>7892</v>
      </c>
      <c r="V7934" s="197">
        <v>-666.68558990154384</v>
      </c>
    </row>
    <row r="7935" spans="21:22">
      <c r="U7935">
        <v>7893</v>
      </c>
      <c r="V7935" s="197">
        <v>-1110.1156249600651</v>
      </c>
    </row>
    <row r="7936" spans="21:22">
      <c r="U7936">
        <v>7894</v>
      </c>
      <c r="V7936" s="197">
        <v>-1268.0506989544392</v>
      </c>
    </row>
    <row r="7937" spans="21:22">
      <c r="U7937">
        <v>7895</v>
      </c>
      <c r="V7937" s="197">
        <v>-719.99280761371415</v>
      </c>
    </row>
    <row r="7938" spans="21:22">
      <c r="U7938">
        <v>7896</v>
      </c>
      <c r="V7938" s="197">
        <v>940.21158554138151</v>
      </c>
    </row>
    <row r="7939" spans="21:22">
      <c r="U7939">
        <v>7897</v>
      </c>
      <c r="V7939" s="197">
        <v>1247.8112066856504</v>
      </c>
    </row>
    <row r="7940" spans="21:22">
      <c r="U7940">
        <v>7898</v>
      </c>
      <c r="V7940" s="197">
        <v>-370.56389651989781</v>
      </c>
    </row>
    <row r="7941" spans="21:22">
      <c r="U7941">
        <v>7899</v>
      </c>
      <c r="V7941" s="197">
        <v>-316.22833810548866</v>
      </c>
    </row>
    <row r="7942" spans="21:22">
      <c r="U7942">
        <v>7900</v>
      </c>
      <c r="V7942" s="197">
        <v>-138.27905672530281</v>
      </c>
    </row>
    <row r="7943" spans="21:22">
      <c r="U7943">
        <v>7901</v>
      </c>
      <c r="V7943" s="197">
        <v>205.29820477310579</v>
      </c>
    </row>
    <row r="7944" spans="21:22">
      <c r="U7944">
        <v>7902</v>
      </c>
      <c r="V7944" s="197">
        <v>641.36171443818125</v>
      </c>
    </row>
    <row r="7945" spans="21:22">
      <c r="U7945">
        <v>7903</v>
      </c>
      <c r="V7945" s="197">
        <v>821.58665067747074</v>
      </c>
    </row>
    <row r="7946" spans="21:22">
      <c r="U7946">
        <v>7904</v>
      </c>
      <c r="V7946" s="197">
        <v>-125.71990279932447</v>
      </c>
    </row>
    <row r="7947" spans="21:22">
      <c r="U7947">
        <v>7905</v>
      </c>
      <c r="V7947" s="197">
        <v>1621.1623380886281</v>
      </c>
    </row>
    <row r="7948" spans="21:22">
      <c r="U7948">
        <v>7906</v>
      </c>
      <c r="V7948" s="197">
        <v>-223.30947953913807</v>
      </c>
    </row>
    <row r="7949" spans="21:22">
      <c r="U7949">
        <v>7907</v>
      </c>
      <c r="V7949" s="197">
        <v>-1082.7228176730159</v>
      </c>
    </row>
    <row r="7950" spans="21:22">
      <c r="U7950">
        <v>7908</v>
      </c>
      <c r="V7950" s="197">
        <v>1469.8603681242228</v>
      </c>
    </row>
    <row r="7951" spans="21:22">
      <c r="U7951">
        <v>7909</v>
      </c>
      <c r="V7951" s="197">
        <v>453.12077307180857</v>
      </c>
    </row>
    <row r="7952" spans="21:22">
      <c r="U7952">
        <v>7910</v>
      </c>
      <c r="V7952" s="197">
        <v>-7.7209192856697797</v>
      </c>
    </row>
    <row r="7953" spans="21:22">
      <c r="U7953">
        <v>7911</v>
      </c>
      <c r="V7953" s="197">
        <v>-1872.3435248754465</v>
      </c>
    </row>
    <row r="7954" spans="21:22">
      <c r="U7954">
        <v>7912</v>
      </c>
      <c r="V7954" s="197">
        <v>1620.0127231315801</v>
      </c>
    </row>
    <row r="7955" spans="21:22">
      <c r="U7955">
        <v>7913</v>
      </c>
      <c r="V7955" s="197">
        <v>526.23516746718497</v>
      </c>
    </row>
    <row r="7956" spans="21:22">
      <c r="U7956">
        <v>7914</v>
      </c>
      <c r="V7956" s="197">
        <v>788.01839948881684</v>
      </c>
    </row>
    <row r="7957" spans="21:22">
      <c r="U7957">
        <v>7915</v>
      </c>
      <c r="V7957" s="197">
        <v>913.01658714469295</v>
      </c>
    </row>
    <row r="7958" spans="21:22">
      <c r="U7958">
        <v>7916</v>
      </c>
      <c r="V7958" s="197">
        <v>-332.25298114920679</v>
      </c>
    </row>
    <row r="7959" spans="21:22">
      <c r="U7959">
        <v>7917</v>
      </c>
      <c r="V7959" s="197">
        <v>1073.8474761860682</v>
      </c>
    </row>
    <row r="7960" spans="21:22">
      <c r="U7960">
        <v>7918</v>
      </c>
      <c r="V7960" s="197">
        <v>-286.94883162525952</v>
      </c>
    </row>
    <row r="7961" spans="21:22">
      <c r="U7961">
        <v>7919</v>
      </c>
      <c r="V7961" s="197">
        <v>-620.86245904302882</v>
      </c>
    </row>
    <row r="7962" spans="21:22">
      <c r="U7962">
        <v>7920</v>
      </c>
      <c r="V7962" s="197">
        <v>188.65360958398406</v>
      </c>
    </row>
    <row r="7963" spans="21:22">
      <c r="U7963">
        <v>7921</v>
      </c>
      <c r="V7963" s="197">
        <v>371.86339309010219</v>
      </c>
    </row>
    <row r="7964" spans="21:22">
      <c r="U7964">
        <v>7922</v>
      </c>
      <c r="V7964" s="197">
        <v>-559.03398818606138</v>
      </c>
    </row>
    <row r="7965" spans="21:22">
      <c r="U7965">
        <v>7923</v>
      </c>
      <c r="V7965" s="197">
        <v>935.08238888666801</v>
      </c>
    </row>
    <row r="7966" spans="21:22">
      <c r="U7966">
        <v>7924</v>
      </c>
      <c r="V7966" s="197">
        <v>-829.53634031516731</v>
      </c>
    </row>
    <row r="7967" spans="21:22">
      <c r="U7967">
        <v>7925</v>
      </c>
      <c r="V7967" s="197">
        <v>-747.79468827566166</v>
      </c>
    </row>
    <row r="7968" spans="21:22">
      <c r="U7968">
        <v>7926</v>
      </c>
      <c r="V7968" s="197">
        <v>-1279.0672701155943</v>
      </c>
    </row>
    <row r="7969" spans="21:22">
      <c r="U7969">
        <v>7927</v>
      </c>
      <c r="V7969" s="197">
        <v>675.27406437225022</v>
      </c>
    </row>
    <row r="7970" spans="21:22">
      <c r="U7970">
        <v>7928</v>
      </c>
      <c r="V7970" s="197">
        <v>1296.574653919542</v>
      </c>
    </row>
    <row r="7971" spans="21:22">
      <c r="U7971">
        <v>7929</v>
      </c>
      <c r="V7971" s="197">
        <v>-973.52760944576403</v>
      </c>
    </row>
    <row r="7972" spans="21:22">
      <c r="U7972">
        <v>7930</v>
      </c>
      <c r="V7972" s="197">
        <v>-267.33683344039298</v>
      </c>
    </row>
    <row r="7973" spans="21:22">
      <c r="U7973">
        <v>7931</v>
      </c>
      <c r="V7973" s="197">
        <v>-117.24429882006481</v>
      </c>
    </row>
    <row r="7974" spans="21:22">
      <c r="U7974">
        <v>7932</v>
      </c>
      <c r="V7974" s="197">
        <v>-696.24503410733405</v>
      </c>
    </row>
    <row r="7975" spans="21:22">
      <c r="U7975">
        <v>7933</v>
      </c>
      <c r="V7975" s="197">
        <v>-1084.9769283345559</v>
      </c>
    </row>
    <row r="7976" spans="21:22">
      <c r="U7976">
        <v>7934</v>
      </c>
      <c r="V7976" s="197">
        <v>1002.1394477363699</v>
      </c>
    </row>
    <row r="7977" spans="21:22">
      <c r="U7977">
        <v>7935</v>
      </c>
      <c r="V7977" s="197">
        <v>-2618.7719341329616</v>
      </c>
    </row>
    <row r="7978" spans="21:22">
      <c r="U7978">
        <v>7936</v>
      </c>
      <c r="V7978" s="197">
        <v>-51.717103782321345</v>
      </c>
    </row>
    <row r="7979" spans="21:22">
      <c r="U7979">
        <v>7937</v>
      </c>
      <c r="V7979" s="197">
        <v>31.965211259754867</v>
      </c>
    </row>
    <row r="7980" spans="21:22">
      <c r="U7980">
        <v>7938</v>
      </c>
      <c r="V7980" s="197">
        <v>797.66774805179102</v>
      </c>
    </row>
    <row r="7981" spans="21:22">
      <c r="U7981">
        <v>7939</v>
      </c>
      <c r="V7981" s="197">
        <v>-179.79263696846152</v>
      </c>
    </row>
    <row r="7982" spans="21:22">
      <c r="U7982">
        <v>7940</v>
      </c>
      <c r="V7982" s="197">
        <v>-209.76487399359161</v>
      </c>
    </row>
    <row r="7983" spans="21:22">
      <c r="U7983">
        <v>7941</v>
      </c>
      <c r="V7983" s="197">
        <v>872.05550756220782</v>
      </c>
    </row>
    <row r="7984" spans="21:22">
      <c r="U7984">
        <v>7942</v>
      </c>
      <c r="V7984" s="197">
        <v>1155.7802759066003</v>
      </c>
    </row>
    <row r="7985" spans="21:22">
      <c r="U7985">
        <v>7943</v>
      </c>
      <c r="V7985" s="197">
        <v>-210.33069104344844</v>
      </c>
    </row>
    <row r="7986" spans="21:22">
      <c r="U7986">
        <v>7944</v>
      </c>
      <c r="V7986" s="197">
        <v>-6.8952134436365071</v>
      </c>
    </row>
    <row r="7987" spans="21:22">
      <c r="U7987">
        <v>7945</v>
      </c>
      <c r="V7987" s="197">
        <v>1638.569671988196</v>
      </c>
    </row>
    <row r="7988" spans="21:22">
      <c r="U7988">
        <v>7946</v>
      </c>
      <c r="V7988" s="197">
        <v>-38.788604386650718</v>
      </c>
    </row>
    <row r="7989" spans="21:22">
      <c r="U7989">
        <v>7947</v>
      </c>
      <c r="V7989" s="197">
        <v>-1374.5400394946521</v>
      </c>
    </row>
    <row r="7990" spans="21:22">
      <c r="U7990">
        <v>7948</v>
      </c>
      <c r="V7990" s="197">
        <v>-267.98768492785615</v>
      </c>
    </row>
    <row r="7991" spans="21:22">
      <c r="U7991">
        <v>7949</v>
      </c>
      <c r="V7991" s="197">
        <v>-143.442551055221</v>
      </c>
    </row>
    <row r="7992" spans="21:22">
      <c r="U7992">
        <v>7950</v>
      </c>
      <c r="V7992" s="197">
        <v>957.27685689077271</v>
      </c>
    </row>
    <row r="7993" spans="21:22">
      <c r="U7993">
        <v>7951</v>
      </c>
      <c r="V7993" s="197">
        <v>1159.9231100860263</v>
      </c>
    </row>
    <row r="7994" spans="21:22">
      <c r="U7994">
        <v>7952</v>
      </c>
      <c r="V7994" s="197">
        <v>1415.4054401873282</v>
      </c>
    </row>
    <row r="7995" spans="21:22">
      <c r="U7995">
        <v>7953</v>
      </c>
      <c r="V7995" s="197">
        <v>420.49395858825955</v>
      </c>
    </row>
    <row r="7996" spans="21:22">
      <c r="U7996">
        <v>7954</v>
      </c>
      <c r="V7996" s="197">
        <v>-594.58162366483089</v>
      </c>
    </row>
    <row r="7997" spans="21:22">
      <c r="U7997">
        <v>7955</v>
      </c>
      <c r="V7997" s="197">
        <v>61.19302361990102</v>
      </c>
    </row>
    <row r="7998" spans="21:22">
      <c r="U7998">
        <v>7956</v>
      </c>
      <c r="V7998" s="197">
        <v>849.4945940927114</v>
      </c>
    </row>
    <row r="7999" spans="21:22">
      <c r="U7999">
        <v>7957</v>
      </c>
      <c r="V7999" s="197">
        <v>-271.17358585477444</v>
      </c>
    </row>
    <row r="8000" spans="21:22">
      <c r="U8000">
        <v>7958</v>
      </c>
      <c r="V8000" s="197">
        <v>1468.6648940232876</v>
      </c>
    </row>
    <row r="8001" spans="21:22">
      <c r="U8001">
        <v>7959</v>
      </c>
      <c r="V8001" s="197">
        <v>-76.201866866300463</v>
      </c>
    </row>
    <row r="8002" spans="21:22">
      <c r="U8002">
        <v>7960</v>
      </c>
      <c r="V8002" s="197">
        <v>-697.33439651786875</v>
      </c>
    </row>
    <row r="8003" spans="21:22">
      <c r="U8003">
        <v>7961</v>
      </c>
      <c r="V8003" s="197">
        <v>4.4957593067066171</v>
      </c>
    </row>
    <row r="8004" spans="21:22">
      <c r="U8004">
        <v>7962</v>
      </c>
      <c r="V8004" s="197">
        <v>-312.42893556440617</v>
      </c>
    </row>
    <row r="8005" spans="21:22">
      <c r="U8005">
        <v>7963</v>
      </c>
      <c r="V8005" s="197">
        <v>-60.651645640043</v>
      </c>
    </row>
    <row r="8006" spans="21:22">
      <c r="U8006">
        <v>7964</v>
      </c>
      <c r="V8006" s="197">
        <v>-1138.3035730572294</v>
      </c>
    </row>
    <row r="8007" spans="21:22">
      <c r="U8007">
        <v>7965</v>
      </c>
      <c r="V8007" s="197">
        <v>-320.10642223037462</v>
      </c>
    </row>
    <row r="8008" spans="21:22">
      <c r="U8008">
        <v>7966</v>
      </c>
      <c r="V8008" s="197">
        <v>450.23699335941961</v>
      </c>
    </row>
    <row r="8009" spans="21:22">
      <c r="U8009">
        <v>7967</v>
      </c>
      <c r="V8009" s="197">
        <v>-1049.1439943226781</v>
      </c>
    </row>
    <row r="8010" spans="21:22">
      <c r="U8010">
        <v>7968</v>
      </c>
      <c r="V8010" s="197">
        <v>482.10039169347669</v>
      </c>
    </row>
    <row r="8011" spans="21:22">
      <c r="U8011">
        <v>7969</v>
      </c>
      <c r="V8011" s="197">
        <v>537.09120261065914</v>
      </c>
    </row>
    <row r="8012" spans="21:22">
      <c r="U8012">
        <v>7970</v>
      </c>
      <c r="V8012" s="197">
        <v>698.17416901108845</v>
      </c>
    </row>
    <row r="8013" spans="21:22">
      <c r="U8013">
        <v>7971</v>
      </c>
      <c r="V8013" s="197">
        <v>1268.980026737481</v>
      </c>
    </row>
    <row r="8014" spans="21:22">
      <c r="U8014">
        <v>7972</v>
      </c>
      <c r="V8014" s="197">
        <v>-455.8219205404252</v>
      </c>
    </row>
    <row r="8015" spans="21:22">
      <c r="U8015">
        <v>7973</v>
      </c>
      <c r="V8015" s="197">
        <v>761.61776403876706</v>
      </c>
    </row>
    <row r="8016" spans="21:22">
      <c r="U8016">
        <v>7974</v>
      </c>
      <c r="V8016" s="197">
        <v>498.54675620531009</v>
      </c>
    </row>
    <row r="8017" spans="21:22">
      <c r="U8017">
        <v>7975</v>
      </c>
      <c r="V8017" s="197">
        <v>587.85680370218506</v>
      </c>
    </row>
    <row r="8018" spans="21:22">
      <c r="U8018">
        <v>7976</v>
      </c>
      <c r="V8018" s="197">
        <v>-0.13068832074554848</v>
      </c>
    </row>
    <row r="8019" spans="21:22">
      <c r="U8019">
        <v>7977</v>
      </c>
      <c r="V8019" s="197">
        <v>-248.80337613803147</v>
      </c>
    </row>
    <row r="8020" spans="21:22">
      <c r="U8020">
        <v>7978</v>
      </c>
      <c r="V8020" s="197">
        <v>1087.6300198521978</v>
      </c>
    </row>
    <row r="8021" spans="21:22">
      <c r="U8021">
        <v>7979</v>
      </c>
      <c r="V8021" s="197">
        <v>-1675.8776836059355</v>
      </c>
    </row>
    <row r="8022" spans="21:22">
      <c r="U8022">
        <v>7980</v>
      </c>
      <c r="V8022" s="197">
        <v>433.61181028748757</v>
      </c>
    </row>
    <row r="8023" spans="21:22">
      <c r="U8023">
        <v>7981</v>
      </c>
      <c r="V8023" s="197">
        <v>1037.5774726789252</v>
      </c>
    </row>
    <row r="8024" spans="21:22">
      <c r="U8024">
        <v>7982</v>
      </c>
      <c r="V8024" s="197">
        <v>19.432757289471795</v>
      </c>
    </row>
    <row r="8025" spans="21:22">
      <c r="U8025">
        <v>7983</v>
      </c>
      <c r="V8025" s="197">
        <v>-81.232345141650399</v>
      </c>
    </row>
    <row r="8026" spans="21:22">
      <c r="U8026">
        <v>7984</v>
      </c>
      <c r="V8026" s="197">
        <v>606.37561481746866</v>
      </c>
    </row>
    <row r="8027" spans="21:22">
      <c r="U8027">
        <v>7985</v>
      </c>
      <c r="V8027" s="197">
        <v>-397.98591503419266</v>
      </c>
    </row>
    <row r="8028" spans="21:22">
      <c r="U8028">
        <v>7986</v>
      </c>
      <c r="V8028" s="197">
        <v>1241.8468709289086</v>
      </c>
    </row>
    <row r="8029" spans="21:22">
      <c r="U8029">
        <v>7987</v>
      </c>
      <c r="V8029" s="197">
        <v>1869.2073420052623</v>
      </c>
    </row>
    <row r="8030" spans="21:22">
      <c r="U8030">
        <v>7988</v>
      </c>
      <c r="V8030" s="197">
        <v>251.74720501548614</v>
      </c>
    </row>
    <row r="8031" spans="21:22">
      <c r="U8031">
        <v>7989</v>
      </c>
      <c r="V8031" s="197">
        <v>45.19470347355356</v>
      </c>
    </row>
    <row r="8032" spans="21:22">
      <c r="U8032">
        <v>7990</v>
      </c>
      <c r="V8032" s="197">
        <v>-413.1039012937913</v>
      </c>
    </row>
    <row r="8033" spans="21:22">
      <c r="U8033">
        <v>7991</v>
      </c>
      <c r="V8033" s="197">
        <v>164.8304529198636</v>
      </c>
    </row>
    <row r="8034" spans="21:22">
      <c r="U8034">
        <v>7992</v>
      </c>
      <c r="V8034" s="197">
        <v>-201.21641066433347</v>
      </c>
    </row>
    <row r="8035" spans="21:22">
      <c r="U8035">
        <v>7993</v>
      </c>
      <c r="V8035" s="197">
        <v>1948.9126002545822</v>
      </c>
    </row>
    <row r="8036" spans="21:22">
      <c r="U8036">
        <v>7994</v>
      </c>
      <c r="V8036" s="197">
        <v>458.59380355298185</v>
      </c>
    </row>
    <row r="8037" spans="21:22">
      <c r="U8037">
        <v>7995</v>
      </c>
      <c r="V8037" s="197">
        <v>-247.31669117050274</v>
      </c>
    </row>
    <row r="8038" spans="21:22">
      <c r="U8038">
        <v>7996</v>
      </c>
      <c r="V8038" s="197">
        <v>459.08254598480261</v>
      </c>
    </row>
    <row r="8039" spans="21:22">
      <c r="U8039">
        <v>7997</v>
      </c>
      <c r="V8039" s="197">
        <v>300.98736490126362</v>
      </c>
    </row>
    <row r="8040" spans="21:22">
      <c r="U8040">
        <v>7998</v>
      </c>
      <c r="V8040" s="197">
        <v>-1298.2716155452511</v>
      </c>
    </row>
    <row r="8041" spans="21:22">
      <c r="U8041">
        <v>7999</v>
      </c>
      <c r="V8041" s="197">
        <v>334.85283957395166</v>
      </c>
    </row>
    <row r="8042" spans="21:22">
      <c r="U8042">
        <v>8000</v>
      </c>
      <c r="V8042" s="197">
        <v>256.36010823085394</v>
      </c>
    </row>
    <row r="8043" spans="21:22">
      <c r="U8043">
        <v>8001</v>
      </c>
      <c r="V8043" s="197">
        <v>-954.56268892964431</v>
      </c>
    </row>
    <row r="8044" spans="21:22">
      <c r="U8044">
        <v>8002</v>
      </c>
      <c r="V8044" s="197">
        <v>1626.9936001042961</v>
      </c>
    </row>
    <row r="8045" spans="21:22">
      <c r="U8045">
        <v>8003</v>
      </c>
      <c r="V8045" s="197">
        <v>-369.0336766895166</v>
      </c>
    </row>
    <row r="8046" spans="21:22">
      <c r="U8046">
        <v>8004</v>
      </c>
      <c r="V8046" s="197">
        <v>1143.8380789124685</v>
      </c>
    </row>
    <row r="8047" spans="21:22">
      <c r="U8047">
        <v>8005</v>
      </c>
      <c r="V8047" s="197">
        <v>-237.53846855060402</v>
      </c>
    </row>
    <row r="8048" spans="21:22">
      <c r="U8048">
        <v>8006</v>
      </c>
      <c r="V8048" s="197">
        <v>1413.6012625595104</v>
      </c>
    </row>
    <row r="8049" spans="21:22">
      <c r="U8049">
        <v>8007</v>
      </c>
      <c r="V8049" s="197">
        <v>-536.80827512594601</v>
      </c>
    </row>
    <row r="8050" spans="21:22">
      <c r="U8050">
        <v>8008</v>
      </c>
      <c r="V8050" s="197">
        <v>686.81770958480433</v>
      </c>
    </row>
    <row r="8051" spans="21:22">
      <c r="U8051">
        <v>8009</v>
      </c>
      <c r="V8051" s="197">
        <v>-259.5044221934013</v>
      </c>
    </row>
    <row r="8052" spans="21:22">
      <c r="U8052">
        <v>8010</v>
      </c>
      <c r="V8052" s="197">
        <v>-1685.6740087153848</v>
      </c>
    </row>
    <row r="8053" spans="21:22">
      <c r="U8053">
        <v>8011</v>
      </c>
      <c r="V8053" s="197">
        <v>1747.0219621530323</v>
      </c>
    </row>
    <row r="8054" spans="21:22">
      <c r="U8054">
        <v>8012</v>
      </c>
      <c r="V8054" s="197">
        <v>-487.08227670690513</v>
      </c>
    </row>
    <row r="8055" spans="21:22">
      <c r="U8055">
        <v>8013</v>
      </c>
      <c r="V8055" s="197">
        <v>-693.35362872970222</v>
      </c>
    </row>
    <row r="8056" spans="21:22">
      <c r="U8056">
        <v>8014</v>
      </c>
      <c r="V8056" s="197">
        <v>-431.37181361883034</v>
      </c>
    </row>
    <row r="8057" spans="21:22">
      <c r="U8057">
        <v>8015</v>
      </c>
      <c r="V8057" s="197">
        <v>-428.5830402499351</v>
      </c>
    </row>
    <row r="8058" spans="21:22">
      <c r="U8058">
        <v>8016</v>
      </c>
      <c r="V8058" s="197">
        <v>1210.00733313408</v>
      </c>
    </row>
    <row r="8059" spans="21:22">
      <c r="U8059">
        <v>8017</v>
      </c>
      <c r="V8059" s="197">
        <v>302.8782902350099</v>
      </c>
    </row>
    <row r="8060" spans="21:22">
      <c r="U8060">
        <v>8018</v>
      </c>
      <c r="V8060" s="197">
        <v>475.85157240988008</v>
      </c>
    </row>
    <row r="8061" spans="21:22">
      <c r="U8061">
        <v>8019</v>
      </c>
      <c r="V8061" s="197">
        <v>47.738640683294534</v>
      </c>
    </row>
    <row r="8062" spans="21:22">
      <c r="U8062">
        <v>8020</v>
      </c>
      <c r="V8062" s="197">
        <v>-1185.4983342114786</v>
      </c>
    </row>
    <row r="8063" spans="21:22">
      <c r="U8063">
        <v>8021</v>
      </c>
      <c r="V8063" s="197">
        <v>-1046.0495288066511</v>
      </c>
    </row>
    <row r="8064" spans="21:22">
      <c r="U8064">
        <v>8022</v>
      </c>
      <c r="V8064" s="197">
        <v>-791.46283768823173</v>
      </c>
    </row>
    <row r="8065" spans="21:22">
      <c r="U8065">
        <v>8023</v>
      </c>
      <c r="V8065" s="197">
        <v>-455.36874686308516</v>
      </c>
    </row>
    <row r="8066" spans="21:22">
      <c r="U8066">
        <v>8024</v>
      </c>
      <c r="V8066" s="197">
        <v>581.90215032905417</v>
      </c>
    </row>
    <row r="8067" spans="21:22">
      <c r="U8067">
        <v>8025</v>
      </c>
      <c r="V8067" s="197">
        <v>119.36176456679098</v>
      </c>
    </row>
    <row r="8068" spans="21:22">
      <c r="U8068">
        <v>8026</v>
      </c>
      <c r="V8068" s="197">
        <v>369.13995802918726</v>
      </c>
    </row>
    <row r="8069" spans="21:22">
      <c r="U8069">
        <v>8027</v>
      </c>
      <c r="V8069" s="197">
        <v>1117.7652268953125</v>
      </c>
    </row>
    <row r="8070" spans="21:22">
      <c r="U8070">
        <v>8028</v>
      </c>
      <c r="V8070" s="197">
        <v>-757.02578854981221</v>
      </c>
    </row>
    <row r="8071" spans="21:22">
      <c r="U8071">
        <v>8029</v>
      </c>
      <c r="V8071" s="197">
        <v>-2791.2671090630934</v>
      </c>
    </row>
    <row r="8072" spans="21:22">
      <c r="U8072">
        <v>8030</v>
      </c>
      <c r="V8072" s="197">
        <v>-206.2633858530175</v>
      </c>
    </row>
    <row r="8073" spans="21:22">
      <c r="U8073">
        <v>8031</v>
      </c>
      <c r="V8073" s="197">
        <v>-373.04354315410552</v>
      </c>
    </row>
    <row r="8074" spans="21:22">
      <c r="U8074">
        <v>8032</v>
      </c>
      <c r="V8074" s="197">
        <v>2121.3010019212184</v>
      </c>
    </row>
    <row r="8075" spans="21:22">
      <c r="U8075">
        <v>8033</v>
      </c>
      <c r="V8075" s="197">
        <v>-487.76406181950284</v>
      </c>
    </row>
    <row r="8076" spans="21:22">
      <c r="U8076">
        <v>8034</v>
      </c>
      <c r="V8076" s="197">
        <v>948.57176450439374</v>
      </c>
    </row>
    <row r="8077" spans="21:22">
      <c r="U8077">
        <v>8035</v>
      </c>
      <c r="V8077" s="197">
        <v>-1822.2404598585088</v>
      </c>
    </row>
    <row r="8078" spans="21:22">
      <c r="U8078">
        <v>8036</v>
      </c>
      <c r="V8078" s="197">
        <v>594.2572739306413</v>
      </c>
    </row>
    <row r="8079" spans="21:22">
      <c r="U8079">
        <v>8037</v>
      </c>
      <c r="V8079" s="197">
        <v>536.1910084931975</v>
      </c>
    </row>
    <row r="8080" spans="21:22">
      <c r="U8080">
        <v>8038</v>
      </c>
      <c r="V8080" s="197">
        <v>632.3750807575916</v>
      </c>
    </row>
    <row r="8081" spans="21:22">
      <c r="U8081">
        <v>8039</v>
      </c>
      <c r="V8081" s="197">
        <v>-1113.586676857924</v>
      </c>
    </row>
    <row r="8082" spans="21:22">
      <c r="U8082">
        <v>8040</v>
      </c>
      <c r="V8082" s="197">
        <v>-788.40543284045384</v>
      </c>
    </row>
    <row r="8083" spans="21:22">
      <c r="U8083">
        <v>8041</v>
      </c>
      <c r="V8083" s="197">
        <v>485.09366201243569</v>
      </c>
    </row>
    <row r="8084" spans="21:22">
      <c r="U8084">
        <v>8042</v>
      </c>
      <c r="V8084" s="197">
        <v>1540.279861079395</v>
      </c>
    </row>
    <row r="8085" spans="21:22">
      <c r="U8085">
        <v>8043</v>
      </c>
      <c r="V8085" s="197">
        <v>363.93813372609173</v>
      </c>
    </row>
    <row r="8086" spans="21:22">
      <c r="U8086">
        <v>8044</v>
      </c>
      <c r="V8086" s="197">
        <v>-782.17132995518273</v>
      </c>
    </row>
    <row r="8087" spans="21:22">
      <c r="U8087">
        <v>8045</v>
      </c>
      <c r="V8087" s="197">
        <v>1097.677338914182</v>
      </c>
    </row>
    <row r="8088" spans="21:22">
      <c r="U8088">
        <v>8046</v>
      </c>
      <c r="V8088" s="197">
        <v>300.02200417085089</v>
      </c>
    </row>
    <row r="8089" spans="21:22">
      <c r="U8089">
        <v>8047</v>
      </c>
      <c r="V8089" s="197">
        <v>319.43783748477267</v>
      </c>
    </row>
    <row r="8090" spans="21:22">
      <c r="U8090">
        <v>8048</v>
      </c>
      <c r="V8090" s="197">
        <v>557.38150140965081</v>
      </c>
    </row>
    <row r="8091" spans="21:22">
      <c r="U8091">
        <v>8049</v>
      </c>
      <c r="V8091" s="197">
        <v>-875.31631759221477</v>
      </c>
    </row>
    <row r="8092" spans="21:22">
      <c r="U8092">
        <v>8050</v>
      </c>
      <c r="V8092" s="197">
        <v>2190.3158079076329</v>
      </c>
    </row>
    <row r="8093" spans="21:22">
      <c r="U8093">
        <v>8051</v>
      </c>
      <c r="V8093" s="197">
        <v>1834.276808829072</v>
      </c>
    </row>
    <row r="8094" spans="21:22">
      <c r="U8094">
        <v>8052</v>
      </c>
      <c r="V8094" s="197">
        <v>-116.16415591795618</v>
      </c>
    </row>
    <row r="8095" spans="21:22">
      <c r="U8095">
        <v>8053</v>
      </c>
      <c r="V8095" s="197">
        <v>2303.4567159304233</v>
      </c>
    </row>
    <row r="8096" spans="21:22">
      <c r="U8096">
        <v>8054</v>
      </c>
      <c r="V8096" s="197">
        <v>499.01611876337734</v>
      </c>
    </row>
    <row r="8097" spans="21:22">
      <c r="U8097">
        <v>8055</v>
      </c>
      <c r="V8097" s="197">
        <v>356.67474531388575</v>
      </c>
    </row>
    <row r="8098" spans="21:22">
      <c r="U8098">
        <v>8056</v>
      </c>
      <c r="V8098" s="197">
        <v>147.35749485717434</v>
      </c>
    </row>
    <row r="8099" spans="21:22">
      <c r="U8099">
        <v>8057</v>
      </c>
      <c r="V8099" s="197">
        <v>-1393.4707678458783</v>
      </c>
    </row>
    <row r="8100" spans="21:22">
      <c r="U8100">
        <v>8058</v>
      </c>
      <c r="V8100" s="197">
        <v>566.5909455638805</v>
      </c>
    </row>
    <row r="8101" spans="21:22">
      <c r="U8101">
        <v>8059</v>
      </c>
      <c r="V8101" s="197">
        <v>-1425.8670250153657</v>
      </c>
    </row>
    <row r="8102" spans="21:22">
      <c r="U8102">
        <v>8060</v>
      </c>
      <c r="V8102" s="197">
        <v>2009.3788720703926</v>
      </c>
    </row>
    <row r="8103" spans="21:22">
      <c r="U8103">
        <v>8061</v>
      </c>
      <c r="V8103" s="197">
        <v>-497.28991784390161</v>
      </c>
    </row>
    <row r="8104" spans="21:22">
      <c r="U8104">
        <v>8062</v>
      </c>
      <c r="V8104" s="197">
        <v>-1312.2077806250379</v>
      </c>
    </row>
    <row r="8105" spans="21:22">
      <c r="U8105">
        <v>8063</v>
      </c>
      <c r="V8105" s="197">
        <v>124.99668834499106</v>
      </c>
    </row>
    <row r="8106" spans="21:22">
      <c r="U8106">
        <v>8064</v>
      </c>
      <c r="V8106" s="197">
        <v>1553.390914662891</v>
      </c>
    </row>
    <row r="8107" spans="21:22">
      <c r="U8107">
        <v>8065</v>
      </c>
      <c r="V8107" s="197">
        <v>-316.55856816530394</v>
      </c>
    </row>
    <row r="8108" spans="21:22">
      <c r="U8108">
        <v>8066</v>
      </c>
      <c r="V8108" s="197">
        <v>-521.44995024867626</v>
      </c>
    </row>
    <row r="8109" spans="21:22">
      <c r="U8109">
        <v>8067</v>
      </c>
      <c r="V8109" s="197">
        <v>-836.85925947574606</v>
      </c>
    </row>
    <row r="8110" spans="21:22">
      <c r="U8110">
        <v>8068</v>
      </c>
      <c r="V8110" s="197">
        <v>977.48962242133621</v>
      </c>
    </row>
    <row r="8111" spans="21:22">
      <c r="U8111">
        <v>8069</v>
      </c>
      <c r="V8111" s="197">
        <v>-155.04706016811917</v>
      </c>
    </row>
    <row r="8112" spans="21:22">
      <c r="U8112">
        <v>8070</v>
      </c>
      <c r="V8112" s="197">
        <v>286.58280417623348</v>
      </c>
    </row>
    <row r="8113" spans="21:22">
      <c r="U8113">
        <v>8071</v>
      </c>
      <c r="V8113" s="197">
        <v>-619.80688695555864</v>
      </c>
    </row>
    <row r="8114" spans="21:22">
      <c r="U8114">
        <v>8072</v>
      </c>
      <c r="V8114" s="197">
        <v>936.7688745813025</v>
      </c>
    </row>
    <row r="8115" spans="21:22">
      <c r="U8115">
        <v>8073</v>
      </c>
      <c r="V8115" s="197">
        <v>-104.57973484214119</v>
      </c>
    </row>
    <row r="8116" spans="21:22">
      <c r="U8116">
        <v>8074</v>
      </c>
      <c r="V8116" s="197">
        <v>-690.21022691171243</v>
      </c>
    </row>
    <row r="8117" spans="21:22">
      <c r="U8117">
        <v>8075</v>
      </c>
      <c r="V8117" s="197">
        <v>-811.03619897117005</v>
      </c>
    </row>
    <row r="8118" spans="21:22">
      <c r="U8118">
        <v>8076</v>
      </c>
      <c r="V8118" s="197">
        <v>-673.27452876458574</v>
      </c>
    </row>
    <row r="8119" spans="21:22">
      <c r="U8119">
        <v>8077</v>
      </c>
      <c r="V8119" s="197">
        <v>-806.47948506688476</v>
      </c>
    </row>
    <row r="8120" spans="21:22">
      <c r="U8120">
        <v>8078</v>
      </c>
      <c r="V8120" s="197">
        <v>-1473.5197518642419</v>
      </c>
    </row>
    <row r="8121" spans="21:22">
      <c r="U8121">
        <v>8079</v>
      </c>
      <c r="V8121" s="197">
        <v>-341.81344846763631</v>
      </c>
    </row>
    <row r="8122" spans="21:22">
      <c r="U8122">
        <v>8080</v>
      </c>
      <c r="V8122" s="197">
        <v>642.58962119037506</v>
      </c>
    </row>
    <row r="8123" spans="21:22">
      <c r="U8123">
        <v>8081</v>
      </c>
      <c r="V8123" s="197">
        <v>-24.369530041894379</v>
      </c>
    </row>
    <row r="8124" spans="21:22">
      <c r="U8124">
        <v>8082</v>
      </c>
      <c r="V8124" s="197">
        <v>-417.9916010293453</v>
      </c>
    </row>
    <row r="8125" spans="21:22">
      <c r="U8125">
        <v>8083</v>
      </c>
      <c r="V8125" s="197">
        <v>1310.8589486384185</v>
      </c>
    </row>
    <row r="8126" spans="21:22">
      <c r="U8126">
        <v>8084</v>
      </c>
      <c r="V8126" s="197">
        <v>1261.3449025100517</v>
      </c>
    </row>
    <row r="8127" spans="21:22">
      <c r="U8127">
        <v>8085</v>
      </c>
      <c r="V8127" s="197">
        <v>-447.187237769982</v>
      </c>
    </row>
    <row r="8128" spans="21:22">
      <c r="U8128">
        <v>8086</v>
      </c>
      <c r="V8128" s="197">
        <v>2169.4667105130193</v>
      </c>
    </row>
    <row r="8129" spans="21:22">
      <c r="U8129">
        <v>8087</v>
      </c>
      <c r="V8129" s="197">
        <v>-103.63517473434146</v>
      </c>
    </row>
    <row r="8130" spans="21:22">
      <c r="U8130">
        <v>8088</v>
      </c>
      <c r="V8130" s="197">
        <v>555.40549852044433</v>
      </c>
    </row>
    <row r="8131" spans="21:22">
      <c r="U8131">
        <v>8089</v>
      </c>
      <c r="V8131" s="197">
        <v>-260.2694761516014</v>
      </c>
    </row>
    <row r="8132" spans="21:22">
      <c r="U8132">
        <v>8090</v>
      </c>
      <c r="V8132" s="197">
        <v>-842.60856555365831</v>
      </c>
    </row>
    <row r="8133" spans="21:22">
      <c r="U8133">
        <v>8091</v>
      </c>
      <c r="V8133" s="197">
        <v>766.50834393515947</v>
      </c>
    </row>
    <row r="8134" spans="21:22">
      <c r="U8134">
        <v>8092</v>
      </c>
      <c r="V8134" s="197">
        <v>370.17530415117301</v>
      </c>
    </row>
    <row r="8135" spans="21:22">
      <c r="U8135">
        <v>8093</v>
      </c>
      <c r="V8135" s="197">
        <v>1567.0501466343794</v>
      </c>
    </row>
    <row r="8136" spans="21:22">
      <c r="U8136">
        <v>8094</v>
      </c>
      <c r="V8136" s="197">
        <v>1178.7589883455428</v>
      </c>
    </row>
    <row r="8137" spans="21:22">
      <c r="U8137">
        <v>8095</v>
      </c>
      <c r="V8137" s="197">
        <v>-755.82641139496036</v>
      </c>
    </row>
    <row r="8138" spans="21:22">
      <c r="U8138">
        <v>8096</v>
      </c>
      <c r="V8138" s="197">
        <v>384.08869493740866</v>
      </c>
    </row>
    <row r="8139" spans="21:22">
      <c r="U8139">
        <v>8097</v>
      </c>
      <c r="V8139" s="197">
        <v>-249.42787206418399</v>
      </c>
    </row>
    <row r="8140" spans="21:22">
      <c r="U8140">
        <v>8098</v>
      </c>
      <c r="V8140" s="197">
        <v>-316.75889343078882</v>
      </c>
    </row>
    <row r="8141" spans="21:22">
      <c r="U8141">
        <v>8099</v>
      </c>
      <c r="V8141" s="197">
        <v>-1547.5457734707636</v>
      </c>
    </row>
    <row r="8142" spans="21:22">
      <c r="U8142">
        <v>8100</v>
      </c>
      <c r="V8142" s="197">
        <v>249.49309799768304</v>
      </c>
    </row>
    <row r="8143" spans="21:22">
      <c r="U8143">
        <v>8101</v>
      </c>
      <c r="V8143" s="197">
        <v>-1110.8865695813824</v>
      </c>
    </row>
    <row r="8144" spans="21:22">
      <c r="U8144">
        <v>8102</v>
      </c>
      <c r="V8144" s="197">
        <v>-39.179464872475222</v>
      </c>
    </row>
    <row r="8145" spans="21:22">
      <c r="U8145">
        <v>8103</v>
      </c>
      <c r="V8145" s="197">
        <v>-128.0316590365839</v>
      </c>
    </row>
    <row r="8146" spans="21:22">
      <c r="U8146">
        <v>8104</v>
      </c>
      <c r="V8146" s="197">
        <v>-515.85308736996353</v>
      </c>
    </row>
    <row r="8147" spans="21:22">
      <c r="U8147">
        <v>8105</v>
      </c>
      <c r="V8147" s="197">
        <v>-148.32228370272952</v>
      </c>
    </row>
    <row r="8148" spans="21:22">
      <c r="U8148">
        <v>8106</v>
      </c>
      <c r="V8148" s="197">
        <v>-352.33651022243453</v>
      </c>
    </row>
    <row r="8149" spans="21:22">
      <c r="U8149">
        <v>8107</v>
      </c>
      <c r="V8149" s="197">
        <v>215.79850057695501</v>
      </c>
    </row>
    <row r="8150" spans="21:22">
      <c r="U8150">
        <v>8108</v>
      </c>
      <c r="V8150" s="197">
        <v>568.07224429431096</v>
      </c>
    </row>
    <row r="8151" spans="21:22">
      <c r="U8151">
        <v>8109</v>
      </c>
      <c r="V8151" s="197">
        <v>460.88657875732798</v>
      </c>
    </row>
    <row r="8152" spans="21:22">
      <c r="U8152">
        <v>8110</v>
      </c>
      <c r="V8152" s="197">
        <v>123.89842046316298</v>
      </c>
    </row>
    <row r="8153" spans="21:22">
      <c r="U8153">
        <v>8111</v>
      </c>
      <c r="V8153" s="197">
        <v>-513.59904323205251</v>
      </c>
    </row>
    <row r="8154" spans="21:22">
      <c r="U8154">
        <v>8112</v>
      </c>
      <c r="V8154" s="197">
        <v>99.839329765837135</v>
      </c>
    </row>
    <row r="8155" spans="21:22">
      <c r="U8155">
        <v>8113</v>
      </c>
      <c r="V8155" s="197">
        <v>-404.54465894044449</v>
      </c>
    </row>
    <row r="8156" spans="21:22">
      <c r="U8156">
        <v>8114</v>
      </c>
      <c r="V8156" s="197">
        <v>1127.8475936436375</v>
      </c>
    </row>
    <row r="8157" spans="21:22">
      <c r="U8157">
        <v>8115</v>
      </c>
      <c r="V8157" s="197">
        <v>-2818.9637167278916</v>
      </c>
    </row>
    <row r="8158" spans="21:22">
      <c r="U8158">
        <v>8116</v>
      </c>
      <c r="V8158" s="197">
        <v>-20.233451470954648</v>
      </c>
    </row>
    <row r="8159" spans="21:22">
      <c r="U8159">
        <v>8117</v>
      </c>
      <c r="V8159" s="197">
        <v>-132.51041009602127</v>
      </c>
    </row>
    <row r="8160" spans="21:22">
      <c r="U8160">
        <v>8118</v>
      </c>
      <c r="V8160" s="197">
        <v>-1289.7117311293594</v>
      </c>
    </row>
    <row r="8161" spans="21:22">
      <c r="U8161">
        <v>8119</v>
      </c>
      <c r="V8161" s="197">
        <v>850.58978058900311</v>
      </c>
    </row>
    <row r="8162" spans="21:22">
      <c r="U8162">
        <v>8120</v>
      </c>
      <c r="V8162" s="197">
        <v>25.236033613217216</v>
      </c>
    </row>
    <row r="8163" spans="21:22">
      <c r="U8163">
        <v>8121</v>
      </c>
      <c r="V8163" s="197">
        <v>-128.21307077183772</v>
      </c>
    </row>
    <row r="8164" spans="21:22">
      <c r="U8164">
        <v>8122</v>
      </c>
      <c r="V8164" s="197">
        <v>855.46369541386639</v>
      </c>
    </row>
    <row r="8165" spans="21:22">
      <c r="U8165">
        <v>8123</v>
      </c>
      <c r="V8165" s="197">
        <v>-2392.992505892772</v>
      </c>
    </row>
    <row r="8166" spans="21:22">
      <c r="U8166">
        <v>8124</v>
      </c>
      <c r="V8166" s="197">
        <v>189.39375071448649</v>
      </c>
    </row>
    <row r="8167" spans="21:22">
      <c r="U8167">
        <v>8125</v>
      </c>
      <c r="V8167" s="197">
        <v>-1378.8913427742596</v>
      </c>
    </row>
    <row r="8168" spans="21:22">
      <c r="U8168">
        <v>8126</v>
      </c>
      <c r="V8168" s="197">
        <v>634.47679174886503</v>
      </c>
    </row>
    <row r="8169" spans="21:22">
      <c r="U8169">
        <v>8127</v>
      </c>
      <c r="V8169" s="197">
        <v>233.09160503529733</v>
      </c>
    </row>
    <row r="8170" spans="21:22">
      <c r="U8170">
        <v>8128</v>
      </c>
      <c r="V8170" s="197">
        <v>889.15852913660319</v>
      </c>
    </row>
    <row r="8171" spans="21:22">
      <c r="U8171">
        <v>8129</v>
      </c>
      <c r="V8171" s="197">
        <v>-1725.9969508545648</v>
      </c>
    </row>
    <row r="8172" spans="21:22">
      <c r="U8172">
        <v>8130</v>
      </c>
      <c r="V8172" s="197">
        <v>-61.639378853121741</v>
      </c>
    </row>
    <row r="8173" spans="21:22">
      <c r="U8173">
        <v>8131</v>
      </c>
      <c r="V8173" s="197">
        <v>738.67347301011091</v>
      </c>
    </row>
    <row r="8174" spans="21:22">
      <c r="U8174">
        <v>8132</v>
      </c>
      <c r="V8174" s="197">
        <v>322.0349519438206</v>
      </c>
    </row>
    <row r="8175" spans="21:22">
      <c r="U8175">
        <v>8133</v>
      </c>
      <c r="V8175" s="197">
        <v>1262.5119444277143</v>
      </c>
    </row>
    <row r="8176" spans="21:22">
      <c r="U8176">
        <v>8134</v>
      </c>
      <c r="V8176" s="197">
        <v>-606.89864641001668</v>
      </c>
    </row>
    <row r="8177" spans="21:22">
      <c r="U8177">
        <v>8135</v>
      </c>
      <c r="V8177" s="197">
        <v>544.18707666262037</v>
      </c>
    </row>
    <row r="8178" spans="21:22">
      <c r="U8178">
        <v>8136</v>
      </c>
      <c r="V8178" s="197">
        <v>322.26116432145773</v>
      </c>
    </row>
    <row r="8179" spans="21:22">
      <c r="U8179">
        <v>8137</v>
      </c>
      <c r="V8179" s="197">
        <v>-208.50585908929173</v>
      </c>
    </row>
    <row r="8180" spans="21:22">
      <c r="U8180">
        <v>8138</v>
      </c>
      <c r="V8180" s="197">
        <v>-841.45349445901661</v>
      </c>
    </row>
    <row r="8181" spans="21:22">
      <c r="U8181">
        <v>8139</v>
      </c>
      <c r="V8181" s="197">
        <v>-505.1416380869577</v>
      </c>
    </row>
    <row r="8182" spans="21:22">
      <c r="U8182">
        <v>8140</v>
      </c>
      <c r="V8182" s="197">
        <v>560.71323982458193</v>
      </c>
    </row>
    <row r="8183" spans="21:22">
      <c r="U8183">
        <v>8141</v>
      </c>
      <c r="V8183" s="197">
        <v>-190.65029716006461</v>
      </c>
    </row>
    <row r="8184" spans="21:22">
      <c r="U8184">
        <v>8142</v>
      </c>
      <c r="V8184" s="197">
        <v>-4.7575743910586397</v>
      </c>
    </row>
    <row r="8185" spans="21:22">
      <c r="U8185">
        <v>8143</v>
      </c>
      <c r="V8185" s="197">
        <v>-443.38171217095777</v>
      </c>
    </row>
    <row r="8186" spans="21:22">
      <c r="U8186">
        <v>8144</v>
      </c>
      <c r="V8186" s="197">
        <v>-325.57219602928302</v>
      </c>
    </row>
    <row r="8187" spans="21:22">
      <c r="U8187">
        <v>8145</v>
      </c>
      <c r="V8187" s="197">
        <v>-133.24611557673677</v>
      </c>
    </row>
    <row r="8188" spans="21:22">
      <c r="U8188">
        <v>8146</v>
      </c>
      <c r="V8188" s="197">
        <v>-2048.5273548604428</v>
      </c>
    </row>
    <row r="8189" spans="21:22">
      <c r="U8189">
        <v>8147</v>
      </c>
      <c r="V8189" s="197">
        <v>1292.9303449301331</v>
      </c>
    </row>
    <row r="8190" spans="21:22">
      <c r="U8190">
        <v>8148</v>
      </c>
      <c r="V8190" s="197">
        <v>257.98655561846294</v>
      </c>
    </row>
    <row r="8191" spans="21:22">
      <c r="U8191">
        <v>8149</v>
      </c>
      <c r="V8191" s="197">
        <v>1412.8443483557342</v>
      </c>
    </row>
    <row r="8192" spans="21:22">
      <c r="U8192">
        <v>8150</v>
      </c>
      <c r="V8192" s="197">
        <v>-454.2159034119174</v>
      </c>
    </row>
    <row r="8193" spans="21:22">
      <c r="U8193">
        <v>8151</v>
      </c>
      <c r="V8193" s="197">
        <v>-2193.2126337563427</v>
      </c>
    </row>
    <row r="8194" spans="21:22">
      <c r="U8194">
        <v>8152</v>
      </c>
      <c r="V8194" s="197">
        <v>1055.0545559599043</v>
      </c>
    </row>
    <row r="8195" spans="21:22">
      <c r="U8195">
        <v>8153</v>
      </c>
      <c r="V8195" s="197">
        <v>-799.58212402419963</v>
      </c>
    </row>
    <row r="8196" spans="21:22">
      <c r="U8196">
        <v>8154</v>
      </c>
      <c r="V8196" s="197">
        <v>-588.06622815700666</v>
      </c>
    </row>
    <row r="8197" spans="21:22">
      <c r="U8197">
        <v>8155</v>
      </c>
      <c r="V8197" s="197">
        <v>475.12083878654374</v>
      </c>
    </row>
    <row r="8198" spans="21:22">
      <c r="U8198">
        <v>8156</v>
      </c>
      <c r="V8198" s="197">
        <v>-1861.8810496160718</v>
      </c>
    </row>
    <row r="8199" spans="21:22">
      <c r="U8199">
        <v>8157</v>
      </c>
      <c r="V8199" s="197">
        <v>859.94691772666033</v>
      </c>
    </row>
    <row r="8200" spans="21:22">
      <c r="U8200">
        <v>8158</v>
      </c>
      <c r="V8200" s="197">
        <v>1264.7816454552242</v>
      </c>
    </row>
    <row r="8201" spans="21:22">
      <c r="U8201">
        <v>8159</v>
      </c>
      <c r="V8201" s="197">
        <v>-991.8094253835925</v>
      </c>
    </row>
    <row r="8202" spans="21:22">
      <c r="U8202">
        <v>8160</v>
      </c>
      <c r="V8202" s="197">
        <v>-481.68985356872355</v>
      </c>
    </row>
    <row r="8203" spans="21:22">
      <c r="U8203">
        <v>8161</v>
      </c>
      <c r="V8203" s="197">
        <v>893.68626968165609</v>
      </c>
    </row>
    <row r="8204" spans="21:22">
      <c r="U8204">
        <v>8162</v>
      </c>
      <c r="V8204" s="197">
        <v>-416.48400941015149</v>
      </c>
    </row>
    <row r="8205" spans="21:22">
      <c r="U8205">
        <v>8163</v>
      </c>
      <c r="V8205" s="197">
        <v>-235.92213200046695</v>
      </c>
    </row>
    <row r="8206" spans="21:22">
      <c r="U8206">
        <v>8164</v>
      </c>
      <c r="V8206" s="197">
        <v>744.08851977432118</v>
      </c>
    </row>
    <row r="8207" spans="21:22">
      <c r="U8207">
        <v>8165</v>
      </c>
      <c r="V8207" s="197">
        <v>-193.80210311720361</v>
      </c>
    </row>
    <row r="8208" spans="21:22">
      <c r="U8208">
        <v>8166</v>
      </c>
      <c r="V8208" s="197">
        <v>1067.9714590443921</v>
      </c>
    </row>
    <row r="8209" spans="21:22">
      <c r="U8209">
        <v>8167</v>
      </c>
      <c r="V8209" s="197">
        <v>1330.7571484962716</v>
      </c>
    </row>
    <row r="8210" spans="21:22">
      <c r="U8210">
        <v>8168</v>
      </c>
      <c r="V8210" s="197">
        <v>-872.17004627892538</v>
      </c>
    </row>
    <row r="8211" spans="21:22">
      <c r="U8211">
        <v>8169</v>
      </c>
      <c r="V8211" s="197">
        <v>1398.8921662588859</v>
      </c>
    </row>
    <row r="8212" spans="21:22">
      <c r="U8212">
        <v>8170</v>
      </c>
      <c r="V8212" s="197">
        <v>82.523283425182143</v>
      </c>
    </row>
    <row r="8213" spans="21:22">
      <c r="U8213">
        <v>8171</v>
      </c>
      <c r="V8213" s="197">
        <v>-599.34229048609063</v>
      </c>
    </row>
    <row r="8214" spans="21:22">
      <c r="U8214">
        <v>8172</v>
      </c>
      <c r="V8214" s="197">
        <v>-97.658216389979344</v>
      </c>
    </row>
    <row r="8215" spans="21:22">
      <c r="U8215">
        <v>8173</v>
      </c>
      <c r="V8215" s="197">
        <v>48.129698081029879</v>
      </c>
    </row>
    <row r="8216" spans="21:22">
      <c r="U8216">
        <v>8174</v>
      </c>
      <c r="V8216" s="197">
        <v>275.15766157481073</v>
      </c>
    </row>
    <row r="8217" spans="21:22">
      <c r="U8217">
        <v>8175</v>
      </c>
      <c r="V8217" s="197">
        <v>209.73070836455338</v>
      </c>
    </row>
    <row r="8218" spans="21:22">
      <c r="U8218">
        <v>8176</v>
      </c>
      <c r="V8218" s="197">
        <v>-197.63366371073062</v>
      </c>
    </row>
    <row r="8219" spans="21:22">
      <c r="U8219">
        <v>8177</v>
      </c>
      <c r="V8219" s="197">
        <v>1952.015106154814</v>
      </c>
    </row>
    <row r="8220" spans="21:22">
      <c r="U8220">
        <v>8178</v>
      </c>
      <c r="V8220" s="197">
        <v>577.99940602498714</v>
      </c>
    </row>
    <row r="8221" spans="21:22">
      <c r="U8221">
        <v>8179</v>
      </c>
      <c r="V8221" s="197">
        <v>-490.71493052032628</v>
      </c>
    </row>
    <row r="8222" spans="21:22">
      <c r="U8222">
        <v>8180</v>
      </c>
      <c r="V8222" s="197">
        <v>-1249.1441965904389</v>
      </c>
    </row>
    <row r="8223" spans="21:22">
      <c r="U8223">
        <v>8181</v>
      </c>
      <c r="V8223" s="197">
        <v>497.40493462643582</v>
      </c>
    </row>
    <row r="8224" spans="21:22">
      <c r="U8224">
        <v>8182</v>
      </c>
      <c r="V8224" s="197">
        <v>553.0909173873456</v>
      </c>
    </row>
    <row r="8225" spans="21:22">
      <c r="U8225">
        <v>8183</v>
      </c>
      <c r="V8225" s="197">
        <v>-454.16795218318845</v>
      </c>
    </row>
    <row r="8226" spans="21:22">
      <c r="U8226">
        <v>8184</v>
      </c>
      <c r="V8226" s="197">
        <v>636.08727897718677</v>
      </c>
    </row>
    <row r="8227" spans="21:22">
      <c r="U8227">
        <v>8185</v>
      </c>
      <c r="V8227" s="197">
        <v>1483.8634491744497</v>
      </c>
    </row>
    <row r="8228" spans="21:22">
      <c r="U8228">
        <v>8186</v>
      </c>
      <c r="V8228" s="197">
        <v>548.17534333515368</v>
      </c>
    </row>
    <row r="8229" spans="21:22">
      <c r="U8229">
        <v>8187</v>
      </c>
      <c r="V8229" s="197">
        <v>-356.34500459597734</v>
      </c>
    </row>
    <row r="8230" spans="21:22">
      <c r="U8230">
        <v>8188</v>
      </c>
      <c r="V8230" s="197">
        <v>-191.78622465683577</v>
      </c>
    </row>
    <row r="8231" spans="21:22">
      <c r="U8231">
        <v>8189</v>
      </c>
      <c r="V8231" s="197">
        <v>-277.88593409667908</v>
      </c>
    </row>
    <row r="8232" spans="21:22">
      <c r="U8232">
        <v>8190</v>
      </c>
      <c r="V8232" s="197">
        <v>8.1065554485208082</v>
      </c>
    </row>
    <row r="8233" spans="21:22">
      <c r="U8233">
        <v>8191</v>
      </c>
      <c r="V8233" s="197">
        <v>1482.2755526295284</v>
      </c>
    </row>
    <row r="8234" spans="21:22">
      <c r="U8234">
        <v>8192</v>
      </c>
      <c r="V8234" s="197">
        <v>-540.16183415347905</v>
      </c>
    </row>
    <row r="8235" spans="21:22">
      <c r="U8235">
        <v>8193</v>
      </c>
      <c r="V8235" s="197">
        <v>-23.284071876855677</v>
      </c>
    </row>
    <row r="8236" spans="21:22">
      <c r="U8236">
        <v>8194</v>
      </c>
      <c r="V8236" s="197">
        <v>884.28490522753259</v>
      </c>
    </row>
    <row r="8237" spans="21:22">
      <c r="U8237">
        <v>8195</v>
      </c>
      <c r="V8237" s="197">
        <v>-1791.3225617624209</v>
      </c>
    </row>
    <row r="8238" spans="21:22">
      <c r="U8238">
        <v>8196</v>
      </c>
      <c r="V8238" s="197">
        <v>-103.67135368498015</v>
      </c>
    </row>
    <row r="8239" spans="21:22">
      <c r="U8239">
        <v>8197</v>
      </c>
      <c r="V8239" s="197">
        <v>1038.664988034426</v>
      </c>
    </row>
    <row r="8240" spans="21:22">
      <c r="U8240">
        <v>8198</v>
      </c>
      <c r="V8240" s="197">
        <v>587.72360817137007</v>
      </c>
    </row>
    <row r="8241" spans="21:22">
      <c r="U8241">
        <v>8199</v>
      </c>
      <c r="V8241" s="197">
        <v>1170.299718833166</v>
      </c>
    </row>
    <row r="8242" spans="21:22">
      <c r="U8242">
        <v>8200</v>
      </c>
      <c r="V8242" s="197">
        <v>-933.71173717903866</v>
      </c>
    </row>
    <row r="8243" spans="21:22">
      <c r="U8243">
        <v>8201</v>
      </c>
      <c r="V8243" s="197">
        <v>49.844408743470318</v>
      </c>
    </row>
    <row r="8244" spans="21:22">
      <c r="U8244">
        <v>8202</v>
      </c>
      <c r="V8244" s="197">
        <v>1033.0321116213536</v>
      </c>
    </row>
    <row r="8245" spans="21:22">
      <c r="U8245">
        <v>8203</v>
      </c>
      <c r="V8245" s="197">
        <v>1250.708195121719</v>
      </c>
    </row>
    <row r="8246" spans="21:22">
      <c r="U8246">
        <v>8204</v>
      </c>
      <c r="V8246" s="197">
        <v>-1089.2554809409517</v>
      </c>
    </row>
    <row r="8247" spans="21:22">
      <c r="U8247">
        <v>8205</v>
      </c>
      <c r="V8247" s="197">
        <v>370.94522816350872</v>
      </c>
    </row>
    <row r="8248" spans="21:22">
      <c r="U8248">
        <v>8206</v>
      </c>
      <c r="V8248" s="197">
        <v>-1612.318573446609</v>
      </c>
    </row>
    <row r="8249" spans="21:22">
      <c r="U8249">
        <v>8207</v>
      </c>
      <c r="V8249" s="197">
        <v>-801.64732055014019</v>
      </c>
    </row>
    <row r="8250" spans="21:22">
      <c r="U8250">
        <v>8208</v>
      </c>
      <c r="V8250" s="197">
        <v>356.26047876818626</v>
      </c>
    </row>
    <row r="8251" spans="21:22">
      <c r="U8251">
        <v>8209</v>
      </c>
      <c r="V8251" s="197">
        <v>394.23658400155921</v>
      </c>
    </row>
    <row r="8252" spans="21:22">
      <c r="U8252">
        <v>8210</v>
      </c>
      <c r="V8252" s="197">
        <v>131.31017435118139</v>
      </c>
    </row>
    <row r="8253" spans="21:22">
      <c r="U8253">
        <v>8211</v>
      </c>
      <c r="V8253" s="197">
        <v>-2258.0381953083424</v>
      </c>
    </row>
    <row r="8254" spans="21:22">
      <c r="U8254">
        <v>8212</v>
      </c>
      <c r="V8254" s="197">
        <v>1346.0539651436854</v>
      </c>
    </row>
    <row r="8255" spans="21:22">
      <c r="U8255">
        <v>8213</v>
      </c>
      <c r="V8255" s="197">
        <v>-628.25855233855145</v>
      </c>
    </row>
    <row r="8256" spans="21:22">
      <c r="U8256">
        <v>8214</v>
      </c>
      <c r="V8256" s="197">
        <v>1607.3400523439188</v>
      </c>
    </row>
    <row r="8257" spans="21:22">
      <c r="U8257">
        <v>8215</v>
      </c>
      <c r="V8257" s="197">
        <v>-50.044662526036035</v>
      </c>
    </row>
    <row r="8258" spans="21:22">
      <c r="U8258">
        <v>8216</v>
      </c>
      <c r="V8258" s="197">
        <v>1039.6194345425661</v>
      </c>
    </row>
    <row r="8259" spans="21:22">
      <c r="U8259">
        <v>8217</v>
      </c>
      <c r="V8259" s="197">
        <v>-615.182864931425</v>
      </c>
    </row>
    <row r="8260" spans="21:22">
      <c r="U8260">
        <v>8218</v>
      </c>
      <c r="V8260" s="197">
        <v>402.03419819439347</v>
      </c>
    </row>
    <row r="8261" spans="21:22">
      <c r="U8261">
        <v>8219</v>
      </c>
      <c r="V8261" s="197">
        <v>-1217.5455322813075</v>
      </c>
    </row>
    <row r="8262" spans="21:22">
      <c r="U8262">
        <v>8220</v>
      </c>
      <c r="V8262" s="197">
        <v>48.410365816455666</v>
      </c>
    </row>
    <row r="8263" spans="21:22">
      <c r="U8263">
        <v>8221</v>
      </c>
      <c r="V8263" s="197">
        <v>716.205229495602</v>
      </c>
    </row>
    <row r="8264" spans="21:22">
      <c r="U8264">
        <v>8222</v>
      </c>
      <c r="V8264" s="197">
        <v>-535.60985030132088</v>
      </c>
    </row>
    <row r="8265" spans="21:22">
      <c r="U8265">
        <v>8223</v>
      </c>
      <c r="V8265" s="197">
        <v>2433.0070818267891</v>
      </c>
    </row>
    <row r="8266" spans="21:22">
      <c r="U8266">
        <v>8224</v>
      </c>
      <c r="V8266" s="197">
        <v>1722.0301481655133</v>
      </c>
    </row>
    <row r="8267" spans="21:22">
      <c r="U8267">
        <v>8225</v>
      </c>
      <c r="V8267" s="197">
        <v>-1018.9538460347133</v>
      </c>
    </row>
    <row r="8268" spans="21:22">
      <c r="U8268">
        <v>8226</v>
      </c>
      <c r="V8268" s="197">
        <v>704.47948277436012</v>
      </c>
    </row>
    <row r="8269" spans="21:22">
      <c r="U8269">
        <v>8227</v>
      </c>
      <c r="V8269" s="197">
        <v>277.85439883278286</v>
      </c>
    </row>
    <row r="8270" spans="21:22">
      <c r="U8270">
        <v>8228</v>
      </c>
      <c r="V8270" s="197">
        <v>-973.12247535017036</v>
      </c>
    </row>
    <row r="8271" spans="21:22">
      <c r="U8271">
        <v>8229</v>
      </c>
      <c r="V8271" s="197">
        <v>852.73886073589233</v>
      </c>
    </row>
    <row r="8272" spans="21:22">
      <c r="U8272">
        <v>8230</v>
      </c>
      <c r="V8272" s="197">
        <v>-2200.7635119877195</v>
      </c>
    </row>
    <row r="8273" spans="21:22">
      <c r="U8273">
        <v>8231</v>
      </c>
      <c r="V8273" s="197">
        <v>117.46453761686351</v>
      </c>
    </row>
    <row r="8274" spans="21:22">
      <c r="U8274">
        <v>8232</v>
      </c>
      <c r="V8274" s="197">
        <v>-506.13749505664435</v>
      </c>
    </row>
    <row r="8275" spans="21:22">
      <c r="U8275">
        <v>8233</v>
      </c>
      <c r="V8275" s="197">
        <v>-762.70078246531671</v>
      </c>
    </row>
    <row r="8276" spans="21:22">
      <c r="U8276">
        <v>8234</v>
      </c>
      <c r="V8276" s="197">
        <v>1826.7718076954552</v>
      </c>
    </row>
    <row r="8277" spans="21:22">
      <c r="U8277">
        <v>8235</v>
      </c>
      <c r="V8277" s="197">
        <v>552.33832473594566</v>
      </c>
    </row>
    <row r="8278" spans="21:22">
      <c r="U8278">
        <v>8236</v>
      </c>
      <c r="V8278" s="197">
        <v>868.97537072227487</v>
      </c>
    </row>
    <row r="8279" spans="21:22">
      <c r="U8279">
        <v>8237</v>
      </c>
      <c r="V8279" s="197">
        <v>-578.73472546205448</v>
      </c>
    </row>
    <row r="8280" spans="21:22">
      <c r="U8280">
        <v>8238</v>
      </c>
      <c r="V8280" s="197">
        <v>1945.236297519087</v>
      </c>
    </row>
    <row r="8281" spans="21:22">
      <c r="U8281">
        <v>8239</v>
      </c>
      <c r="V8281" s="197">
        <v>-1110.7535409773714</v>
      </c>
    </row>
    <row r="8282" spans="21:22">
      <c r="U8282">
        <v>8240</v>
      </c>
      <c r="V8282" s="197">
        <v>-622.3396827472784</v>
      </c>
    </row>
    <row r="8283" spans="21:22">
      <c r="U8283">
        <v>8241</v>
      </c>
      <c r="V8283" s="197">
        <v>1074.8003357895179</v>
      </c>
    </row>
    <row r="8284" spans="21:22">
      <c r="U8284">
        <v>8242</v>
      </c>
      <c r="V8284" s="197">
        <v>-277.9420181782117</v>
      </c>
    </row>
    <row r="8285" spans="21:22">
      <c r="U8285">
        <v>8243</v>
      </c>
      <c r="V8285" s="197">
        <v>787.87681954853815</v>
      </c>
    </row>
    <row r="8286" spans="21:22">
      <c r="U8286">
        <v>8244</v>
      </c>
      <c r="V8286" s="197">
        <v>538.18033106120959</v>
      </c>
    </row>
    <row r="8287" spans="21:22">
      <c r="U8287">
        <v>8245</v>
      </c>
      <c r="V8287" s="197">
        <v>1302.3311247330939</v>
      </c>
    </row>
    <row r="8288" spans="21:22">
      <c r="U8288">
        <v>8246</v>
      </c>
      <c r="V8288" s="197">
        <v>1362.4401683543258</v>
      </c>
    </row>
    <row r="8289" spans="21:22">
      <c r="U8289">
        <v>8247</v>
      </c>
      <c r="V8289" s="197">
        <v>767.18283159647854</v>
      </c>
    </row>
    <row r="8290" spans="21:22">
      <c r="U8290">
        <v>8248</v>
      </c>
      <c r="V8290" s="197">
        <v>-76.359594457055351</v>
      </c>
    </row>
    <row r="8291" spans="21:22">
      <c r="U8291">
        <v>8249</v>
      </c>
      <c r="V8291" s="197">
        <v>694.33385387281396</v>
      </c>
    </row>
    <row r="8292" spans="21:22">
      <c r="U8292">
        <v>8250</v>
      </c>
      <c r="V8292" s="197">
        <v>-684.98336245241467</v>
      </c>
    </row>
    <row r="8293" spans="21:22">
      <c r="U8293">
        <v>8251</v>
      </c>
      <c r="V8293" s="197">
        <v>-1122.2191398509622</v>
      </c>
    </row>
    <row r="8294" spans="21:22">
      <c r="U8294">
        <v>8252</v>
      </c>
      <c r="V8294" s="197">
        <v>1692.0896919893662</v>
      </c>
    </row>
    <row r="8295" spans="21:22">
      <c r="U8295">
        <v>8253</v>
      </c>
      <c r="V8295" s="197">
        <v>-1721.3511939368411</v>
      </c>
    </row>
    <row r="8296" spans="21:22">
      <c r="U8296">
        <v>8254</v>
      </c>
      <c r="V8296" s="197">
        <v>124.56374607532939</v>
      </c>
    </row>
    <row r="8297" spans="21:22">
      <c r="U8297">
        <v>8255</v>
      </c>
      <c r="V8297" s="197">
        <v>-840.47977155745207</v>
      </c>
    </row>
    <row r="8298" spans="21:22">
      <c r="U8298">
        <v>8256</v>
      </c>
      <c r="V8298" s="197">
        <v>-129.8289852279033</v>
      </c>
    </row>
    <row r="8299" spans="21:22">
      <c r="U8299">
        <v>8257</v>
      </c>
      <c r="V8299" s="197">
        <v>-1036.6863488156014</v>
      </c>
    </row>
    <row r="8300" spans="21:22">
      <c r="U8300">
        <v>8258</v>
      </c>
      <c r="V8300" s="197">
        <v>155.33409203790222</v>
      </c>
    </row>
    <row r="8301" spans="21:22">
      <c r="U8301">
        <v>8259</v>
      </c>
      <c r="V8301" s="197">
        <v>-779.13823660394587</v>
      </c>
    </row>
    <row r="8302" spans="21:22">
      <c r="U8302">
        <v>8260</v>
      </c>
      <c r="V8302" s="197">
        <v>2269.8123374917777</v>
      </c>
    </row>
    <row r="8303" spans="21:22">
      <c r="U8303">
        <v>8261</v>
      </c>
      <c r="V8303" s="197">
        <v>2390.9685560474909</v>
      </c>
    </row>
    <row r="8304" spans="21:22">
      <c r="U8304">
        <v>8262</v>
      </c>
      <c r="V8304" s="197">
        <v>-127.08306351293959</v>
      </c>
    </row>
    <row r="8305" spans="21:22">
      <c r="U8305">
        <v>8263</v>
      </c>
      <c r="V8305" s="197">
        <v>-2218.6471657702482</v>
      </c>
    </row>
    <row r="8306" spans="21:22">
      <c r="U8306">
        <v>8264</v>
      </c>
      <c r="V8306" s="197">
        <v>2444.7524033864584</v>
      </c>
    </row>
    <row r="8307" spans="21:22">
      <c r="U8307">
        <v>8265</v>
      </c>
      <c r="V8307" s="197">
        <v>1295.0098071003754</v>
      </c>
    </row>
    <row r="8308" spans="21:22">
      <c r="U8308">
        <v>8266</v>
      </c>
      <c r="V8308" s="197">
        <v>1136.9405637377636</v>
      </c>
    </row>
    <row r="8309" spans="21:22">
      <c r="U8309">
        <v>8267</v>
      </c>
      <c r="V8309" s="197">
        <v>1628.1524299184182</v>
      </c>
    </row>
    <row r="8310" spans="21:22">
      <c r="U8310">
        <v>8268</v>
      </c>
      <c r="V8310" s="197">
        <v>1227.2797055104645</v>
      </c>
    </row>
    <row r="8311" spans="21:22">
      <c r="U8311">
        <v>8269</v>
      </c>
      <c r="V8311" s="197">
        <v>269.96822529736983</v>
      </c>
    </row>
    <row r="8312" spans="21:22">
      <c r="U8312">
        <v>8270</v>
      </c>
      <c r="V8312" s="197">
        <v>-312.00523505885161</v>
      </c>
    </row>
    <row r="8313" spans="21:22">
      <c r="U8313">
        <v>8271</v>
      </c>
      <c r="V8313" s="197">
        <v>1771.8475465611075</v>
      </c>
    </row>
    <row r="8314" spans="21:22">
      <c r="U8314">
        <v>8272</v>
      </c>
      <c r="V8314" s="197">
        <v>-287.62217284164632</v>
      </c>
    </row>
    <row r="8315" spans="21:22">
      <c r="U8315">
        <v>8273</v>
      </c>
      <c r="V8315" s="197">
        <v>-152.43320908555714</v>
      </c>
    </row>
    <row r="8316" spans="21:22">
      <c r="U8316">
        <v>8274</v>
      </c>
      <c r="V8316" s="197">
        <v>941.01508787258308</v>
      </c>
    </row>
    <row r="8317" spans="21:22">
      <c r="U8317">
        <v>8275</v>
      </c>
      <c r="V8317" s="197">
        <v>1197.4095061453036</v>
      </c>
    </row>
    <row r="8318" spans="21:22">
      <c r="U8318">
        <v>8276</v>
      </c>
      <c r="V8318" s="197">
        <v>-1912.3571841814455</v>
      </c>
    </row>
    <row r="8319" spans="21:22">
      <c r="U8319">
        <v>8277</v>
      </c>
      <c r="V8319" s="197">
        <v>-19.671275497380577</v>
      </c>
    </row>
    <row r="8320" spans="21:22">
      <c r="U8320">
        <v>8278</v>
      </c>
      <c r="V8320" s="197">
        <v>-1249.0431084233421</v>
      </c>
    </row>
    <row r="8321" spans="21:22">
      <c r="U8321">
        <v>8279</v>
      </c>
      <c r="V8321" s="197">
        <v>489.99932241227663</v>
      </c>
    </row>
    <row r="8322" spans="21:22">
      <c r="U8322">
        <v>8280</v>
      </c>
      <c r="V8322" s="197">
        <v>438.09945493845635</v>
      </c>
    </row>
    <row r="8323" spans="21:22">
      <c r="U8323">
        <v>8281</v>
      </c>
      <c r="V8323" s="197">
        <v>-1154.0687244246419</v>
      </c>
    </row>
    <row r="8324" spans="21:22">
      <c r="U8324">
        <v>8282</v>
      </c>
      <c r="V8324" s="197">
        <v>560.38867690476241</v>
      </c>
    </row>
    <row r="8325" spans="21:22">
      <c r="U8325">
        <v>8283</v>
      </c>
      <c r="V8325" s="197">
        <v>-364.57535698441211</v>
      </c>
    </row>
    <row r="8326" spans="21:22">
      <c r="U8326">
        <v>8284</v>
      </c>
      <c r="V8326" s="197">
        <v>-1146.2023725201882</v>
      </c>
    </row>
    <row r="8327" spans="21:22">
      <c r="U8327">
        <v>8285</v>
      </c>
      <c r="V8327" s="197">
        <v>-102.82738241171998</v>
      </c>
    </row>
    <row r="8328" spans="21:22">
      <c r="U8328">
        <v>8286</v>
      </c>
      <c r="V8328" s="197">
        <v>1409.6696509205901</v>
      </c>
    </row>
    <row r="8329" spans="21:22">
      <c r="U8329">
        <v>8287</v>
      </c>
      <c r="V8329" s="197">
        <v>-293.76585303212283</v>
      </c>
    </row>
    <row r="8330" spans="21:22">
      <c r="U8330">
        <v>8288</v>
      </c>
      <c r="V8330" s="197">
        <v>-303.91545297708956</v>
      </c>
    </row>
    <row r="8331" spans="21:22">
      <c r="U8331">
        <v>8289</v>
      </c>
      <c r="V8331" s="197">
        <v>-293.9565435669723</v>
      </c>
    </row>
    <row r="8332" spans="21:22">
      <c r="U8332">
        <v>8290</v>
      </c>
      <c r="V8332" s="197">
        <v>1047.6544794078645</v>
      </c>
    </row>
    <row r="8333" spans="21:22">
      <c r="U8333">
        <v>8291</v>
      </c>
      <c r="V8333" s="197">
        <v>1939.813283220197</v>
      </c>
    </row>
    <row r="8334" spans="21:22">
      <c r="U8334">
        <v>8292</v>
      </c>
      <c r="V8334" s="197">
        <v>1445.5728818081384</v>
      </c>
    </row>
    <row r="8335" spans="21:22">
      <c r="U8335">
        <v>8293</v>
      </c>
      <c r="V8335" s="197">
        <v>938.70610140155054</v>
      </c>
    </row>
    <row r="8336" spans="21:22">
      <c r="U8336">
        <v>8294</v>
      </c>
      <c r="V8336" s="197">
        <v>1286.0841130838498</v>
      </c>
    </row>
    <row r="8337" spans="21:22">
      <c r="U8337">
        <v>8295</v>
      </c>
      <c r="V8337" s="197">
        <v>-1485.2213513157562</v>
      </c>
    </row>
    <row r="8338" spans="21:22">
      <c r="U8338">
        <v>8296</v>
      </c>
      <c r="V8338" s="197">
        <v>-942.68307292586655</v>
      </c>
    </row>
    <row r="8339" spans="21:22">
      <c r="U8339">
        <v>8297</v>
      </c>
      <c r="V8339" s="197">
        <v>1103.7947530110337</v>
      </c>
    </row>
    <row r="8340" spans="21:22">
      <c r="U8340">
        <v>8298</v>
      </c>
      <c r="V8340" s="197">
        <v>-773.8499692757764</v>
      </c>
    </row>
    <row r="8341" spans="21:22">
      <c r="U8341">
        <v>8299</v>
      </c>
      <c r="V8341" s="197">
        <v>449.75611050392928</v>
      </c>
    </row>
    <row r="8342" spans="21:22">
      <c r="U8342">
        <v>8300</v>
      </c>
      <c r="V8342" s="197">
        <v>-123.14560509166591</v>
      </c>
    </row>
    <row r="8343" spans="21:22">
      <c r="U8343">
        <v>8301</v>
      </c>
      <c r="V8343" s="197">
        <v>-1974.8553945626566</v>
      </c>
    </row>
    <row r="8344" spans="21:22">
      <c r="U8344">
        <v>8302</v>
      </c>
      <c r="V8344" s="197">
        <v>699.27504025719077</v>
      </c>
    </row>
    <row r="8345" spans="21:22">
      <c r="U8345">
        <v>8303</v>
      </c>
      <c r="V8345" s="197">
        <v>341.85499484022091</v>
      </c>
    </row>
    <row r="8346" spans="21:22">
      <c r="U8346">
        <v>8304</v>
      </c>
      <c r="V8346" s="197">
        <v>-258.21684991804932</v>
      </c>
    </row>
    <row r="8347" spans="21:22">
      <c r="U8347">
        <v>8305</v>
      </c>
      <c r="V8347" s="197">
        <v>2985.8909690668456</v>
      </c>
    </row>
    <row r="8348" spans="21:22">
      <c r="U8348">
        <v>8306</v>
      </c>
      <c r="V8348" s="197">
        <v>-836.52744831497171</v>
      </c>
    </row>
    <row r="8349" spans="21:22">
      <c r="U8349">
        <v>8307</v>
      </c>
      <c r="V8349" s="197">
        <v>1123.0431449472107</v>
      </c>
    </row>
    <row r="8350" spans="21:22">
      <c r="U8350">
        <v>8308</v>
      </c>
      <c r="V8350" s="197">
        <v>-380.88375754767026</v>
      </c>
    </row>
    <row r="8351" spans="21:22">
      <c r="U8351">
        <v>8309</v>
      </c>
      <c r="V8351" s="197">
        <v>1935.960763366159</v>
      </c>
    </row>
    <row r="8352" spans="21:22">
      <c r="U8352">
        <v>8310</v>
      </c>
      <c r="V8352" s="197">
        <v>-73.605128202393871</v>
      </c>
    </row>
    <row r="8353" spans="21:22">
      <c r="U8353">
        <v>8311</v>
      </c>
      <c r="V8353" s="197">
        <v>2344.3057339114521</v>
      </c>
    </row>
    <row r="8354" spans="21:22">
      <c r="U8354">
        <v>8312</v>
      </c>
      <c r="V8354" s="197">
        <v>30.067322370037303</v>
      </c>
    </row>
    <row r="8355" spans="21:22">
      <c r="U8355">
        <v>8313</v>
      </c>
      <c r="V8355" s="197">
        <v>-1158.0426659465652</v>
      </c>
    </row>
    <row r="8356" spans="21:22">
      <c r="U8356">
        <v>8314</v>
      </c>
      <c r="V8356" s="197">
        <v>-1958.9604607112799</v>
      </c>
    </row>
    <row r="8357" spans="21:22">
      <c r="U8357">
        <v>8315</v>
      </c>
      <c r="V8357" s="197">
        <v>558.59893595486426</v>
      </c>
    </row>
    <row r="8358" spans="21:22">
      <c r="U8358">
        <v>8316</v>
      </c>
      <c r="V8358" s="197">
        <v>-512.60994335651935</v>
      </c>
    </row>
    <row r="8359" spans="21:22">
      <c r="U8359">
        <v>8317</v>
      </c>
      <c r="V8359" s="197">
        <v>2.1376699551687892</v>
      </c>
    </row>
    <row r="8360" spans="21:22">
      <c r="U8360">
        <v>8318</v>
      </c>
      <c r="V8360" s="197">
        <v>440.44527874917168</v>
      </c>
    </row>
    <row r="8361" spans="21:22">
      <c r="U8361">
        <v>8319</v>
      </c>
      <c r="V8361" s="197">
        <v>46.1575000051863</v>
      </c>
    </row>
    <row r="8362" spans="21:22">
      <c r="U8362">
        <v>8320</v>
      </c>
      <c r="V8362" s="197">
        <v>-467.29651064006811</v>
      </c>
    </row>
    <row r="8363" spans="21:22">
      <c r="U8363">
        <v>8321</v>
      </c>
      <c r="V8363" s="197">
        <v>-1120.4153826917106</v>
      </c>
    </row>
    <row r="8364" spans="21:22">
      <c r="U8364">
        <v>8322</v>
      </c>
      <c r="V8364" s="197">
        <v>-1984.3754902846265</v>
      </c>
    </row>
    <row r="8365" spans="21:22">
      <c r="U8365">
        <v>8323</v>
      </c>
      <c r="V8365" s="197">
        <v>741.94780509625843</v>
      </c>
    </row>
    <row r="8366" spans="21:22">
      <c r="U8366">
        <v>8324</v>
      </c>
      <c r="V8366" s="197">
        <v>773.80708998728392</v>
      </c>
    </row>
    <row r="8367" spans="21:22">
      <c r="U8367">
        <v>8325</v>
      </c>
      <c r="V8367" s="197">
        <v>-1549.1800460493546</v>
      </c>
    </row>
    <row r="8368" spans="21:22">
      <c r="U8368">
        <v>8326</v>
      </c>
      <c r="V8368" s="197">
        <v>852.48321123722053</v>
      </c>
    </row>
    <row r="8369" spans="21:22">
      <c r="U8369">
        <v>8327</v>
      </c>
      <c r="V8369" s="197">
        <v>1350.0085690488463</v>
      </c>
    </row>
    <row r="8370" spans="21:22">
      <c r="U8370">
        <v>8328</v>
      </c>
      <c r="V8370" s="197">
        <v>199.59484707933984</v>
      </c>
    </row>
    <row r="8371" spans="21:22">
      <c r="U8371">
        <v>8329</v>
      </c>
      <c r="V8371" s="197">
        <v>-1321.6117794870993</v>
      </c>
    </row>
    <row r="8372" spans="21:22">
      <c r="U8372">
        <v>8330</v>
      </c>
      <c r="V8372" s="197">
        <v>-843.93985833962506</v>
      </c>
    </row>
    <row r="8373" spans="21:22">
      <c r="U8373">
        <v>8331</v>
      </c>
      <c r="V8373" s="197">
        <v>823.29863689361127</v>
      </c>
    </row>
    <row r="8374" spans="21:22">
      <c r="U8374">
        <v>8332</v>
      </c>
      <c r="V8374" s="197">
        <v>844.04972436200001</v>
      </c>
    </row>
    <row r="8375" spans="21:22">
      <c r="U8375">
        <v>8333</v>
      </c>
      <c r="V8375" s="197">
        <v>-456.28831345466637</v>
      </c>
    </row>
    <row r="8376" spans="21:22">
      <c r="U8376">
        <v>8334</v>
      </c>
      <c r="V8376" s="197">
        <v>-169.84842878421358</v>
      </c>
    </row>
    <row r="8377" spans="21:22">
      <c r="U8377">
        <v>8335</v>
      </c>
      <c r="V8377" s="197">
        <v>1293.2417438892878</v>
      </c>
    </row>
    <row r="8378" spans="21:22">
      <c r="U8378">
        <v>8336</v>
      </c>
      <c r="V8378" s="197">
        <v>662.47320458307831</v>
      </c>
    </row>
    <row r="8379" spans="21:22">
      <c r="U8379">
        <v>8337</v>
      </c>
      <c r="V8379" s="197">
        <v>1164.7816730337881</v>
      </c>
    </row>
    <row r="8380" spans="21:22">
      <c r="U8380">
        <v>8338</v>
      </c>
      <c r="V8380" s="197">
        <v>-380.84704696816726</v>
      </c>
    </row>
    <row r="8381" spans="21:22">
      <c r="U8381">
        <v>8339</v>
      </c>
      <c r="V8381" s="197">
        <v>-74.790321197724097</v>
      </c>
    </row>
    <row r="8382" spans="21:22">
      <c r="U8382">
        <v>8340</v>
      </c>
      <c r="V8382" s="197">
        <v>731.40160176396557</v>
      </c>
    </row>
    <row r="8383" spans="21:22">
      <c r="U8383">
        <v>8341</v>
      </c>
      <c r="V8383" s="197">
        <v>193.62873919748444</v>
      </c>
    </row>
    <row r="8384" spans="21:22">
      <c r="U8384">
        <v>8342</v>
      </c>
      <c r="V8384" s="197">
        <v>-132.51864648853331</v>
      </c>
    </row>
    <row r="8385" spans="21:22">
      <c r="U8385">
        <v>8343</v>
      </c>
      <c r="V8385" s="197">
        <v>153.5756867233338</v>
      </c>
    </row>
    <row r="8386" spans="21:22">
      <c r="U8386">
        <v>8344</v>
      </c>
      <c r="V8386" s="197">
        <v>-354.06112982060188</v>
      </c>
    </row>
    <row r="8387" spans="21:22">
      <c r="U8387">
        <v>8345</v>
      </c>
      <c r="V8387" s="197">
        <v>-248.19329005586559</v>
      </c>
    </row>
    <row r="8388" spans="21:22">
      <c r="U8388">
        <v>8346</v>
      </c>
      <c r="V8388" s="197">
        <v>-403.32132726083199</v>
      </c>
    </row>
    <row r="8389" spans="21:22">
      <c r="U8389">
        <v>8347</v>
      </c>
      <c r="V8389" s="197">
        <v>-588.78461576516565</v>
      </c>
    </row>
    <row r="8390" spans="21:22">
      <c r="U8390">
        <v>8348</v>
      </c>
      <c r="V8390" s="197">
        <v>1559.4040949637558</v>
      </c>
    </row>
    <row r="8391" spans="21:22">
      <c r="U8391">
        <v>8349</v>
      </c>
      <c r="V8391" s="197">
        <v>-742.41555134567648</v>
      </c>
    </row>
    <row r="8392" spans="21:22">
      <c r="U8392">
        <v>8350</v>
      </c>
      <c r="V8392" s="197">
        <v>-1408.869835980634</v>
      </c>
    </row>
    <row r="8393" spans="21:22">
      <c r="U8393">
        <v>8351</v>
      </c>
      <c r="V8393" s="197">
        <v>291.144776884039</v>
      </c>
    </row>
    <row r="8394" spans="21:22">
      <c r="U8394">
        <v>8352</v>
      </c>
      <c r="V8394" s="197">
        <v>1561.7994827591351</v>
      </c>
    </row>
    <row r="8395" spans="21:22">
      <c r="U8395">
        <v>8353</v>
      </c>
      <c r="V8395" s="197">
        <v>-2069.2902315745796</v>
      </c>
    </row>
    <row r="8396" spans="21:22">
      <c r="U8396">
        <v>8354</v>
      </c>
      <c r="V8396" s="197">
        <v>-1212.5667436342928</v>
      </c>
    </row>
    <row r="8397" spans="21:22">
      <c r="U8397">
        <v>8355</v>
      </c>
      <c r="V8397" s="197">
        <v>737.12443045112514</v>
      </c>
    </row>
    <row r="8398" spans="21:22">
      <c r="U8398">
        <v>8356</v>
      </c>
      <c r="V8398" s="197">
        <v>959.23993319775309</v>
      </c>
    </row>
    <row r="8399" spans="21:22">
      <c r="U8399">
        <v>8357</v>
      </c>
      <c r="V8399" s="197">
        <v>1085.0073489762194</v>
      </c>
    </row>
    <row r="8400" spans="21:22">
      <c r="U8400">
        <v>8358</v>
      </c>
      <c r="V8400" s="197">
        <v>-845.88716594598804</v>
      </c>
    </row>
    <row r="8401" spans="21:22">
      <c r="U8401">
        <v>8359</v>
      </c>
      <c r="V8401" s="197">
        <v>1689.8249777989108</v>
      </c>
    </row>
    <row r="8402" spans="21:22">
      <c r="U8402">
        <v>8360</v>
      </c>
      <c r="V8402" s="197">
        <v>-1153.5176253662539</v>
      </c>
    </row>
    <row r="8403" spans="21:22">
      <c r="U8403">
        <v>8361</v>
      </c>
      <c r="V8403" s="197">
        <v>-297.71398443832175</v>
      </c>
    </row>
    <row r="8404" spans="21:22">
      <c r="U8404">
        <v>8362</v>
      </c>
      <c r="V8404" s="197">
        <v>-262.06068971166633</v>
      </c>
    </row>
    <row r="8405" spans="21:22">
      <c r="U8405">
        <v>8363</v>
      </c>
      <c r="V8405" s="197">
        <v>750.4516680002464</v>
      </c>
    </row>
    <row r="8406" spans="21:22">
      <c r="U8406">
        <v>8364</v>
      </c>
      <c r="V8406" s="197">
        <v>387.55917424723964</v>
      </c>
    </row>
    <row r="8407" spans="21:22">
      <c r="U8407">
        <v>8365</v>
      </c>
      <c r="V8407" s="197">
        <v>968.76913569824296</v>
      </c>
    </row>
    <row r="8408" spans="21:22">
      <c r="U8408">
        <v>8366</v>
      </c>
      <c r="V8408" s="197">
        <v>-228.8890686455747</v>
      </c>
    </row>
    <row r="8409" spans="21:22">
      <c r="U8409">
        <v>8367</v>
      </c>
      <c r="V8409" s="197">
        <v>-438.90619351033678</v>
      </c>
    </row>
    <row r="8410" spans="21:22">
      <c r="U8410">
        <v>8368</v>
      </c>
      <c r="V8410" s="197">
        <v>194.74128151609338</v>
      </c>
    </row>
    <row r="8411" spans="21:22">
      <c r="U8411">
        <v>8369</v>
      </c>
      <c r="V8411" s="197">
        <v>-73.845404602702388</v>
      </c>
    </row>
    <row r="8412" spans="21:22">
      <c r="U8412">
        <v>8370</v>
      </c>
      <c r="V8412" s="197">
        <v>-305.34345543661209</v>
      </c>
    </row>
    <row r="8413" spans="21:22">
      <c r="U8413">
        <v>8371</v>
      </c>
      <c r="V8413" s="197">
        <v>-622.35941698742181</v>
      </c>
    </row>
    <row r="8414" spans="21:22">
      <c r="U8414">
        <v>8372</v>
      </c>
      <c r="V8414" s="197">
        <v>2173.85900158405</v>
      </c>
    </row>
    <row r="8415" spans="21:22">
      <c r="U8415">
        <v>8373</v>
      </c>
      <c r="V8415" s="197">
        <v>67.457437353914457</v>
      </c>
    </row>
    <row r="8416" spans="21:22">
      <c r="U8416">
        <v>8374</v>
      </c>
      <c r="V8416" s="197">
        <v>1232.5528445936845</v>
      </c>
    </row>
    <row r="8417" spans="21:22">
      <c r="U8417">
        <v>8375</v>
      </c>
      <c r="V8417" s="197">
        <v>-27.109012753167164</v>
      </c>
    </row>
    <row r="8418" spans="21:22">
      <c r="U8418">
        <v>8376</v>
      </c>
      <c r="V8418" s="197">
        <v>644.01775054739187</v>
      </c>
    </row>
    <row r="8419" spans="21:22">
      <c r="U8419">
        <v>8377</v>
      </c>
      <c r="V8419" s="197">
        <v>75.627631007760641</v>
      </c>
    </row>
    <row r="8420" spans="21:22">
      <c r="U8420">
        <v>8378</v>
      </c>
      <c r="V8420" s="197">
        <v>179.28109313510606</v>
      </c>
    </row>
    <row r="8421" spans="21:22">
      <c r="U8421">
        <v>8379</v>
      </c>
      <c r="V8421" s="197">
        <v>430.69287127782457</v>
      </c>
    </row>
    <row r="8422" spans="21:22">
      <c r="U8422">
        <v>8380</v>
      </c>
      <c r="V8422" s="197">
        <v>1163.7618838839126</v>
      </c>
    </row>
    <row r="8423" spans="21:22">
      <c r="U8423">
        <v>8381</v>
      </c>
      <c r="V8423" s="197">
        <v>1166.7079298611509</v>
      </c>
    </row>
    <row r="8424" spans="21:22">
      <c r="U8424">
        <v>8382</v>
      </c>
      <c r="V8424" s="197">
        <v>19.670267532577057</v>
      </c>
    </row>
    <row r="8425" spans="21:22">
      <c r="U8425">
        <v>8383</v>
      </c>
      <c r="V8425" s="197">
        <v>194.97239829134776</v>
      </c>
    </row>
    <row r="8426" spans="21:22">
      <c r="U8426">
        <v>8384</v>
      </c>
      <c r="V8426" s="197">
        <v>-233.81023403804016</v>
      </c>
    </row>
    <row r="8427" spans="21:22">
      <c r="U8427">
        <v>8385</v>
      </c>
      <c r="V8427" s="197">
        <v>1567.818105422838</v>
      </c>
    </row>
    <row r="8428" spans="21:22">
      <c r="U8428">
        <v>8386</v>
      </c>
      <c r="V8428" s="197">
        <v>530.95613955768692</v>
      </c>
    </row>
    <row r="8429" spans="21:22">
      <c r="U8429">
        <v>8387</v>
      </c>
      <c r="V8429" s="197">
        <v>893.22843491664935</v>
      </c>
    </row>
    <row r="8430" spans="21:22">
      <c r="U8430">
        <v>8388</v>
      </c>
      <c r="V8430" s="197">
        <v>1114.0723432174466</v>
      </c>
    </row>
    <row r="8431" spans="21:22">
      <c r="U8431">
        <v>8389</v>
      </c>
      <c r="V8431" s="197">
        <v>-1141.0053617496426</v>
      </c>
    </row>
    <row r="8432" spans="21:22">
      <c r="U8432">
        <v>8390</v>
      </c>
      <c r="V8432" s="197">
        <v>1605.7403477155219</v>
      </c>
    </row>
    <row r="8433" spans="21:22">
      <c r="U8433">
        <v>8391</v>
      </c>
      <c r="V8433" s="197">
        <v>-1098.5892885225755</v>
      </c>
    </row>
    <row r="8434" spans="21:22">
      <c r="U8434">
        <v>8392</v>
      </c>
      <c r="V8434" s="197">
        <v>-415.4694323237722</v>
      </c>
    </row>
    <row r="8435" spans="21:22">
      <c r="U8435">
        <v>8393</v>
      </c>
      <c r="V8435" s="197">
        <v>-818.44687329763451</v>
      </c>
    </row>
    <row r="8436" spans="21:22">
      <c r="U8436">
        <v>8394</v>
      </c>
      <c r="V8436" s="197">
        <v>-12.94666577551223</v>
      </c>
    </row>
    <row r="8437" spans="21:22">
      <c r="U8437">
        <v>8395</v>
      </c>
      <c r="V8437" s="197">
        <v>-138.9910234215854</v>
      </c>
    </row>
    <row r="8438" spans="21:22">
      <c r="U8438">
        <v>8396</v>
      </c>
      <c r="V8438" s="197">
        <v>-335.38158721405841</v>
      </c>
    </row>
    <row r="8439" spans="21:22">
      <c r="U8439">
        <v>8397</v>
      </c>
      <c r="V8439" s="197">
        <v>-876.33701044907639</v>
      </c>
    </row>
    <row r="8440" spans="21:22">
      <c r="U8440">
        <v>8398</v>
      </c>
      <c r="V8440" s="197">
        <v>318.52153707345144</v>
      </c>
    </row>
    <row r="8441" spans="21:22">
      <c r="U8441">
        <v>8399</v>
      </c>
      <c r="V8441" s="197">
        <v>-499.62837678300417</v>
      </c>
    </row>
    <row r="8442" spans="21:22">
      <c r="U8442">
        <v>8400</v>
      </c>
      <c r="V8442" s="197">
        <v>-312.71565799511143</v>
      </c>
    </row>
    <row r="8443" spans="21:22">
      <c r="U8443">
        <v>8401</v>
      </c>
      <c r="V8443" s="197">
        <v>-2134.3472095831949</v>
      </c>
    </row>
    <row r="8444" spans="21:22">
      <c r="U8444">
        <v>8402</v>
      </c>
      <c r="V8444" s="197">
        <v>-964.08860257125389</v>
      </c>
    </row>
    <row r="8445" spans="21:22">
      <c r="U8445">
        <v>8403</v>
      </c>
      <c r="V8445" s="197">
        <v>-283.4491884470674</v>
      </c>
    </row>
    <row r="8446" spans="21:22">
      <c r="U8446">
        <v>8404</v>
      </c>
      <c r="V8446" s="197">
        <v>-603.25159154590892</v>
      </c>
    </row>
    <row r="8447" spans="21:22">
      <c r="U8447">
        <v>8405</v>
      </c>
      <c r="V8447" s="197">
        <v>-1086.7398755241927</v>
      </c>
    </row>
    <row r="8448" spans="21:22">
      <c r="U8448">
        <v>8406</v>
      </c>
      <c r="V8448" s="197">
        <v>-103.47612934682269</v>
      </c>
    </row>
    <row r="8449" spans="21:22">
      <c r="U8449">
        <v>8407</v>
      </c>
      <c r="V8449" s="197">
        <v>619.39964869057053</v>
      </c>
    </row>
    <row r="8450" spans="21:22">
      <c r="U8450">
        <v>8408</v>
      </c>
      <c r="V8450" s="197">
        <v>926.25711178155461</v>
      </c>
    </row>
    <row r="8451" spans="21:22">
      <c r="U8451">
        <v>8409</v>
      </c>
      <c r="V8451" s="197">
        <v>643.94243039812545</v>
      </c>
    </row>
    <row r="8452" spans="21:22">
      <c r="U8452">
        <v>8410</v>
      </c>
      <c r="V8452" s="197">
        <v>1094.4794052536274</v>
      </c>
    </row>
    <row r="8453" spans="21:22">
      <c r="U8453">
        <v>8411</v>
      </c>
      <c r="V8453" s="197">
        <v>134.28806878960737</v>
      </c>
    </row>
    <row r="8454" spans="21:22">
      <c r="U8454">
        <v>8412</v>
      </c>
      <c r="V8454" s="197">
        <v>1189.1208423080172</v>
      </c>
    </row>
    <row r="8455" spans="21:22">
      <c r="U8455">
        <v>8413</v>
      </c>
      <c r="V8455" s="197">
        <v>288.05640380229499</v>
      </c>
    </row>
    <row r="8456" spans="21:22">
      <c r="U8456">
        <v>8414</v>
      </c>
      <c r="V8456" s="197">
        <v>-506.56834830105089</v>
      </c>
    </row>
    <row r="8457" spans="21:22">
      <c r="U8457">
        <v>8415</v>
      </c>
      <c r="V8457" s="197">
        <v>-839.50395351035263</v>
      </c>
    </row>
    <row r="8458" spans="21:22">
      <c r="U8458">
        <v>8416</v>
      </c>
      <c r="V8458" s="197">
        <v>1098.2378078930901</v>
      </c>
    </row>
    <row r="8459" spans="21:22">
      <c r="U8459">
        <v>8417</v>
      </c>
      <c r="V8459" s="197">
        <v>1218.1883571605772</v>
      </c>
    </row>
    <row r="8460" spans="21:22">
      <c r="U8460">
        <v>8418</v>
      </c>
      <c r="V8460" s="197">
        <v>-1296.947668347492</v>
      </c>
    </row>
    <row r="8461" spans="21:22">
      <c r="U8461">
        <v>8419</v>
      </c>
      <c r="V8461" s="197">
        <v>-214.60378997035667</v>
      </c>
    </row>
    <row r="8462" spans="21:22">
      <c r="U8462">
        <v>8420</v>
      </c>
      <c r="V8462" s="197">
        <v>-570.88509664892058</v>
      </c>
    </row>
    <row r="8463" spans="21:22">
      <c r="U8463">
        <v>8421</v>
      </c>
      <c r="V8463" s="197">
        <v>1383.244796199639</v>
      </c>
    </row>
    <row r="8464" spans="21:22">
      <c r="U8464">
        <v>8422</v>
      </c>
      <c r="V8464" s="197">
        <v>886.0282730726276</v>
      </c>
    </row>
    <row r="8465" spans="21:22">
      <c r="U8465">
        <v>8423</v>
      </c>
      <c r="V8465" s="197">
        <v>1813.0221876094486</v>
      </c>
    </row>
    <row r="8466" spans="21:22">
      <c r="U8466">
        <v>8424</v>
      </c>
      <c r="V8466" s="197">
        <v>909.28818025793612</v>
      </c>
    </row>
    <row r="8467" spans="21:22">
      <c r="U8467">
        <v>8425</v>
      </c>
      <c r="V8467" s="197">
        <v>-21.519582915357674</v>
      </c>
    </row>
    <row r="8468" spans="21:22">
      <c r="U8468">
        <v>8426</v>
      </c>
      <c r="V8468" s="197">
        <v>-1683.8839540923527</v>
      </c>
    </row>
    <row r="8469" spans="21:22">
      <c r="U8469">
        <v>8427</v>
      </c>
      <c r="V8469" s="197">
        <v>-538.69035157554981</v>
      </c>
    </row>
    <row r="8470" spans="21:22">
      <c r="U8470">
        <v>8428</v>
      </c>
      <c r="V8470" s="197">
        <v>254.24214063934454</v>
      </c>
    </row>
    <row r="8471" spans="21:22">
      <c r="U8471">
        <v>8429</v>
      </c>
      <c r="V8471" s="197">
        <v>-1097.8699823657885</v>
      </c>
    </row>
    <row r="8472" spans="21:22">
      <c r="U8472">
        <v>8430</v>
      </c>
      <c r="V8472" s="197">
        <v>1484.0130312776682</v>
      </c>
    </row>
    <row r="8473" spans="21:22">
      <c r="U8473">
        <v>8431</v>
      </c>
      <c r="V8473" s="197">
        <v>1299.3276220696171</v>
      </c>
    </row>
    <row r="8474" spans="21:22">
      <c r="U8474">
        <v>8432</v>
      </c>
      <c r="V8474" s="197">
        <v>1937.4783477304527</v>
      </c>
    </row>
    <row r="8475" spans="21:22">
      <c r="U8475">
        <v>8433</v>
      </c>
      <c r="V8475" s="197">
        <v>-1506.6990119376323</v>
      </c>
    </row>
    <row r="8476" spans="21:22">
      <c r="U8476">
        <v>8434</v>
      </c>
      <c r="V8476" s="197">
        <v>-390.64391335430338</v>
      </c>
    </row>
    <row r="8477" spans="21:22">
      <c r="U8477">
        <v>8435</v>
      </c>
      <c r="V8477" s="197">
        <v>-278.12726844606556</v>
      </c>
    </row>
    <row r="8478" spans="21:22">
      <c r="U8478">
        <v>8436</v>
      </c>
      <c r="V8478" s="197">
        <v>892.74767503104817</v>
      </c>
    </row>
    <row r="8479" spans="21:22">
      <c r="U8479">
        <v>8437</v>
      </c>
      <c r="V8479" s="197">
        <v>-2681.1581857023366</v>
      </c>
    </row>
    <row r="8480" spans="21:22">
      <c r="U8480">
        <v>8438</v>
      </c>
      <c r="V8480" s="197">
        <v>116.43487348509439</v>
      </c>
    </row>
    <row r="8481" spans="21:22">
      <c r="U8481">
        <v>8439</v>
      </c>
      <c r="V8481" s="197">
        <v>1522.136414368141</v>
      </c>
    </row>
    <row r="8482" spans="21:22">
      <c r="U8482">
        <v>8440</v>
      </c>
      <c r="V8482" s="197">
        <v>100.06632323621754</v>
      </c>
    </row>
    <row r="8483" spans="21:22">
      <c r="U8483">
        <v>8441</v>
      </c>
      <c r="V8483" s="197">
        <v>-1341.4503579979612</v>
      </c>
    </row>
    <row r="8484" spans="21:22">
      <c r="U8484">
        <v>8442</v>
      </c>
      <c r="V8484" s="197">
        <v>1732.5302709587504</v>
      </c>
    </row>
    <row r="8485" spans="21:22">
      <c r="U8485">
        <v>8443</v>
      </c>
      <c r="V8485" s="197">
        <v>-139.21810285164725</v>
      </c>
    </row>
    <row r="8486" spans="21:22">
      <c r="U8486">
        <v>8444</v>
      </c>
      <c r="V8486" s="197">
        <v>16.053240384566905</v>
      </c>
    </row>
    <row r="8487" spans="21:22">
      <c r="U8487">
        <v>8445</v>
      </c>
      <c r="V8487" s="197">
        <v>-1206.2125620423903</v>
      </c>
    </row>
    <row r="8488" spans="21:22">
      <c r="U8488">
        <v>8446</v>
      </c>
      <c r="V8488" s="197">
        <v>-126.82529727269767</v>
      </c>
    </row>
    <row r="8489" spans="21:22">
      <c r="U8489">
        <v>8447</v>
      </c>
      <c r="V8489" s="197">
        <v>381.5836787185267</v>
      </c>
    </row>
    <row r="8490" spans="21:22">
      <c r="U8490">
        <v>8448</v>
      </c>
      <c r="V8490" s="197">
        <v>1067.6259423075962</v>
      </c>
    </row>
    <row r="8491" spans="21:22">
      <c r="U8491">
        <v>8449</v>
      </c>
      <c r="V8491" s="197">
        <v>-177.90629853078394</v>
      </c>
    </row>
    <row r="8492" spans="21:22">
      <c r="U8492">
        <v>8450</v>
      </c>
      <c r="V8492" s="197">
        <v>478.86053308338666</v>
      </c>
    </row>
    <row r="8493" spans="21:22">
      <c r="U8493">
        <v>8451</v>
      </c>
      <c r="V8493" s="197">
        <v>430.28012097968792</v>
      </c>
    </row>
    <row r="8494" spans="21:22">
      <c r="U8494">
        <v>8452</v>
      </c>
      <c r="V8494" s="197">
        <v>-415.83156605694836</v>
      </c>
    </row>
    <row r="8495" spans="21:22">
      <c r="U8495">
        <v>8453</v>
      </c>
      <c r="V8495" s="197">
        <v>396.96117704123219</v>
      </c>
    </row>
    <row r="8496" spans="21:22">
      <c r="U8496">
        <v>8454</v>
      </c>
      <c r="V8496" s="197">
        <v>940.34340144588919</v>
      </c>
    </row>
    <row r="8497" spans="21:22">
      <c r="U8497">
        <v>8455</v>
      </c>
      <c r="V8497" s="197">
        <v>468.24215457040327</v>
      </c>
    </row>
    <row r="8498" spans="21:22">
      <c r="U8498">
        <v>8456</v>
      </c>
      <c r="V8498" s="197">
        <v>-1051.5987998756939</v>
      </c>
    </row>
    <row r="8499" spans="21:22">
      <c r="U8499">
        <v>8457</v>
      </c>
      <c r="V8499" s="197">
        <v>204.14915201472863</v>
      </c>
    </row>
    <row r="8500" spans="21:22">
      <c r="U8500">
        <v>8458</v>
      </c>
      <c r="V8500" s="197">
        <v>-1496.4286525604161</v>
      </c>
    </row>
    <row r="8501" spans="21:22">
      <c r="U8501">
        <v>8459</v>
      </c>
      <c r="V8501" s="197">
        <v>889.02865379373475</v>
      </c>
    </row>
    <row r="8502" spans="21:22">
      <c r="U8502">
        <v>8460</v>
      </c>
      <c r="V8502" s="197">
        <v>1796.6583364890075</v>
      </c>
    </row>
    <row r="8503" spans="21:22">
      <c r="U8503">
        <v>8461</v>
      </c>
      <c r="V8503" s="197">
        <v>-406.11223153850074</v>
      </c>
    </row>
    <row r="8504" spans="21:22">
      <c r="U8504">
        <v>8462</v>
      </c>
      <c r="V8504" s="197">
        <v>-2583.3220279130928</v>
      </c>
    </row>
    <row r="8505" spans="21:22">
      <c r="U8505">
        <v>8463</v>
      </c>
      <c r="V8505" s="197">
        <v>1039.3071119631768</v>
      </c>
    </row>
    <row r="8506" spans="21:22">
      <c r="U8506">
        <v>8464</v>
      </c>
      <c r="V8506" s="197">
        <v>-354.48116079637356</v>
      </c>
    </row>
    <row r="8507" spans="21:22">
      <c r="U8507">
        <v>8465</v>
      </c>
      <c r="V8507" s="197">
        <v>-292.75085021540474</v>
      </c>
    </row>
    <row r="8508" spans="21:22">
      <c r="U8508">
        <v>8466</v>
      </c>
      <c r="V8508" s="197">
        <v>521.09425497961593</v>
      </c>
    </row>
    <row r="8509" spans="21:22">
      <c r="U8509">
        <v>8467</v>
      </c>
      <c r="V8509" s="197">
        <v>1335.6536130347388</v>
      </c>
    </row>
    <row r="8510" spans="21:22">
      <c r="U8510">
        <v>8468</v>
      </c>
      <c r="V8510" s="197">
        <v>-395.02626503653602</v>
      </c>
    </row>
    <row r="8511" spans="21:22">
      <c r="U8511">
        <v>8469</v>
      </c>
      <c r="V8511" s="197">
        <v>1268.9911837957534</v>
      </c>
    </row>
    <row r="8512" spans="21:22">
      <c r="U8512">
        <v>8470</v>
      </c>
      <c r="V8512" s="197">
        <v>-321.51667034618725</v>
      </c>
    </row>
    <row r="8513" spans="21:22">
      <c r="U8513">
        <v>8471</v>
      </c>
      <c r="V8513" s="197">
        <v>2341.7075593292848</v>
      </c>
    </row>
    <row r="8514" spans="21:22">
      <c r="U8514">
        <v>8472</v>
      </c>
      <c r="V8514" s="197">
        <v>599.28562358903878</v>
      </c>
    </row>
    <row r="8515" spans="21:22">
      <c r="U8515">
        <v>8473</v>
      </c>
      <c r="V8515" s="197">
        <v>-78.960676959118445</v>
      </c>
    </row>
    <row r="8516" spans="21:22">
      <c r="U8516">
        <v>8474</v>
      </c>
      <c r="V8516" s="197">
        <v>922.60547687243661</v>
      </c>
    </row>
    <row r="8517" spans="21:22">
      <c r="U8517">
        <v>8475</v>
      </c>
      <c r="V8517" s="197">
        <v>1885.656856295438</v>
      </c>
    </row>
    <row r="8518" spans="21:22">
      <c r="U8518">
        <v>8476</v>
      </c>
      <c r="V8518" s="197">
        <v>-293.18916533998959</v>
      </c>
    </row>
    <row r="8519" spans="21:22">
      <c r="U8519">
        <v>8477</v>
      </c>
      <c r="V8519" s="197">
        <v>1305.6324466171741</v>
      </c>
    </row>
    <row r="8520" spans="21:22">
      <c r="U8520">
        <v>8478</v>
      </c>
      <c r="V8520" s="197">
        <v>-1400.2236866355465</v>
      </c>
    </row>
    <row r="8521" spans="21:22">
      <c r="U8521">
        <v>8479</v>
      </c>
      <c r="V8521" s="197">
        <v>534.69754331610636</v>
      </c>
    </row>
    <row r="8522" spans="21:22">
      <c r="U8522">
        <v>8480</v>
      </c>
      <c r="V8522" s="197">
        <v>142.51924193639073</v>
      </c>
    </row>
    <row r="8523" spans="21:22">
      <c r="U8523">
        <v>8481</v>
      </c>
      <c r="V8523" s="197">
        <v>-188.07543524619194</v>
      </c>
    </row>
    <row r="8524" spans="21:22">
      <c r="U8524">
        <v>8482</v>
      </c>
      <c r="V8524" s="197">
        <v>-399.07700812323554</v>
      </c>
    </row>
    <row r="8525" spans="21:22">
      <c r="U8525">
        <v>8483</v>
      </c>
      <c r="V8525" s="197">
        <v>-213.62647190086642</v>
      </c>
    </row>
    <row r="8526" spans="21:22">
      <c r="U8526">
        <v>8484</v>
      </c>
      <c r="V8526" s="197">
        <v>155.54771398467506</v>
      </c>
    </row>
    <row r="8527" spans="21:22">
      <c r="U8527">
        <v>8485</v>
      </c>
      <c r="V8527" s="197">
        <v>2033.5906091860513</v>
      </c>
    </row>
    <row r="8528" spans="21:22">
      <c r="U8528">
        <v>8486</v>
      </c>
      <c r="V8528" s="197">
        <v>2830.824658245368</v>
      </c>
    </row>
    <row r="8529" spans="21:22">
      <c r="U8529">
        <v>8487</v>
      </c>
      <c r="V8529" s="197">
        <v>-1707.4477263116528</v>
      </c>
    </row>
    <row r="8530" spans="21:22">
      <c r="U8530">
        <v>8488</v>
      </c>
      <c r="V8530" s="197">
        <v>-388.61541698278063</v>
      </c>
    </row>
    <row r="8531" spans="21:22">
      <c r="U8531">
        <v>8489</v>
      </c>
      <c r="V8531" s="197">
        <v>131.92018504131761</v>
      </c>
    </row>
    <row r="8532" spans="21:22">
      <c r="U8532">
        <v>8490</v>
      </c>
      <c r="V8532" s="197">
        <v>-273.0607652097911</v>
      </c>
    </row>
    <row r="8533" spans="21:22">
      <c r="U8533">
        <v>8491</v>
      </c>
      <c r="V8533" s="197">
        <v>20.444363325957042</v>
      </c>
    </row>
    <row r="8534" spans="21:22">
      <c r="U8534">
        <v>8492</v>
      </c>
      <c r="V8534" s="197">
        <v>-626.90178833839923</v>
      </c>
    </row>
    <row r="8535" spans="21:22">
      <c r="U8535">
        <v>8493</v>
      </c>
      <c r="V8535" s="197">
        <v>1629.3477303066968</v>
      </c>
    </row>
    <row r="8536" spans="21:22">
      <c r="U8536">
        <v>8494</v>
      </c>
      <c r="V8536" s="197">
        <v>1059.5083651631783</v>
      </c>
    </row>
    <row r="8537" spans="21:22">
      <c r="U8537">
        <v>8495</v>
      </c>
      <c r="V8537" s="197">
        <v>1600.9640257058688</v>
      </c>
    </row>
    <row r="8538" spans="21:22">
      <c r="U8538">
        <v>8496</v>
      </c>
      <c r="V8538" s="197">
        <v>-656.46021686549057</v>
      </c>
    </row>
    <row r="8539" spans="21:22">
      <c r="U8539">
        <v>8497</v>
      </c>
      <c r="V8539" s="197">
        <v>-1223.4943119103282</v>
      </c>
    </row>
    <row r="8540" spans="21:22">
      <c r="U8540">
        <v>8498</v>
      </c>
      <c r="V8540" s="197">
        <v>827.88504056805959</v>
      </c>
    </row>
    <row r="8541" spans="21:22">
      <c r="U8541">
        <v>8499</v>
      </c>
      <c r="V8541" s="197">
        <v>296.3143800493674</v>
      </c>
    </row>
    <row r="8542" spans="21:22">
      <c r="U8542">
        <v>8500</v>
      </c>
      <c r="V8542" s="197">
        <v>53.749601684367498</v>
      </c>
    </row>
    <row r="8543" spans="21:22">
      <c r="U8543">
        <v>8501</v>
      </c>
      <c r="V8543" s="197">
        <v>294.38483918511105</v>
      </c>
    </row>
    <row r="8544" spans="21:22">
      <c r="U8544">
        <v>8502</v>
      </c>
      <c r="V8544" s="197">
        <v>-955.30104356816037</v>
      </c>
    </row>
    <row r="8545" spans="21:22">
      <c r="U8545">
        <v>8503</v>
      </c>
      <c r="V8545" s="197">
        <v>1051.665902621613</v>
      </c>
    </row>
    <row r="8546" spans="21:22">
      <c r="U8546">
        <v>8504</v>
      </c>
      <c r="V8546" s="197">
        <v>852.82186102628793</v>
      </c>
    </row>
    <row r="8547" spans="21:22">
      <c r="U8547">
        <v>8505</v>
      </c>
      <c r="V8547" s="197">
        <v>-1099.7697820216779</v>
      </c>
    </row>
    <row r="8548" spans="21:22">
      <c r="U8548">
        <v>8506</v>
      </c>
      <c r="V8548" s="197">
        <v>739.53364900701149</v>
      </c>
    </row>
    <row r="8549" spans="21:22">
      <c r="U8549">
        <v>8507</v>
      </c>
      <c r="V8549" s="197">
        <v>1362.9723955688783</v>
      </c>
    </row>
    <row r="8550" spans="21:22">
      <c r="U8550">
        <v>8508</v>
      </c>
      <c r="V8550" s="197">
        <v>-303.27772580826786</v>
      </c>
    </row>
    <row r="8551" spans="21:22">
      <c r="U8551">
        <v>8509</v>
      </c>
      <c r="V8551" s="197">
        <v>-123.18983446725562</v>
      </c>
    </row>
    <row r="8552" spans="21:22">
      <c r="U8552">
        <v>8510</v>
      </c>
      <c r="V8552" s="197">
        <v>-33.685503215971778</v>
      </c>
    </row>
    <row r="8553" spans="21:22">
      <c r="U8553">
        <v>8511</v>
      </c>
      <c r="V8553" s="197">
        <v>-1294.3201475064859</v>
      </c>
    </row>
    <row r="8554" spans="21:22">
      <c r="U8554">
        <v>8512</v>
      </c>
      <c r="V8554" s="197">
        <v>2900.6887021907369</v>
      </c>
    </row>
    <row r="8555" spans="21:22">
      <c r="U8555">
        <v>8513</v>
      </c>
      <c r="V8555" s="197">
        <v>579.79686522285829</v>
      </c>
    </row>
    <row r="8556" spans="21:22">
      <c r="U8556">
        <v>8514</v>
      </c>
      <c r="V8556" s="197">
        <v>-420.06220628607394</v>
      </c>
    </row>
    <row r="8557" spans="21:22">
      <c r="U8557">
        <v>8515</v>
      </c>
      <c r="V8557" s="197">
        <v>351.64537796277421</v>
      </c>
    </row>
    <row r="8558" spans="21:22">
      <c r="U8558">
        <v>8516</v>
      </c>
      <c r="V8558" s="197">
        <v>-200.92454887212853</v>
      </c>
    </row>
    <row r="8559" spans="21:22">
      <c r="U8559">
        <v>8517</v>
      </c>
      <c r="V8559" s="197">
        <v>526.42030180779489</v>
      </c>
    </row>
    <row r="8560" spans="21:22">
      <c r="U8560">
        <v>8518</v>
      </c>
      <c r="V8560" s="197">
        <v>1146.1999322322838</v>
      </c>
    </row>
    <row r="8561" spans="21:22">
      <c r="U8561">
        <v>8519</v>
      </c>
      <c r="V8561" s="197">
        <v>800.42109816996322</v>
      </c>
    </row>
    <row r="8562" spans="21:22">
      <c r="U8562">
        <v>8520</v>
      </c>
      <c r="V8562" s="197">
        <v>873.64199661894463</v>
      </c>
    </row>
    <row r="8563" spans="21:22">
      <c r="U8563">
        <v>8521</v>
      </c>
      <c r="V8563" s="197">
        <v>855.45547098188331</v>
      </c>
    </row>
    <row r="8564" spans="21:22">
      <c r="U8564">
        <v>8522</v>
      </c>
      <c r="V8564" s="197">
        <v>1579.1718468442498</v>
      </c>
    </row>
    <row r="8565" spans="21:22">
      <c r="U8565">
        <v>8523</v>
      </c>
      <c r="V8565" s="197">
        <v>-757.05276211442583</v>
      </c>
    </row>
    <row r="8566" spans="21:22">
      <c r="U8566">
        <v>8524</v>
      </c>
      <c r="V8566" s="197">
        <v>-1991.9714706064954</v>
      </c>
    </row>
    <row r="8567" spans="21:22">
      <c r="U8567">
        <v>8525</v>
      </c>
      <c r="V8567" s="197">
        <v>302.72780059837407</v>
      </c>
    </row>
    <row r="8568" spans="21:22">
      <c r="U8568">
        <v>8526</v>
      </c>
      <c r="V8568" s="197">
        <v>742.15435210040869</v>
      </c>
    </row>
    <row r="8569" spans="21:22">
      <c r="U8569">
        <v>8527</v>
      </c>
      <c r="V8569" s="197">
        <v>-403.13452153368752</v>
      </c>
    </row>
    <row r="8570" spans="21:22">
      <c r="U8570">
        <v>8528</v>
      </c>
      <c r="V8570" s="197">
        <v>1403.5490111553925</v>
      </c>
    </row>
    <row r="8571" spans="21:22">
      <c r="U8571">
        <v>8529</v>
      </c>
      <c r="V8571" s="197">
        <v>-93.248026617295039</v>
      </c>
    </row>
    <row r="8572" spans="21:22">
      <c r="U8572">
        <v>8530</v>
      </c>
      <c r="V8572" s="197">
        <v>-874.16806703730072</v>
      </c>
    </row>
    <row r="8573" spans="21:22">
      <c r="U8573">
        <v>8531</v>
      </c>
      <c r="V8573" s="197">
        <v>-122.48932741682532</v>
      </c>
    </row>
    <row r="8574" spans="21:22">
      <c r="U8574">
        <v>8532</v>
      </c>
      <c r="V8574" s="197">
        <v>194.97021116854478</v>
      </c>
    </row>
    <row r="8575" spans="21:22">
      <c r="U8575">
        <v>8533</v>
      </c>
      <c r="V8575" s="197">
        <v>1527.2948162956836</v>
      </c>
    </row>
    <row r="8576" spans="21:22">
      <c r="U8576">
        <v>8534</v>
      </c>
      <c r="V8576" s="197">
        <v>-846.28193905015155</v>
      </c>
    </row>
    <row r="8577" spans="21:22">
      <c r="U8577">
        <v>8535</v>
      </c>
      <c r="V8577" s="197">
        <v>-354.19901501488954</v>
      </c>
    </row>
    <row r="8578" spans="21:22">
      <c r="U8578">
        <v>8536</v>
      </c>
      <c r="V8578" s="197">
        <v>600.15934749426731</v>
      </c>
    </row>
    <row r="8579" spans="21:22">
      <c r="U8579">
        <v>8537</v>
      </c>
      <c r="V8579" s="197">
        <v>-846.23844034659396</v>
      </c>
    </row>
    <row r="8580" spans="21:22">
      <c r="U8580">
        <v>8538</v>
      </c>
      <c r="V8580" s="197">
        <v>-568.63041244159285</v>
      </c>
    </row>
    <row r="8581" spans="21:22">
      <c r="U8581">
        <v>8539</v>
      </c>
      <c r="V8581" s="197">
        <v>362.35927095829089</v>
      </c>
    </row>
    <row r="8582" spans="21:22">
      <c r="U8582">
        <v>8540</v>
      </c>
      <c r="V8582" s="197">
        <v>-1214.5674643389546</v>
      </c>
    </row>
    <row r="8583" spans="21:22">
      <c r="U8583">
        <v>8541</v>
      </c>
      <c r="V8583" s="197">
        <v>346.05707574505772</v>
      </c>
    </row>
    <row r="8584" spans="21:22">
      <c r="U8584">
        <v>8542</v>
      </c>
      <c r="V8584" s="197">
        <v>300.43047896986303</v>
      </c>
    </row>
    <row r="8585" spans="21:22">
      <c r="U8585">
        <v>8543</v>
      </c>
      <c r="V8585" s="197">
        <v>962.70197614422591</v>
      </c>
    </row>
    <row r="8586" spans="21:22">
      <c r="U8586">
        <v>8544</v>
      </c>
      <c r="V8586" s="197">
        <v>190.65295479290279</v>
      </c>
    </row>
    <row r="8587" spans="21:22">
      <c r="U8587">
        <v>8545</v>
      </c>
      <c r="V8587" s="197">
        <v>1720.9763266805078</v>
      </c>
    </row>
    <row r="8588" spans="21:22">
      <c r="U8588">
        <v>8546</v>
      </c>
      <c r="V8588" s="197">
        <v>-471.3722512938952</v>
      </c>
    </row>
    <row r="8589" spans="21:22">
      <c r="U8589">
        <v>8547</v>
      </c>
      <c r="V8589" s="197">
        <v>1116.8735843800123</v>
      </c>
    </row>
    <row r="8590" spans="21:22">
      <c r="U8590">
        <v>8548</v>
      </c>
      <c r="V8590" s="197">
        <v>863.58867325102938</v>
      </c>
    </row>
    <row r="8591" spans="21:22">
      <c r="U8591">
        <v>8549</v>
      </c>
      <c r="V8591" s="197">
        <v>-1357.8529236058541</v>
      </c>
    </row>
    <row r="8592" spans="21:22">
      <c r="U8592">
        <v>8550</v>
      </c>
      <c r="V8592" s="197">
        <v>-1004.1410395054031</v>
      </c>
    </row>
    <row r="8593" spans="21:22">
      <c r="U8593">
        <v>8551</v>
      </c>
      <c r="V8593" s="197">
        <v>-580.91169481451425</v>
      </c>
    </row>
    <row r="8594" spans="21:22">
      <c r="U8594">
        <v>8552</v>
      </c>
      <c r="V8594" s="197">
        <v>-1326.1553124054897</v>
      </c>
    </row>
    <row r="8595" spans="21:22">
      <c r="U8595">
        <v>8553</v>
      </c>
      <c r="V8595" s="197">
        <v>-573.4754637123624</v>
      </c>
    </row>
    <row r="8596" spans="21:22">
      <c r="U8596">
        <v>8554</v>
      </c>
      <c r="V8596" s="197">
        <v>96.298401960273026</v>
      </c>
    </row>
    <row r="8597" spans="21:22">
      <c r="U8597">
        <v>8555</v>
      </c>
      <c r="V8597" s="197">
        <v>2989.0371998916648</v>
      </c>
    </row>
    <row r="8598" spans="21:22">
      <c r="U8598">
        <v>8556</v>
      </c>
      <c r="V8598" s="197">
        <v>166.60350583729718</v>
      </c>
    </row>
    <row r="8599" spans="21:22">
      <c r="U8599">
        <v>8557</v>
      </c>
      <c r="V8599" s="197">
        <v>-1196.0734783086657</v>
      </c>
    </row>
    <row r="8600" spans="21:22">
      <c r="U8600">
        <v>8558</v>
      </c>
      <c r="V8600" s="197">
        <v>-673.1785544027166</v>
      </c>
    </row>
    <row r="8601" spans="21:22">
      <c r="U8601">
        <v>8559</v>
      </c>
      <c r="V8601" s="197">
        <v>1244.3295245254142</v>
      </c>
    </row>
    <row r="8602" spans="21:22">
      <c r="U8602">
        <v>8560</v>
      </c>
      <c r="V8602" s="197">
        <v>1553.4229166838466</v>
      </c>
    </row>
    <row r="8603" spans="21:22">
      <c r="U8603">
        <v>8561</v>
      </c>
      <c r="V8603" s="197">
        <v>1765.4191301467686</v>
      </c>
    </row>
    <row r="8604" spans="21:22">
      <c r="U8604">
        <v>8562</v>
      </c>
      <c r="V8604" s="197">
        <v>-363.79472417940048</v>
      </c>
    </row>
    <row r="8605" spans="21:22">
      <c r="U8605">
        <v>8563</v>
      </c>
      <c r="V8605" s="197">
        <v>930.25043569526406</v>
      </c>
    </row>
    <row r="8606" spans="21:22">
      <c r="U8606">
        <v>8564</v>
      </c>
      <c r="V8606" s="197">
        <v>504.81976084623949</v>
      </c>
    </row>
    <row r="8607" spans="21:22">
      <c r="U8607">
        <v>8565</v>
      </c>
      <c r="V8607" s="197">
        <v>360.44748736131584</v>
      </c>
    </row>
    <row r="8608" spans="21:22">
      <c r="U8608">
        <v>8566</v>
      </c>
      <c r="V8608" s="197">
        <v>-1188.0453403720931</v>
      </c>
    </row>
    <row r="8609" spans="21:22">
      <c r="U8609">
        <v>8567</v>
      </c>
      <c r="V8609" s="197">
        <v>-460.59677367256057</v>
      </c>
    </row>
    <row r="8610" spans="21:22">
      <c r="U8610">
        <v>8568</v>
      </c>
      <c r="V8610" s="197">
        <v>1397.1880441644087</v>
      </c>
    </row>
    <row r="8611" spans="21:22">
      <c r="U8611">
        <v>8569</v>
      </c>
      <c r="V8611" s="197">
        <v>-67.316280087031117</v>
      </c>
    </row>
    <row r="8612" spans="21:22">
      <c r="U8612">
        <v>8570</v>
      </c>
      <c r="V8612" s="197">
        <v>-793.5516453596772</v>
      </c>
    </row>
    <row r="8613" spans="21:22">
      <c r="U8613">
        <v>8571</v>
      </c>
      <c r="V8613" s="197">
        <v>1304.1598557342356</v>
      </c>
    </row>
    <row r="8614" spans="21:22">
      <c r="U8614">
        <v>8572</v>
      </c>
      <c r="V8614" s="197">
        <v>298.59913316586307</v>
      </c>
    </row>
    <row r="8615" spans="21:22">
      <c r="U8615">
        <v>8573</v>
      </c>
      <c r="V8615" s="197">
        <v>905.62265160885522</v>
      </c>
    </row>
    <row r="8616" spans="21:22">
      <c r="U8616">
        <v>8574</v>
      </c>
      <c r="V8616" s="197">
        <v>-69.757882660633925</v>
      </c>
    </row>
    <row r="8617" spans="21:22">
      <c r="U8617">
        <v>8575</v>
      </c>
      <c r="V8617" s="197">
        <v>-401.57844799326068</v>
      </c>
    </row>
    <row r="8618" spans="21:22">
      <c r="U8618">
        <v>8576</v>
      </c>
      <c r="V8618" s="197">
        <v>302.27494567968847</v>
      </c>
    </row>
    <row r="8619" spans="21:22">
      <c r="U8619">
        <v>8577</v>
      </c>
      <c r="V8619" s="197">
        <v>-1251.0656770296841</v>
      </c>
    </row>
    <row r="8620" spans="21:22">
      <c r="U8620">
        <v>8578</v>
      </c>
      <c r="V8620" s="197">
        <v>-697.21962286611983</v>
      </c>
    </row>
    <row r="8621" spans="21:22">
      <c r="U8621">
        <v>8579</v>
      </c>
      <c r="V8621" s="197">
        <v>-568.71772712128131</v>
      </c>
    </row>
    <row r="8622" spans="21:22">
      <c r="U8622">
        <v>8580</v>
      </c>
      <c r="V8622" s="197">
        <v>-1937.7254930781858</v>
      </c>
    </row>
    <row r="8623" spans="21:22">
      <c r="U8623">
        <v>8581</v>
      </c>
      <c r="V8623" s="197">
        <v>-49.617581320743255</v>
      </c>
    </row>
    <row r="8624" spans="21:22">
      <c r="U8624">
        <v>8582</v>
      </c>
      <c r="V8624" s="197">
        <v>1929.3246398513722</v>
      </c>
    </row>
    <row r="8625" spans="21:22">
      <c r="U8625">
        <v>8583</v>
      </c>
      <c r="V8625" s="197">
        <v>-102.74683934085317</v>
      </c>
    </row>
    <row r="8626" spans="21:22">
      <c r="U8626">
        <v>8584</v>
      </c>
      <c r="V8626" s="197">
        <v>-134.74721927336836</v>
      </c>
    </row>
    <row r="8627" spans="21:22">
      <c r="U8627">
        <v>8585</v>
      </c>
      <c r="V8627" s="197">
        <v>136.99393633503445</v>
      </c>
    </row>
    <row r="8628" spans="21:22">
      <c r="U8628">
        <v>8586</v>
      </c>
      <c r="V8628" s="197">
        <v>565.35662671839498</v>
      </c>
    </row>
    <row r="8629" spans="21:22">
      <c r="U8629">
        <v>8587</v>
      </c>
      <c r="V8629" s="197">
        <v>1166.408637954175</v>
      </c>
    </row>
    <row r="8630" spans="21:22">
      <c r="U8630">
        <v>8588</v>
      </c>
      <c r="V8630" s="197">
        <v>1357.7126597079525</v>
      </c>
    </row>
    <row r="8631" spans="21:22">
      <c r="U8631">
        <v>8589</v>
      </c>
      <c r="V8631" s="197">
        <v>-104.1739008156602</v>
      </c>
    </row>
    <row r="8632" spans="21:22">
      <c r="U8632">
        <v>8590</v>
      </c>
      <c r="V8632" s="197">
        <v>345.78790531598622</v>
      </c>
    </row>
    <row r="8633" spans="21:22">
      <c r="U8633">
        <v>8591</v>
      </c>
      <c r="V8633" s="197">
        <v>457.02224487478492</v>
      </c>
    </row>
    <row r="8634" spans="21:22">
      <c r="U8634">
        <v>8592</v>
      </c>
      <c r="V8634" s="197">
        <v>-252.02622663072162</v>
      </c>
    </row>
    <row r="8635" spans="21:22">
      <c r="U8635">
        <v>8593</v>
      </c>
      <c r="V8635" s="197">
        <v>-230.69468364835308</v>
      </c>
    </row>
    <row r="8636" spans="21:22">
      <c r="U8636">
        <v>8594</v>
      </c>
      <c r="V8636" s="197">
        <v>748.55228777905882</v>
      </c>
    </row>
    <row r="8637" spans="21:22">
      <c r="U8637">
        <v>8595</v>
      </c>
      <c r="V8637" s="197">
        <v>791.31724634291186</v>
      </c>
    </row>
    <row r="8638" spans="21:22">
      <c r="U8638">
        <v>8596</v>
      </c>
      <c r="V8638" s="197">
        <v>-8.4486875908480101</v>
      </c>
    </row>
    <row r="8639" spans="21:22">
      <c r="U8639">
        <v>8597</v>
      </c>
      <c r="V8639" s="197">
        <v>-1183.921104559603</v>
      </c>
    </row>
    <row r="8640" spans="21:22">
      <c r="U8640">
        <v>8598</v>
      </c>
      <c r="V8640" s="197">
        <v>-380.18486741432719</v>
      </c>
    </row>
    <row r="8641" spans="21:22">
      <c r="U8641">
        <v>8599</v>
      </c>
      <c r="V8641" s="197">
        <v>-1758.0130258584777</v>
      </c>
    </row>
    <row r="8642" spans="21:22">
      <c r="U8642">
        <v>8600</v>
      </c>
      <c r="V8642" s="197">
        <v>492.50138925286114</v>
      </c>
    </row>
    <row r="8643" spans="21:22">
      <c r="U8643">
        <v>8601</v>
      </c>
      <c r="V8643" s="197">
        <v>1948.8567771800954</v>
      </c>
    </row>
    <row r="8644" spans="21:22">
      <c r="U8644">
        <v>8602</v>
      </c>
      <c r="V8644" s="197">
        <v>498.54911699315107</v>
      </c>
    </row>
    <row r="8645" spans="21:22">
      <c r="U8645">
        <v>8603</v>
      </c>
      <c r="V8645" s="197">
        <v>1422.8273871806671</v>
      </c>
    </row>
    <row r="8646" spans="21:22">
      <c r="U8646">
        <v>8604</v>
      </c>
      <c r="V8646" s="197">
        <v>2294.4740593862593</v>
      </c>
    </row>
    <row r="8647" spans="21:22">
      <c r="U8647">
        <v>8605</v>
      </c>
      <c r="V8647" s="197">
        <v>99.209154301217268</v>
      </c>
    </row>
    <row r="8648" spans="21:22">
      <c r="U8648">
        <v>8606</v>
      </c>
      <c r="V8648" s="197">
        <v>856.08387513188882</v>
      </c>
    </row>
    <row r="8649" spans="21:22">
      <c r="U8649">
        <v>8607</v>
      </c>
      <c r="V8649" s="197">
        <v>-315.91195224311889</v>
      </c>
    </row>
    <row r="8650" spans="21:22">
      <c r="U8650">
        <v>8608</v>
      </c>
      <c r="V8650" s="197">
        <v>565.60775498830526</v>
      </c>
    </row>
    <row r="8651" spans="21:22">
      <c r="U8651">
        <v>8609</v>
      </c>
      <c r="V8651" s="197">
        <v>-547.94093297413633</v>
      </c>
    </row>
    <row r="8652" spans="21:22">
      <c r="U8652">
        <v>8610</v>
      </c>
      <c r="V8652" s="197">
        <v>-470.97314560706099</v>
      </c>
    </row>
    <row r="8653" spans="21:22">
      <c r="U8653">
        <v>8611</v>
      </c>
      <c r="V8653" s="197">
        <v>546.38111458156175</v>
      </c>
    </row>
    <row r="8654" spans="21:22">
      <c r="U8654">
        <v>8612</v>
      </c>
      <c r="V8654" s="197">
        <v>854.78332716136379</v>
      </c>
    </row>
    <row r="8655" spans="21:22">
      <c r="U8655">
        <v>8613</v>
      </c>
      <c r="V8655" s="197">
        <v>-596.81430310270548</v>
      </c>
    </row>
    <row r="8656" spans="21:22">
      <c r="U8656">
        <v>8614</v>
      </c>
      <c r="V8656" s="197">
        <v>592.52840381828889</v>
      </c>
    </row>
    <row r="8657" spans="21:22">
      <c r="U8657">
        <v>8615</v>
      </c>
      <c r="V8657" s="197">
        <v>-81.553779596417684</v>
      </c>
    </row>
    <row r="8658" spans="21:22">
      <c r="U8658">
        <v>8616</v>
      </c>
      <c r="V8658" s="197">
        <v>-161.54011790187161</v>
      </c>
    </row>
    <row r="8659" spans="21:22">
      <c r="U8659">
        <v>8617</v>
      </c>
      <c r="V8659" s="197">
        <v>1122.7078304898785</v>
      </c>
    </row>
    <row r="8660" spans="21:22">
      <c r="U8660">
        <v>8618</v>
      </c>
      <c r="V8660" s="197">
        <v>-490.18218795522085</v>
      </c>
    </row>
    <row r="8661" spans="21:22">
      <c r="U8661">
        <v>8619</v>
      </c>
      <c r="V8661" s="197">
        <v>1085.4980027184688</v>
      </c>
    </row>
    <row r="8662" spans="21:22">
      <c r="U8662">
        <v>8620</v>
      </c>
      <c r="V8662" s="197">
        <v>-1490.0326606288404</v>
      </c>
    </row>
    <row r="8663" spans="21:22">
      <c r="U8663">
        <v>8621</v>
      </c>
      <c r="V8663" s="197">
        <v>-187.36226816978336</v>
      </c>
    </row>
    <row r="8664" spans="21:22">
      <c r="U8664">
        <v>8622</v>
      </c>
      <c r="V8664" s="197">
        <v>-252.74135405883396</v>
      </c>
    </row>
    <row r="8665" spans="21:22">
      <c r="U8665">
        <v>8623</v>
      </c>
      <c r="V8665" s="197">
        <v>201.89896720139004</v>
      </c>
    </row>
    <row r="8666" spans="21:22">
      <c r="U8666">
        <v>8624</v>
      </c>
      <c r="V8666" s="197">
        <v>761.45814199545407</v>
      </c>
    </row>
    <row r="8667" spans="21:22">
      <c r="U8667">
        <v>8625</v>
      </c>
      <c r="V8667" s="197">
        <v>316.72393893455728</v>
      </c>
    </row>
    <row r="8668" spans="21:22">
      <c r="U8668">
        <v>8626</v>
      </c>
      <c r="V8668" s="197">
        <v>-1116.9487011504111</v>
      </c>
    </row>
    <row r="8669" spans="21:22">
      <c r="U8669">
        <v>8627</v>
      </c>
      <c r="V8669" s="197">
        <v>283.34564927750671</v>
      </c>
    </row>
    <row r="8670" spans="21:22">
      <c r="U8670">
        <v>8628</v>
      </c>
      <c r="V8670" s="197">
        <v>-1682.0985816016762</v>
      </c>
    </row>
    <row r="8671" spans="21:22">
      <c r="U8671">
        <v>8629</v>
      </c>
      <c r="V8671" s="197">
        <v>-661.43338491058421</v>
      </c>
    </row>
    <row r="8672" spans="21:22">
      <c r="U8672">
        <v>8630</v>
      </c>
      <c r="V8672" s="197">
        <v>-859.43861326548608</v>
      </c>
    </row>
    <row r="8673" spans="21:22">
      <c r="U8673">
        <v>8631</v>
      </c>
      <c r="V8673" s="197">
        <v>562.86378854323561</v>
      </c>
    </row>
    <row r="8674" spans="21:22">
      <c r="U8674">
        <v>8632</v>
      </c>
      <c r="V8674" s="197">
        <v>-807.81087279557846</v>
      </c>
    </row>
    <row r="8675" spans="21:22">
      <c r="U8675">
        <v>8633</v>
      </c>
      <c r="V8675" s="197">
        <v>774.90324411429924</v>
      </c>
    </row>
    <row r="8676" spans="21:22">
      <c r="U8676">
        <v>8634</v>
      </c>
      <c r="V8676" s="197">
        <v>777.80291384930001</v>
      </c>
    </row>
    <row r="8677" spans="21:22">
      <c r="U8677">
        <v>8635</v>
      </c>
      <c r="V8677" s="197">
        <v>-222.411957840887</v>
      </c>
    </row>
    <row r="8678" spans="21:22">
      <c r="U8678">
        <v>8636</v>
      </c>
      <c r="V8678" s="197">
        <v>-1920.8232756051902</v>
      </c>
    </row>
    <row r="8679" spans="21:22">
      <c r="U8679">
        <v>8637</v>
      </c>
      <c r="V8679" s="197">
        <v>1528.4437211992999</v>
      </c>
    </row>
    <row r="8680" spans="21:22">
      <c r="U8680">
        <v>8638</v>
      </c>
      <c r="V8680" s="197">
        <v>2245.4864662164528</v>
      </c>
    </row>
    <row r="8681" spans="21:22">
      <c r="U8681">
        <v>8639</v>
      </c>
      <c r="V8681" s="197">
        <v>-830.43712610850275</v>
      </c>
    </row>
    <row r="8682" spans="21:22">
      <c r="U8682">
        <v>8640</v>
      </c>
      <c r="V8682" s="197">
        <v>1524.0315629317736</v>
      </c>
    </row>
    <row r="8683" spans="21:22">
      <c r="U8683">
        <v>8641</v>
      </c>
      <c r="V8683" s="197">
        <v>534.19019056725301</v>
      </c>
    </row>
    <row r="8684" spans="21:22">
      <c r="U8684">
        <v>8642</v>
      </c>
      <c r="V8684" s="197">
        <v>1802.0684218033298</v>
      </c>
    </row>
    <row r="8685" spans="21:22">
      <c r="U8685">
        <v>8643</v>
      </c>
      <c r="V8685" s="197">
        <v>-1058.6182035340421</v>
      </c>
    </row>
    <row r="8686" spans="21:22">
      <c r="U8686">
        <v>8644</v>
      </c>
      <c r="V8686" s="197">
        <v>52.025702320653835</v>
      </c>
    </row>
    <row r="8687" spans="21:22">
      <c r="U8687">
        <v>8645</v>
      </c>
      <c r="V8687" s="197">
        <v>245.72885048054317</v>
      </c>
    </row>
    <row r="8688" spans="21:22">
      <c r="U8688">
        <v>8646</v>
      </c>
      <c r="V8688" s="197">
        <v>-14.549304595109547</v>
      </c>
    </row>
    <row r="8689" spans="21:22">
      <c r="U8689">
        <v>8647</v>
      </c>
      <c r="V8689" s="197">
        <v>-121.75506078034815</v>
      </c>
    </row>
    <row r="8690" spans="21:22">
      <c r="U8690">
        <v>8648</v>
      </c>
      <c r="V8690" s="197">
        <v>2187.0446908668214</v>
      </c>
    </row>
    <row r="8691" spans="21:22">
      <c r="U8691">
        <v>8649</v>
      </c>
      <c r="V8691" s="197">
        <v>2751.2879942493664</v>
      </c>
    </row>
    <row r="8692" spans="21:22">
      <c r="U8692">
        <v>8650</v>
      </c>
      <c r="V8692" s="197">
        <v>1316.6148157832599</v>
      </c>
    </row>
    <row r="8693" spans="21:22">
      <c r="U8693">
        <v>8651</v>
      </c>
      <c r="V8693" s="197">
        <v>864.58186189470462</v>
      </c>
    </row>
    <row r="8694" spans="21:22">
      <c r="U8694">
        <v>8652</v>
      </c>
      <c r="V8694" s="197">
        <v>748.90028394136584</v>
      </c>
    </row>
    <row r="8695" spans="21:22">
      <c r="U8695">
        <v>8653</v>
      </c>
      <c r="V8695" s="197">
        <v>518.02374745039288</v>
      </c>
    </row>
    <row r="8696" spans="21:22">
      <c r="U8696">
        <v>8654</v>
      </c>
      <c r="V8696" s="197">
        <v>1493.980736651504</v>
      </c>
    </row>
    <row r="8697" spans="21:22">
      <c r="U8697">
        <v>8655</v>
      </c>
      <c r="V8697" s="197">
        <v>402.35755453639763</v>
      </c>
    </row>
    <row r="8698" spans="21:22">
      <c r="U8698">
        <v>8656</v>
      </c>
      <c r="V8698" s="197">
        <v>150.82654548168617</v>
      </c>
    </row>
    <row r="8699" spans="21:22">
      <c r="U8699">
        <v>8657</v>
      </c>
      <c r="V8699" s="197">
        <v>-404.22108261931254</v>
      </c>
    </row>
    <row r="8700" spans="21:22">
      <c r="U8700">
        <v>8658</v>
      </c>
      <c r="V8700" s="197">
        <v>280.32445396474009</v>
      </c>
    </row>
    <row r="8701" spans="21:22">
      <c r="U8701">
        <v>8659</v>
      </c>
      <c r="V8701" s="197">
        <v>2522.8726438743283</v>
      </c>
    </row>
    <row r="8702" spans="21:22">
      <c r="U8702">
        <v>8660</v>
      </c>
      <c r="V8702" s="197">
        <v>865.81190932984146</v>
      </c>
    </row>
    <row r="8703" spans="21:22">
      <c r="U8703">
        <v>8661</v>
      </c>
      <c r="V8703" s="197">
        <v>78.850278696901228</v>
      </c>
    </row>
    <row r="8704" spans="21:22">
      <c r="U8704">
        <v>8662</v>
      </c>
      <c r="V8704" s="197">
        <v>-146.2046508831568</v>
      </c>
    </row>
    <row r="8705" spans="21:22">
      <c r="U8705">
        <v>8663</v>
      </c>
      <c r="V8705" s="197">
        <v>1360.0183712516355</v>
      </c>
    </row>
    <row r="8706" spans="21:22">
      <c r="U8706">
        <v>8664</v>
      </c>
      <c r="V8706" s="197">
        <v>-160.28722384205639</v>
      </c>
    </row>
    <row r="8707" spans="21:22">
      <c r="U8707">
        <v>8665</v>
      </c>
      <c r="V8707" s="197">
        <v>240.62527924833557</v>
      </c>
    </row>
    <row r="8708" spans="21:22">
      <c r="U8708">
        <v>8666</v>
      </c>
      <c r="V8708" s="197">
        <v>-911.77615868461589</v>
      </c>
    </row>
    <row r="8709" spans="21:22">
      <c r="U8709">
        <v>8667</v>
      </c>
      <c r="V8709" s="197">
        <v>-837.68018039541153</v>
      </c>
    </row>
    <row r="8710" spans="21:22">
      <c r="U8710">
        <v>8668</v>
      </c>
      <c r="V8710" s="197">
        <v>2685.6523611082553</v>
      </c>
    </row>
    <row r="8711" spans="21:22">
      <c r="U8711">
        <v>8669</v>
      </c>
      <c r="V8711" s="197">
        <v>-280.17195490850247</v>
      </c>
    </row>
    <row r="8712" spans="21:22">
      <c r="U8712">
        <v>8670</v>
      </c>
      <c r="V8712" s="197">
        <v>-1444.4613074268018</v>
      </c>
    </row>
    <row r="8713" spans="21:22">
      <c r="U8713">
        <v>8671</v>
      </c>
      <c r="V8713" s="197">
        <v>21.702957583783984</v>
      </c>
    </row>
    <row r="8714" spans="21:22">
      <c r="U8714">
        <v>8672</v>
      </c>
      <c r="V8714" s="197">
        <v>1426.1270364953641</v>
      </c>
    </row>
    <row r="8715" spans="21:22">
      <c r="U8715">
        <v>8673</v>
      </c>
      <c r="V8715" s="197">
        <v>-461.00395065923891</v>
      </c>
    </row>
    <row r="8716" spans="21:22">
      <c r="U8716">
        <v>8674</v>
      </c>
      <c r="V8716" s="197">
        <v>573.51605817188693</v>
      </c>
    </row>
    <row r="8717" spans="21:22">
      <c r="U8717">
        <v>8675</v>
      </c>
      <c r="V8717" s="197">
        <v>717.15682134681856</v>
      </c>
    </row>
    <row r="8718" spans="21:22">
      <c r="U8718">
        <v>8676</v>
      </c>
      <c r="V8718" s="197">
        <v>-465.2958372997229</v>
      </c>
    </row>
    <row r="8719" spans="21:22">
      <c r="U8719">
        <v>8677</v>
      </c>
      <c r="V8719" s="197">
        <v>706.1678252642173</v>
      </c>
    </row>
    <row r="8720" spans="21:22">
      <c r="U8720">
        <v>8678</v>
      </c>
      <c r="V8720" s="197">
        <v>930.92459580890977</v>
      </c>
    </row>
    <row r="8721" spans="21:22">
      <c r="U8721">
        <v>8679</v>
      </c>
      <c r="V8721" s="197">
        <v>-482.23592153020905</v>
      </c>
    </row>
    <row r="8722" spans="21:22">
      <c r="U8722">
        <v>8680</v>
      </c>
      <c r="V8722" s="197">
        <v>-427.49083070009323</v>
      </c>
    </row>
    <row r="8723" spans="21:22">
      <c r="U8723">
        <v>8681</v>
      </c>
      <c r="V8723" s="197">
        <v>-92.336449080257609</v>
      </c>
    </row>
    <row r="8724" spans="21:22">
      <c r="U8724">
        <v>8682</v>
      </c>
      <c r="V8724" s="197">
        <v>663.50173126719869</v>
      </c>
    </row>
    <row r="8725" spans="21:22">
      <c r="U8725">
        <v>8683</v>
      </c>
      <c r="V8725" s="197">
        <v>1528.2465468225626</v>
      </c>
    </row>
    <row r="8726" spans="21:22">
      <c r="U8726">
        <v>8684</v>
      </c>
      <c r="V8726" s="197">
        <v>88.598114672501595</v>
      </c>
    </row>
    <row r="8727" spans="21:22">
      <c r="U8727">
        <v>8685</v>
      </c>
      <c r="V8727" s="197">
        <v>-2064.8196803142941</v>
      </c>
    </row>
    <row r="8728" spans="21:22">
      <c r="U8728">
        <v>8686</v>
      </c>
      <c r="V8728" s="197">
        <v>1041.3278971929847</v>
      </c>
    </row>
    <row r="8729" spans="21:22">
      <c r="U8729">
        <v>8687</v>
      </c>
      <c r="V8729" s="197">
        <v>-1195.3007513108889</v>
      </c>
    </row>
    <row r="8730" spans="21:22">
      <c r="U8730">
        <v>8688</v>
      </c>
      <c r="V8730" s="197">
        <v>-97.770652774822622</v>
      </c>
    </row>
    <row r="8731" spans="21:22">
      <c r="U8731">
        <v>8689</v>
      </c>
      <c r="V8731" s="197">
        <v>474.43210282851987</v>
      </c>
    </row>
    <row r="8732" spans="21:22">
      <c r="U8732">
        <v>8690</v>
      </c>
      <c r="V8732" s="197">
        <v>1592.4096757474913</v>
      </c>
    </row>
    <row r="8733" spans="21:22">
      <c r="U8733">
        <v>8691</v>
      </c>
      <c r="V8733" s="197">
        <v>-290.19916070847523</v>
      </c>
    </row>
    <row r="8734" spans="21:22">
      <c r="U8734">
        <v>8692</v>
      </c>
      <c r="V8734" s="197">
        <v>796.63262637208777</v>
      </c>
    </row>
    <row r="8735" spans="21:22">
      <c r="U8735">
        <v>8693</v>
      </c>
      <c r="V8735" s="197">
        <v>-2201.4757033462579</v>
      </c>
    </row>
    <row r="8736" spans="21:22">
      <c r="U8736">
        <v>8694</v>
      </c>
      <c r="V8736" s="197">
        <v>610.74670073661048</v>
      </c>
    </row>
    <row r="8737" spans="21:22">
      <c r="U8737">
        <v>8695</v>
      </c>
      <c r="V8737" s="197">
        <v>-653.03998257426701</v>
      </c>
    </row>
    <row r="8738" spans="21:22">
      <c r="U8738">
        <v>8696</v>
      </c>
      <c r="V8738" s="197">
        <v>-998.09216384561432</v>
      </c>
    </row>
    <row r="8739" spans="21:22">
      <c r="U8739">
        <v>8697</v>
      </c>
      <c r="V8739" s="197">
        <v>-2357.0208496706309</v>
      </c>
    </row>
    <row r="8740" spans="21:22">
      <c r="U8740">
        <v>8698</v>
      </c>
      <c r="V8740" s="197">
        <v>-943.68402154845035</v>
      </c>
    </row>
    <row r="8741" spans="21:22">
      <c r="U8741">
        <v>8699</v>
      </c>
      <c r="V8741" s="197">
        <v>400.80175203255806</v>
      </c>
    </row>
    <row r="8742" spans="21:22">
      <c r="U8742">
        <v>8700</v>
      </c>
      <c r="V8742" s="197">
        <v>-1445.6527954972505</v>
      </c>
    </row>
    <row r="8743" spans="21:22">
      <c r="U8743">
        <v>8701</v>
      </c>
      <c r="V8743" s="197">
        <v>-693.79303508324665</v>
      </c>
    </row>
    <row r="8744" spans="21:22">
      <c r="U8744">
        <v>8702</v>
      </c>
      <c r="V8744" s="197">
        <v>201.44029079122055</v>
      </c>
    </row>
    <row r="8745" spans="21:22">
      <c r="U8745">
        <v>8703</v>
      </c>
      <c r="V8745" s="197">
        <v>398.38156071375261</v>
      </c>
    </row>
    <row r="8746" spans="21:22">
      <c r="U8746">
        <v>8704</v>
      </c>
      <c r="V8746" s="197">
        <v>125.0946666988465</v>
      </c>
    </row>
    <row r="8747" spans="21:22">
      <c r="U8747">
        <v>8705</v>
      </c>
      <c r="V8747" s="197">
        <v>-74.653384921002839</v>
      </c>
    </row>
    <row r="8748" spans="21:22">
      <c r="U8748">
        <v>8706</v>
      </c>
      <c r="V8748" s="197">
        <v>-421.24797889484131</v>
      </c>
    </row>
    <row r="8749" spans="21:22">
      <c r="U8749">
        <v>8707</v>
      </c>
      <c r="V8749" s="197">
        <v>870.86323529222705</v>
      </c>
    </row>
    <row r="8750" spans="21:22">
      <c r="U8750">
        <v>8708</v>
      </c>
      <c r="V8750" s="197">
        <v>-495.25967158657187</v>
      </c>
    </row>
    <row r="8751" spans="21:22">
      <c r="U8751">
        <v>8709</v>
      </c>
      <c r="V8751" s="197">
        <v>-927.76481826292229</v>
      </c>
    </row>
    <row r="8752" spans="21:22">
      <c r="U8752">
        <v>8710</v>
      </c>
      <c r="V8752" s="197">
        <v>-1039.1943219598786</v>
      </c>
    </row>
    <row r="8753" spans="21:22">
      <c r="U8753">
        <v>8711</v>
      </c>
      <c r="V8753" s="197">
        <v>986.80107976349223</v>
      </c>
    </row>
    <row r="8754" spans="21:22">
      <c r="U8754">
        <v>8712</v>
      </c>
      <c r="V8754" s="197">
        <v>-843.29771026513845</v>
      </c>
    </row>
    <row r="8755" spans="21:22">
      <c r="U8755">
        <v>8713</v>
      </c>
      <c r="V8755" s="197">
        <v>-1720.4026437496414</v>
      </c>
    </row>
    <row r="8756" spans="21:22">
      <c r="U8756">
        <v>8714</v>
      </c>
      <c r="V8756" s="197">
        <v>1461.3875973130027</v>
      </c>
    </row>
    <row r="8757" spans="21:22">
      <c r="U8757">
        <v>8715</v>
      </c>
      <c r="V8757" s="197">
        <v>-61.627996394148937</v>
      </c>
    </row>
    <row r="8758" spans="21:22">
      <c r="U8758">
        <v>8716</v>
      </c>
      <c r="V8758" s="197">
        <v>650.79167447287978</v>
      </c>
    </row>
    <row r="8759" spans="21:22">
      <c r="U8759">
        <v>8717</v>
      </c>
      <c r="V8759" s="197">
        <v>-912.30038914421357</v>
      </c>
    </row>
    <row r="8760" spans="21:22">
      <c r="U8760">
        <v>8718</v>
      </c>
      <c r="V8760" s="197">
        <v>482.57882963007086</v>
      </c>
    </row>
    <row r="8761" spans="21:22">
      <c r="U8761">
        <v>8719</v>
      </c>
      <c r="V8761" s="197">
        <v>-1577.876992708542</v>
      </c>
    </row>
    <row r="8762" spans="21:22">
      <c r="U8762">
        <v>8720</v>
      </c>
      <c r="V8762" s="197">
        <v>1758.8209527292115</v>
      </c>
    </row>
    <row r="8763" spans="21:22">
      <c r="U8763">
        <v>8721</v>
      </c>
      <c r="V8763" s="197">
        <v>-636.46662916273203</v>
      </c>
    </row>
    <row r="8764" spans="21:22">
      <c r="U8764">
        <v>8722</v>
      </c>
      <c r="V8764" s="197">
        <v>41.214718346156943</v>
      </c>
    </row>
    <row r="8765" spans="21:22">
      <c r="U8765">
        <v>8723</v>
      </c>
      <c r="V8765" s="197">
        <v>-409.06273165797381</v>
      </c>
    </row>
    <row r="8766" spans="21:22">
      <c r="U8766">
        <v>8724</v>
      </c>
      <c r="V8766" s="197">
        <v>-432.72744843936124</v>
      </c>
    </row>
    <row r="8767" spans="21:22">
      <c r="U8767">
        <v>8725</v>
      </c>
      <c r="V8767" s="197">
        <v>-234.32650246854331</v>
      </c>
    </row>
    <row r="8768" spans="21:22">
      <c r="U8768">
        <v>8726</v>
      </c>
      <c r="V8768" s="197">
        <v>-551.19138277700085</v>
      </c>
    </row>
    <row r="8769" spans="21:22">
      <c r="U8769">
        <v>8727</v>
      </c>
      <c r="V8769" s="197">
        <v>-1048.8013798986308</v>
      </c>
    </row>
    <row r="8770" spans="21:22">
      <c r="U8770">
        <v>8728</v>
      </c>
      <c r="V8770" s="197">
        <v>-991.02640388277882</v>
      </c>
    </row>
    <row r="8771" spans="21:22">
      <c r="U8771">
        <v>8729</v>
      </c>
      <c r="V8771" s="197">
        <v>1769.1152893188032</v>
      </c>
    </row>
    <row r="8772" spans="21:22">
      <c r="U8772">
        <v>8730</v>
      </c>
      <c r="V8772" s="197">
        <v>260.00128376016005</v>
      </c>
    </row>
    <row r="8773" spans="21:22">
      <c r="U8773">
        <v>8731</v>
      </c>
      <c r="V8773" s="197">
        <v>-834.9532785337442</v>
      </c>
    </row>
    <row r="8774" spans="21:22">
      <c r="U8774">
        <v>8732</v>
      </c>
      <c r="V8774" s="197">
        <v>1141.9197035443183</v>
      </c>
    </row>
    <row r="8775" spans="21:22">
      <c r="U8775">
        <v>8733</v>
      </c>
      <c r="V8775" s="197">
        <v>-924.00843506095498</v>
      </c>
    </row>
    <row r="8776" spans="21:22">
      <c r="U8776">
        <v>8734</v>
      </c>
      <c r="V8776" s="197">
        <v>1241.8948391788767</v>
      </c>
    </row>
    <row r="8777" spans="21:22">
      <c r="U8777">
        <v>8735</v>
      </c>
      <c r="V8777" s="197">
        <v>1687.1970563234579</v>
      </c>
    </row>
    <row r="8778" spans="21:22">
      <c r="U8778">
        <v>8736</v>
      </c>
      <c r="V8778" s="197">
        <v>215.01740342636629</v>
      </c>
    </row>
    <row r="8779" spans="21:22">
      <c r="U8779">
        <v>8737</v>
      </c>
      <c r="V8779" s="197">
        <v>-464.39608936514873</v>
      </c>
    </row>
    <row r="8780" spans="21:22">
      <c r="U8780">
        <v>8738</v>
      </c>
      <c r="V8780" s="197">
        <v>1372.1973312887803</v>
      </c>
    </row>
    <row r="8781" spans="21:22">
      <c r="U8781">
        <v>8739</v>
      </c>
      <c r="V8781" s="197">
        <v>-276.71149046445686</v>
      </c>
    </row>
    <row r="8782" spans="21:22">
      <c r="U8782">
        <v>8740</v>
      </c>
      <c r="V8782" s="197">
        <v>1382.5847122302198</v>
      </c>
    </row>
    <row r="8783" spans="21:22">
      <c r="U8783">
        <v>8741</v>
      </c>
      <c r="V8783" s="197">
        <v>-148.61017095643956</v>
      </c>
    </row>
    <row r="8784" spans="21:22">
      <c r="U8784">
        <v>8742</v>
      </c>
      <c r="V8784" s="197">
        <v>413.12243139539572</v>
      </c>
    </row>
    <row r="8785" spans="21:22">
      <c r="U8785">
        <v>8743</v>
      </c>
      <c r="V8785" s="197">
        <v>653.86627669176505</v>
      </c>
    </row>
    <row r="8786" spans="21:22">
      <c r="U8786">
        <v>8744</v>
      </c>
      <c r="V8786" s="197">
        <v>99.074958766573033</v>
      </c>
    </row>
    <row r="8787" spans="21:22">
      <c r="U8787">
        <v>8745</v>
      </c>
      <c r="V8787" s="197">
        <v>-1424.462601468771</v>
      </c>
    </row>
    <row r="8788" spans="21:22">
      <c r="U8788">
        <v>8746</v>
      </c>
      <c r="V8788" s="197">
        <v>643.5882243048884</v>
      </c>
    </row>
    <row r="8789" spans="21:22">
      <c r="U8789">
        <v>8747</v>
      </c>
      <c r="V8789" s="197">
        <v>1587.695186412365</v>
      </c>
    </row>
    <row r="8790" spans="21:22">
      <c r="U8790">
        <v>8748</v>
      </c>
      <c r="V8790" s="197">
        <v>-1489.5871034278593</v>
      </c>
    </row>
    <row r="8791" spans="21:22">
      <c r="U8791">
        <v>8749</v>
      </c>
      <c r="V8791" s="197">
        <v>197.60180883450778</v>
      </c>
    </row>
    <row r="8792" spans="21:22">
      <c r="U8792">
        <v>8750</v>
      </c>
      <c r="V8792" s="197">
        <v>-307.49386498917693</v>
      </c>
    </row>
    <row r="8793" spans="21:22">
      <c r="U8793">
        <v>8751</v>
      </c>
      <c r="V8793" s="197">
        <v>-941.37388976373927</v>
      </c>
    </row>
    <row r="8794" spans="21:22">
      <c r="U8794">
        <v>8752</v>
      </c>
      <c r="V8794" s="197">
        <v>-113.22371870939901</v>
      </c>
    </row>
    <row r="8795" spans="21:22">
      <c r="U8795">
        <v>8753</v>
      </c>
      <c r="V8795" s="197">
        <v>1270.2316057685955</v>
      </c>
    </row>
    <row r="8796" spans="21:22">
      <c r="U8796">
        <v>8754</v>
      </c>
      <c r="V8796" s="197">
        <v>-1479.8671671356942</v>
      </c>
    </row>
    <row r="8797" spans="21:22">
      <c r="U8797">
        <v>8755</v>
      </c>
      <c r="V8797" s="197">
        <v>693.44171343839616</v>
      </c>
    </row>
    <row r="8798" spans="21:22">
      <c r="U8798">
        <v>8756</v>
      </c>
      <c r="V8798" s="197">
        <v>-424.7713529590132</v>
      </c>
    </row>
    <row r="8799" spans="21:22">
      <c r="U8799">
        <v>8757</v>
      </c>
      <c r="V8799" s="197">
        <v>454.20300219451366</v>
      </c>
    </row>
    <row r="8800" spans="21:22">
      <c r="U8800">
        <v>8758</v>
      </c>
      <c r="V8800" s="197">
        <v>64.084741192595175</v>
      </c>
    </row>
    <row r="8801" spans="21:22">
      <c r="U8801">
        <v>8759</v>
      </c>
      <c r="V8801" s="197">
        <v>1216.2790734775151</v>
      </c>
    </row>
    <row r="8802" spans="21:22">
      <c r="U8802">
        <v>8760</v>
      </c>
      <c r="V8802" s="197">
        <v>-46.725576322572294</v>
      </c>
    </row>
    <row r="8803" spans="21:22">
      <c r="U8803">
        <v>8761</v>
      </c>
      <c r="V8803" s="197">
        <v>-1635.2043051136532</v>
      </c>
    </row>
    <row r="8804" spans="21:22">
      <c r="U8804">
        <v>8762</v>
      </c>
      <c r="V8804" s="197">
        <v>1918.0715578721688</v>
      </c>
    </row>
    <row r="8805" spans="21:22">
      <c r="U8805">
        <v>8763</v>
      </c>
      <c r="V8805" s="197">
        <v>894.56601609614177</v>
      </c>
    </row>
    <row r="8806" spans="21:22">
      <c r="U8806">
        <v>8764</v>
      </c>
      <c r="V8806" s="197">
        <v>-421.97549724617869</v>
      </c>
    </row>
    <row r="8807" spans="21:22">
      <c r="U8807">
        <v>8765</v>
      </c>
      <c r="V8807" s="197">
        <v>201.62653500417292</v>
      </c>
    </row>
    <row r="8808" spans="21:22">
      <c r="U8808">
        <v>8766</v>
      </c>
      <c r="V8808" s="197">
        <v>1896.9590611033555</v>
      </c>
    </row>
    <row r="8809" spans="21:22">
      <c r="U8809">
        <v>8767</v>
      </c>
      <c r="V8809" s="197">
        <v>780.35325379587903</v>
      </c>
    </row>
    <row r="8810" spans="21:22">
      <c r="U8810">
        <v>8768</v>
      </c>
      <c r="V8810" s="197">
        <v>-773.54191517222625</v>
      </c>
    </row>
    <row r="8811" spans="21:22">
      <c r="U8811">
        <v>8769</v>
      </c>
      <c r="V8811" s="197">
        <v>-20.572021239473059</v>
      </c>
    </row>
    <row r="8812" spans="21:22">
      <c r="U8812">
        <v>8770</v>
      </c>
      <c r="V8812" s="197">
        <v>1741.4258275306081</v>
      </c>
    </row>
    <row r="8813" spans="21:22">
      <c r="U8813">
        <v>8771</v>
      </c>
      <c r="V8813" s="197">
        <v>708.20625185739391</v>
      </c>
    </row>
    <row r="8814" spans="21:22">
      <c r="U8814">
        <v>8772</v>
      </c>
      <c r="V8814" s="197">
        <v>512.13003095164379</v>
      </c>
    </row>
    <row r="8815" spans="21:22">
      <c r="U8815">
        <v>8773</v>
      </c>
      <c r="V8815" s="197">
        <v>-1583.0127657578232</v>
      </c>
    </row>
    <row r="8816" spans="21:22">
      <c r="U8816">
        <v>8774</v>
      </c>
      <c r="V8816" s="197">
        <v>-1123.148618167769</v>
      </c>
    </row>
    <row r="8817" spans="21:22">
      <c r="U8817">
        <v>8775</v>
      </c>
      <c r="V8817" s="197">
        <v>907.65337687526858</v>
      </c>
    </row>
    <row r="8818" spans="21:22">
      <c r="U8818">
        <v>8776</v>
      </c>
      <c r="V8818" s="197">
        <v>205.54679274593551</v>
      </c>
    </row>
    <row r="8819" spans="21:22">
      <c r="U8819">
        <v>8777</v>
      </c>
      <c r="V8819" s="197">
        <v>1726.3598253455812</v>
      </c>
    </row>
    <row r="8820" spans="21:22">
      <c r="U8820">
        <v>8778</v>
      </c>
      <c r="V8820" s="197">
        <v>1322.9544271834429</v>
      </c>
    </row>
    <row r="8821" spans="21:22">
      <c r="U8821">
        <v>8779</v>
      </c>
      <c r="V8821" s="197">
        <v>-347.54106407865891</v>
      </c>
    </row>
    <row r="8822" spans="21:22">
      <c r="U8822">
        <v>8780</v>
      </c>
      <c r="V8822" s="197">
        <v>301.10365784948766</v>
      </c>
    </row>
    <row r="8823" spans="21:22">
      <c r="U8823">
        <v>8781</v>
      </c>
      <c r="V8823" s="197">
        <v>-737.45032992270012</v>
      </c>
    </row>
    <row r="8824" spans="21:22">
      <c r="U8824">
        <v>8782</v>
      </c>
      <c r="V8824" s="197">
        <v>1579.8387353694679</v>
      </c>
    </row>
    <row r="8825" spans="21:22">
      <c r="U8825">
        <v>8783</v>
      </c>
      <c r="V8825" s="197">
        <v>411.68802945192715</v>
      </c>
    </row>
    <row r="8826" spans="21:22">
      <c r="U8826">
        <v>8784</v>
      </c>
      <c r="V8826" s="197">
        <v>160.00922793644543</v>
      </c>
    </row>
    <row r="8827" spans="21:22">
      <c r="U8827">
        <v>8785</v>
      </c>
      <c r="V8827" s="197">
        <v>1434.5949957858252</v>
      </c>
    </row>
    <row r="8828" spans="21:22">
      <c r="U8828">
        <v>8786</v>
      </c>
      <c r="V8828" s="197">
        <v>-644.68058354601158</v>
      </c>
    </row>
    <row r="8829" spans="21:22">
      <c r="U8829">
        <v>8787</v>
      </c>
      <c r="V8829" s="197">
        <v>713.74413466665806</v>
      </c>
    </row>
    <row r="8830" spans="21:22">
      <c r="U8830">
        <v>8788</v>
      </c>
      <c r="V8830" s="197">
        <v>67.5443825286238</v>
      </c>
    </row>
    <row r="8831" spans="21:22">
      <c r="U8831">
        <v>8789</v>
      </c>
      <c r="V8831" s="197">
        <v>3721.1501471539796</v>
      </c>
    </row>
    <row r="8832" spans="21:22">
      <c r="U8832">
        <v>8790</v>
      </c>
      <c r="V8832" s="197">
        <v>221.33787826955037</v>
      </c>
    </row>
    <row r="8833" spans="21:22">
      <c r="U8833">
        <v>8791</v>
      </c>
      <c r="V8833" s="197">
        <v>754.63448182222305</v>
      </c>
    </row>
    <row r="8834" spans="21:22">
      <c r="U8834">
        <v>8792</v>
      </c>
      <c r="V8834" s="197">
        <v>-2168.1082387455644</v>
      </c>
    </row>
    <row r="8835" spans="21:22">
      <c r="U8835">
        <v>8793</v>
      </c>
      <c r="V8835" s="197">
        <v>-21.935961099630745</v>
      </c>
    </row>
    <row r="8836" spans="21:22">
      <c r="U8836">
        <v>8794</v>
      </c>
      <c r="V8836" s="197">
        <v>820.33793667185478</v>
      </c>
    </row>
    <row r="8837" spans="21:22">
      <c r="U8837">
        <v>8795</v>
      </c>
      <c r="V8837" s="197">
        <v>-471.30685367190364</v>
      </c>
    </row>
    <row r="8838" spans="21:22">
      <c r="U8838">
        <v>8796</v>
      </c>
      <c r="V8838" s="197">
        <v>79.046913022662125</v>
      </c>
    </row>
    <row r="8839" spans="21:22">
      <c r="U8839">
        <v>8797</v>
      </c>
      <c r="V8839" s="197">
        <v>557.75643855797193</v>
      </c>
    </row>
    <row r="8840" spans="21:22">
      <c r="U8840">
        <v>8798</v>
      </c>
      <c r="V8840" s="197">
        <v>636.35540817043557</v>
      </c>
    </row>
    <row r="8841" spans="21:22">
      <c r="U8841">
        <v>8799</v>
      </c>
      <c r="V8841" s="197">
        <v>254.67550063959609</v>
      </c>
    </row>
    <row r="8842" spans="21:22">
      <c r="U8842">
        <v>8800</v>
      </c>
      <c r="V8842" s="197">
        <v>844.53899068992837</v>
      </c>
    </row>
    <row r="8843" spans="21:22">
      <c r="U8843">
        <v>8801</v>
      </c>
      <c r="V8843" s="197">
        <v>-348.98014162496764</v>
      </c>
    </row>
    <row r="8844" spans="21:22">
      <c r="U8844">
        <v>8802</v>
      </c>
      <c r="V8844" s="197">
        <v>-1039.8920523433931</v>
      </c>
    </row>
    <row r="8845" spans="21:22">
      <c r="U8845">
        <v>8803</v>
      </c>
      <c r="V8845" s="197">
        <v>296.14921788290496</v>
      </c>
    </row>
    <row r="8846" spans="21:22">
      <c r="U8846">
        <v>8804</v>
      </c>
      <c r="V8846" s="197">
        <v>-952.68628904052525</v>
      </c>
    </row>
    <row r="8847" spans="21:22">
      <c r="U8847">
        <v>8805</v>
      </c>
      <c r="V8847" s="197">
        <v>-1354.2185614192006</v>
      </c>
    </row>
    <row r="8848" spans="21:22">
      <c r="U8848">
        <v>8806</v>
      </c>
      <c r="V8848" s="197">
        <v>189.98226426568527</v>
      </c>
    </row>
    <row r="8849" spans="21:22">
      <c r="U8849">
        <v>8807</v>
      </c>
      <c r="V8849" s="197">
        <v>-691.30294822522455</v>
      </c>
    </row>
    <row r="8850" spans="21:22">
      <c r="U8850">
        <v>8808</v>
      </c>
      <c r="V8850" s="197">
        <v>3.4479693504708138</v>
      </c>
    </row>
    <row r="8851" spans="21:22">
      <c r="U8851">
        <v>8809</v>
      </c>
      <c r="V8851" s="197">
        <v>766.91185812884896</v>
      </c>
    </row>
    <row r="8852" spans="21:22">
      <c r="U8852">
        <v>8810</v>
      </c>
      <c r="V8852" s="197">
        <v>-1641.9207400394453</v>
      </c>
    </row>
    <row r="8853" spans="21:22">
      <c r="U8853">
        <v>8811</v>
      </c>
      <c r="V8853" s="197">
        <v>912.20415305812799</v>
      </c>
    </row>
    <row r="8854" spans="21:22">
      <c r="U8854">
        <v>8812</v>
      </c>
      <c r="V8854" s="197">
        <v>-822.85134564535269</v>
      </c>
    </row>
    <row r="8855" spans="21:22">
      <c r="U8855">
        <v>8813</v>
      </c>
      <c r="V8855" s="197">
        <v>-754.70714402170825</v>
      </c>
    </row>
    <row r="8856" spans="21:22">
      <c r="U8856">
        <v>8814</v>
      </c>
      <c r="V8856" s="197">
        <v>978.89531007624441</v>
      </c>
    </row>
    <row r="8857" spans="21:22">
      <c r="U8857">
        <v>8815</v>
      </c>
      <c r="V8857" s="197">
        <v>-1651.6900545243404</v>
      </c>
    </row>
    <row r="8858" spans="21:22">
      <c r="U8858">
        <v>8816</v>
      </c>
      <c r="V8858" s="197">
        <v>304.43479596474265</v>
      </c>
    </row>
    <row r="8859" spans="21:22">
      <c r="U8859">
        <v>8817</v>
      </c>
      <c r="V8859" s="197">
        <v>-613.97086712792179</v>
      </c>
    </row>
    <row r="8860" spans="21:22">
      <c r="U8860">
        <v>8818</v>
      </c>
      <c r="V8860" s="197">
        <v>514.17489406002244</v>
      </c>
    </row>
    <row r="8861" spans="21:22">
      <c r="U8861">
        <v>8819</v>
      </c>
      <c r="V8861" s="197">
        <v>-1024.216964116092</v>
      </c>
    </row>
    <row r="8862" spans="21:22">
      <c r="U8862">
        <v>8820</v>
      </c>
      <c r="V8862" s="197">
        <v>1978.2036674869796</v>
      </c>
    </row>
    <row r="8863" spans="21:22">
      <c r="U8863">
        <v>8821</v>
      </c>
      <c r="V8863" s="197">
        <v>-267.66274813501053</v>
      </c>
    </row>
    <row r="8864" spans="21:22">
      <c r="U8864">
        <v>8822</v>
      </c>
      <c r="V8864" s="197">
        <v>315.06138811287917</v>
      </c>
    </row>
    <row r="8865" spans="21:22">
      <c r="U8865">
        <v>8823</v>
      </c>
      <c r="V8865" s="197">
        <v>931.22746396277557</v>
      </c>
    </row>
    <row r="8866" spans="21:22">
      <c r="U8866">
        <v>8824</v>
      </c>
      <c r="V8866" s="197">
        <v>1218.9083246374526</v>
      </c>
    </row>
    <row r="8867" spans="21:22">
      <c r="U8867">
        <v>8825</v>
      </c>
      <c r="V8867" s="197">
        <v>-2557.3599772662978</v>
      </c>
    </row>
    <row r="8868" spans="21:22">
      <c r="U8868">
        <v>8826</v>
      </c>
      <c r="V8868" s="197">
        <v>-622.76684846988542</v>
      </c>
    </row>
    <row r="8869" spans="21:22">
      <c r="U8869">
        <v>8827</v>
      </c>
      <c r="V8869" s="197">
        <v>2464.4125995113291</v>
      </c>
    </row>
    <row r="8870" spans="21:22">
      <c r="U8870">
        <v>8828</v>
      </c>
      <c r="V8870" s="197">
        <v>1384.5311584343069</v>
      </c>
    </row>
    <row r="8871" spans="21:22">
      <c r="U8871">
        <v>8829</v>
      </c>
      <c r="V8871" s="197">
        <v>-914.41178583679175</v>
      </c>
    </row>
    <row r="8872" spans="21:22">
      <c r="U8872">
        <v>8830</v>
      </c>
      <c r="V8872" s="197">
        <v>-188.09563100256418</v>
      </c>
    </row>
    <row r="8873" spans="21:22">
      <c r="U8873">
        <v>8831</v>
      </c>
      <c r="V8873" s="197">
        <v>-1459.7971424084965</v>
      </c>
    </row>
    <row r="8874" spans="21:22">
      <c r="U8874">
        <v>8832</v>
      </c>
      <c r="V8874" s="197">
        <v>1949.380800178415</v>
      </c>
    </row>
    <row r="8875" spans="21:22">
      <c r="U8875">
        <v>8833</v>
      </c>
      <c r="V8875" s="197">
        <v>778.92345306696666</v>
      </c>
    </row>
    <row r="8876" spans="21:22">
      <c r="U8876">
        <v>8834</v>
      </c>
      <c r="V8876" s="197">
        <v>-1406.2027535025222</v>
      </c>
    </row>
    <row r="8877" spans="21:22">
      <c r="U8877">
        <v>8835</v>
      </c>
      <c r="V8877" s="197">
        <v>-1182.4195202420813</v>
      </c>
    </row>
    <row r="8878" spans="21:22">
      <c r="U8878">
        <v>8836</v>
      </c>
      <c r="V8878" s="197">
        <v>-265.90037206117717</v>
      </c>
    </row>
    <row r="8879" spans="21:22">
      <c r="U8879">
        <v>8837</v>
      </c>
      <c r="V8879" s="197">
        <v>880.96981580625084</v>
      </c>
    </row>
    <row r="8880" spans="21:22">
      <c r="U8880">
        <v>8838</v>
      </c>
      <c r="V8880" s="197">
        <v>-587.56196253092025</v>
      </c>
    </row>
    <row r="8881" spans="21:22">
      <c r="U8881">
        <v>8839</v>
      </c>
      <c r="V8881" s="197">
        <v>-689.5590041471462</v>
      </c>
    </row>
    <row r="8882" spans="21:22">
      <c r="U8882">
        <v>8840</v>
      </c>
      <c r="V8882" s="197">
        <v>-752.44365529618472</v>
      </c>
    </row>
    <row r="8883" spans="21:22">
      <c r="U8883">
        <v>8841</v>
      </c>
      <c r="V8883" s="197">
        <v>-288.27310937359698</v>
      </c>
    </row>
    <row r="8884" spans="21:22">
      <c r="U8884">
        <v>8842</v>
      </c>
      <c r="V8884" s="197">
        <v>-67.032504310175682</v>
      </c>
    </row>
    <row r="8885" spans="21:22">
      <c r="U8885">
        <v>8843</v>
      </c>
      <c r="V8885" s="197">
        <v>-514.38972955115855</v>
      </c>
    </row>
    <row r="8886" spans="21:22">
      <c r="U8886">
        <v>8844</v>
      </c>
      <c r="V8886" s="197">
        <v>-176.70629857609777</v>
      </c>
    </row>
    <row r="8887" spans="21:22">
      <c r="U8887">
        <v>8845</v>
      </c>
      <c r="V8887" s="197">
        <v>1128.6069417016038</v>
      </c>
    </row>
    <row r="8888" spans="21:22">
      <c r="U8888">
        <v>8846</v>
      </c>
      <c r="V8888" s="197">
        <v>-695.55921484517989</v>
      </c>
    </row>
    <row r="8889" spans="21:22">
      <c r="U8889">
        <v>8847</v>
      </c>
      <c r="V8889" s="197">
        <v>363.55879309627727</v>
      </c>
    </row>
    <row r="8890" spans="21:22">
      <c r="U8890">
        <v>8848</v>
      </c>
      <c r="V8890" s="197">
        <v>154.05929003190477</v>
      </c>
    </row>
    <row r="8891" spans="21:22">
      <c r="U8891">
        <v>8849</v>
      </c>
      <c r="V8891" s="197">
        <v>-446.48996473379503</v>
      </c>
    </row>
    <row r="8892" spans="21:22">
      <c r="U8892">
        <v>8850</v>
      </c>
      <c r="V8892" s="197">
        <v>-317.12101730498529</v>
      </c>
    </row>
    <row r="8893" spans="21:22">
      <c r="U8893">
        <v>8851</v>
      </c>
      <c r="V8893" s="197">
        <v>201.44491155759681</v>
      </c>
    </row>
    <row r="8894" spans="21:22">
      <c r="U8894">
        <v>8852</v>
      </c>
      <c r="V8894" s="197">
        <v>-704.42038155729233</v>
      </c>
    </row>
    <row r="8895" spans="21:22">
      <c r="U8895">
        <v>8853</v>
      </c>
      <c r="V8895" s="197">
        <v>678.65373236927235</v>
      </c>
    </row>
    <row r="8896" spans="21:22">
      <c r="U8896">
        <v>8854</v>
      </c>
      <c r="V8896" s="197">
        <v>1140.5338871019362</v>
      </c>
    </row>
    <row r="8897" spans="21:22">
      <c r="U8897">
        <v>8855</v>
      </c>
      <c r="V8897" s="197">
        <v>429.41990573726071</v>
      </c>
    </row>
    <row r="8898" spans="21:22">
      <c r="U8898">
        <v>8856</v>
      </c>
      <c r="V8898" s="197">
        <v>1139.614026190731</v>
      </c>
    </row>
    <row r="8899" spans="21:22">
      <c r="U8899">
        <v>8857</v>
      </c>
      <c r="V8899" s="197">
        <v>127.89272017102813</v>
      </c>
    </row>
    <row r="8900" spans="21:22">
      <c r="U8900">
        <v>8858</v>
      </c>
      <c r="V8900" s="197">
        <v>694.55116732459828</v>
      </c>
    </row>
    <row r="8901" spans="21:22">
      <c r="U8901">
        <v>8859</v>
      </c>
      <c r="V8901" s="197">
        <v>-594.39803718875555</v>
      </c>
    </row>
    <row r="8902" spans="21:22">
      <c r="U8902">
        <v>8860</v>
      </c>
      <c r="V8902" s="197">
        <v>1968.9647084444316</v>
      </c>
    </row>
    <row r="8903" spans="21:22">
      <c r="U8903">
        <v>8861</v>
      </c>
      <c r="V8903" s="197">
        <v>905.52390178446376</v>
      </c>
    </row>
    <row r="8904" spans="21:22">
      <c r="U8904">
        <v>8862</v>
      </c>
      <c r="V8904" s="197">
        <v>2077.6855471160652</v>
      </c>
    </row>
    <row r="8905" spans="21:22">
      <c r="U8905">
        <v>8863</v>
      </c>
      <c r="V8905" s="197">
        <v>648.63857933844429</v>
      </c>
    </row>
    <row r="8906" spans="21:22">
      <c r="U8906">
        <v>8864</v>
      </c>
      <c r="V8906" s="197">
        <v>1024.8001018630091</v>
      </c>
    </row>
    <row r="8907" spans="21:22">
      <c r="U8907">
        <v>8865</v>
      </c>
      <c r="V8907" s="197">
        <v>352.59860081214913</v>
      </c>
    </row>
    <row r="8908" spans="21:22">
      <c r="U8908">
        <v>8866</v>
      </c>
      <c r="V8908" s="197">
        <v>135.73782303053392</v>
      </c>
    </row>
    <row r="8909" spans="21:22">
      <c r="U8909">
        <v>8867</v>
      </c>
      <c r="V8909" s="197">
        <v>1130.1436652820912</v>
      </c>
    </row>
    <row r="8910" spans="21:22">
      <c r="U8910">
        <v>8868</v>
      </c>
      <c r="V8910" s="197">
        <v>-1008.2284728255074</v>
      </c>
    </row>
    <row r="8911" spans="21:22">
      <c r="U8911">
        <v>8869</v>
      </c>
      <c r="V8911" s="197">
        <v>565.00290352383581</v>
      </c>
    </row>
    <row r="8912" spans="21:22">
      <c r="U8912">
        <v>8870</v>
      </c>
      <c r="V8912" s="197">
        <v>1031.0447282305804</v>
      </c>
    </row>
    <row r="8913" spans="21:22">
      <c r="U8913">
        <v>8871</v>
      </c>
      <c r="V8913" s="197">
        <v>512.73747165144391</v>
      </c>
    </row>
    <row r="8914" spans="21:22">
      <c r="U8914">
        <v>8872</v>
      </c>
      <c r="V8914" s="197">
        <v>-713.43359631248995</v>
      </c>
    </row>
    <row r="8915" spans="21:22">
      <c r="U8915">
        <v>8873</v>
      </c>
      <c r="V8915" s="197">
        <v>342.78832191674104</v>
      </c>
    </row>
    <row r="8916" spans="21:22">
      <c r="U8916">
        <v>8874</v>
      </c>
      <c r="V8916" s="197">
        <v>-178.15663082653674</v>
      </c>
    </row>
    <row r="8917" spans="21:22">
      <c r="U8917">
        <v>8875</v>
      </c>
      <c r="V8917" s="197">
        <v>651.82253460991615</v>
      </c>
    </row>
    <row r="8918" spans="21:22">
      <c r="U8918">
        <v>8876</v>
      </c>
      <c r="V8918" s="197">
        <v>-518.66826251503221</v>
      </c>
    </row>
    <row r="8919" spans="21:22">
      <c r="U8919">
        <v>8877</v>
      </c>
      <c r="V8919" s="197">
        <v>-195.93590987629523</v>
      </c>
    </row>
    <row r="8920" spans="21:22">
      <c r="U8920">
        <v>8878</v>
      </c>
      <c r="V8920" s="197">
        <v>113.7132018761607</v>
      </c>
    </row>
    <row r="8921" spans="21:22">
      <c r="U8921">
        <v>8879</v>
      </c>
      <c r="V8921" s="197">
        <v>-127.32237047266349</v>
      </c>
    </row>
    <row r="8922" spans="21:22">
      <c r="U8922">
        <v>8880</v>
      </c>
      <c r="V8922" s="197">
        <v>-908.79295575751507</v>
      </c>
    </row>
    <row r="8923" spans="21:22">
      <c r="U8923">
        <v>8881</v>
      </c>
      <c r="V8923" s="197">
        <v>849.47610039098322</v>
      </c>
    </row>
    <row r="8924" spans="21:22">
      <c r="U8924">
        <v>8882</v>
      </c>
      <c r="V8924" s="197">
        <v>421.96225586339335</v>
      </c>
    </row>
    <row r="8925" spans="21:22">
      <c r="U8925">
        <v>8883</v>
      </c>
      <c r="V8925" s="197">
        <v>-679.36834621386697</v>
      </c>
    </row>
    <row r="8926" spans="21:22">
      <c r="U8926">
        <v>8884</v>
      </c>
      <c r="V8926" s="197">
        <v>468.85400300791355</v>
      </c>
    </row>
    <row r="8927" spans="21:22">
      <c r="U8927">
        <v>8885</v>
      </c>
      <c r="V8927" s="197">
        <v>1462.8810819762832</v>
      </c>
    </row>
    <row r="8928" spans="21:22">
      <c r="U8928">
        <v>8886</v>
      </c>
      <c r="V8928" s="197">
        <v>1213.5562888417116</v>
      </c>
    </row>
    <row r="8929" spans="21:22">
      <c r="U8929">
        <v>8887</v>
      </c>
      <c r="V8929" s="197">
        <v>368.4388296022646</v>
      </c>
    </row>
    <row r="8930" spans="21:22">
      <c r="U8930">
        <v>8888</v>
      </c>
      <c r="V8930" s="197">
        <v>-1958.8951074121417</v>
      </c>
    </row>
    <row r="8931" spans="21:22">
      <c r="U8931">
        <v>8889</v>
      </c>
      <c r="V8931" s="197">
        <v>1467.5935069909131</v>
      </c>
    </row>
    <row r="8932" spans="21:22">
      <c r="U8932">
        <v>8890</v>
      </c>
      <c r="V8932" s="197">
        <v>612.49450629299872</v>
      </c>
    </row>
    <row r="8933" spans="21:22">
      <c r="U8933">
        <v>8891</v>
      </c>
      <c r="V8933" s="197">
        <v>-2213.0809309036795</v>
      </c>
    </row>
    <row r="8934" spans="21:22">
      <c r="U8934">
        <v>8892</v>
      </c>
      <c r="V8934" s="197">
        <v>118.4858120137976</v>
      </c>
    </row>
    <row r="8935" spans="21:22">
      <c r="U8935">
        <v>8893</v>
      </c>
      <c r="V8935" s="197">
        <v>-202.77832807909192</v>
      </c>
    </row>
    <row r="8936" spans="21:22">
      <c r="U8936">
        <v>8894</v>
      </c>
      <c r="V8936" s="197">
        <v>-593.58927083815297</v>
      </c>
    </row>
    <row r="8937" spans="21:22">
      <c r="U8937">
        <v>8895</v>
      </c>
      <c r="V8937" s="197">
        <v>1167.3803424678197</v>
      </c>
    </row>
    <row r="8938" spans="21:22">
      <c r="U8938">
        <v>8896</v>
      </c>
      <c r="V8938" s="197">
        <v>-307.38815359265584</v>
      </c>
    </row>
    <row r="8939" spans="21:22">
      <c r="U8939">
        <v>8897</v>
      </c>
      <c r="V8939" s="197">
        <v>-67.430990485242717</v>
      </c>
    </row>
    <row r="8940" spans="21:22">
      <c r="U8940">
        <v>8898</v>
      </c>
      <c r="V8940" s="197">
        <v>-297.53176455491291</v>
      </c>
    </row>
    <row r="8941" spans="21:22">
      <c r="U8941">
        <v>8899</v>
      </c>
      <c r="V8941" s="197">
        <v>-1292.2042415752646</v>
      </c>
    </row>
    <row r="8942" spans="21:22">
      <c r="U8942">
        <v>8900</v>
      </c>
      <c r="V8942" s="197">
        <v>-1672.9943662816613</v>
      </c>
    </row>
    <row r="8943" spans="21:22">
      <c r="U8943">
        <v>8901</v>
      </c>
      <c r="V8943" s="197">
        <v>-361.46136855113014</v>
      </c>
    </row>
    <row r="8944" spans="21:22">
      <c r="U8944">
        <v>8902</v>
      </c>
      <c r="V8944" s="197">
        <v>-1265.8948117599984</v>
      </c>
    </row>
    <row r="8945" spans="21:22">
      <c r="U8945">
        <v>8903</v>
      </c>
      <c r="V8945" s="197">
        <v>439.91151889814643</v>
      </c>
    </row>
    <row r="8946" spans="21:22">
      <c r="U8946">
        <v>8904</v>
      </c>
      <c r="V8946" s="197">
        <v>369.17840641806362</v>
      </c>
    </row>
    <row r="8947" spans="21:22">
      <c r="U8947">
        <v>8905</v>
      </c>
      <c r="V8947" s="197">
        <v>1526.2605397130062</v>
      </c>
    </row>
    <row r="8948" spans="21:22">
      <c r="U8948">
        <v>8906</v>
      </c>
      <c r="V8948" s="197">
        <v>-1094.4882645820712</v>
      </c>
    </row>
    <row r="8949" spans="21:22">
      <c r="U8949">
        <v>8907</v>
      </c>
      <c r="V8949" s="197">
        <v>-1709.4366945978115</v>
      </c>
    </row>
    <row r="8950" spans="21:22">
      <c r="U8950">
        <v>8908</v>
      </c>
      <c r="V8950" s="197">
        <v>16.927126933523951</v>
      </c>
    </row>
    <row r="8951" spans="21:22">
      <c r="U8951">
        <v>8909</v>
      </c>
      <c r="V8951" s="197">
        <v>-435.47215754425673</v>
      </c>
    </row>
    <row r="8952" spans="21:22">
      <c r="U8952">
        <v>8910</v>
      </c>
      <c r="V8952" s="197">
        <v>1026.7202238071925</v>
      </c>
    </row>
    <row r="8953" spans="21:22">
      <c r="U8953">
        <v>8911</v>
      </c>
      <c r="V8953" s="197">
        <v>-638.5411703256575</v>
      </c>
    </row>
    <row r="8954" spans="21:22">
      <c r="U8954">
        <v>8912</v>
      </c>
      <c r="V8954" s="197">
        <v>522.92381326057546</v>
      </c>
    </row>
    <row r="8955" spans="21:22">
      <c r="U8955">
        <v>8913</v>
      </c>
      <c r="V8955" s="197">
        <v>952.1003598048369</v>
      </c>
    </row>
    <row r="8956" spans="21:22">
      <c r="U8956">
        <v>8914</v>
      </c>
      <c r="V8956" s="197">
        <v>675.04276794646762</v>
      </c>
    </row>
    <row r="8957" spans="21:22">
      <c r="U8957">
        <v>8915</v>
      </c>
      <c r="V8957" s="197">
        <v>-656.7075324945381</v>
      </c>
    </row>
    <row r="8958" spans="21:22">
      <c r="U8958">
        <v>8916</v>
      </c>
      <c r="V8958" s="197">
        <v>-411.26890097163306</v>
      </c>
    </row>
    <row r="8959" spans="21:22">
      <c r="U8959">
        <v>8917</v>
      </c>
      <c r="V8959" s="197">
        <v>546.2431377466869</v>
      </c>
    </row>
    <row r="8960" spans="21:22">
      <c r="U8960">
        <v>8918</v>
      </c>
      <c r="V8960" s="197">
        <v>-1453.5585984084414</v>
      </c>
    </row>
    <row r="8961" spans="21:22">
      <c r="U8961">
        <v>8919</v>
      </c>
      <c r="V8961" s="197">
        <v>748.3338645870565</v>
      </c>
    </row>
    <row r="8962" spans="21:22">
      <c r="U8962">
        <v>8920</v>
      </c>
      <c r="V8962" s="197">
        <v>-285.90578010676433</v>
      </c>
    </row>
    <row r="8963" spans="21:22">
      <c r="U8963">
        <v>8921</v>
      </c>
      <c r="V8963" s="197">
        <v>-498.74332369363441</v>
      </c>
    </row>
    <row r="8964" spans="21:22">
      <c r="U8964">
        <v>8922</v>
      </c>
      <c r="V8964" s="197">
        <v>-437.50284645612459</v>
      </c>
    </row>
    <row r="8965" spans="21:22">
      <c r="U8965">
        <v>8923</v>
      </c>
      <c r="V8965" s="197">
        <v>-949.99491523808729</v>
      </c>
    </row>
    <row r="8966" spans="21:22">
      <c r="U8966">
        <v>8924</v>
      </c>
      <c r="V8966" s="197">
        <v>68.630228299759011</v>
      </c>
    </row>
    <row r="8967" spans="21:22">
      <c r="U8967">
        <v>8925</v>
      </c>
      <c r="V8967" s="197">
        <v>-675.97485297375579</v>
      </c>
    </row>
    <row r="8968" spans="21:22">
      <c r="U8968">
        <v>8926</v>
      </c>
      <c r="V8968" s="197">
        <v>159.35927390171688</v>
      </c>
    </row>
    <row r="8969" spans="21:22">
      <c r="U8969">
        <v>8927</v>
      </c>
      <c r="V8969" s="197">
        <v>72.314308501481378</v>
      </c>
    </row>
    <row r="8970" spans="21:22">
      <c r="U8970">
        <v>8928</v>
      </c>
      <c r="V8970" s="197">
        <v>276.30880790249603</v>
      </c>
    </row>
    <row r="8971" spans="21:22">
      <c r="U8971">
        <v>8929</v>
      </c>
      <c r="V8971" s="197">
        <v>465.02823063864889</v>
      </c>
    </row>
    <row r="8972" spans="21:22">
      <c r="U8972">
        <v>8930</v>
      </c>
      <c r="V8972" s="197">
        <v>971.86494786254684</v>
      </c>
    </row>
    <row r="8973" spans="21:22">
      <c r="U8973">
        <v>8931</v>
      </c>
      <c r="V8973" s="197">
        <v>-305.97095309802268</v>
      </c>
    </row>
    <row r="8974" spans="21:22">
      <c r="U8974">
        <v>8932</v>
      </c>
      <c r="V8974" s="197">
        <v>-1265.3523984636624</v>
      </c>
    </row>
    <row r="8975" spans="21:22">
      <c r="U8975">
        <v>8933</v>
      </c>
      <c r="V8975" s="197">
        <v>-630.181747690674</v>
      </c>
    </row>
    <row r="8976" spans="21:22">
      <c r="U8976">
        <v>8934</v>
      </c>
      <c r="V8976" s="197">
        <v>-297.70589146314171</v>
      </c>
    </row>
    <row r="8977" spans="21:22">
      <c r="U8977">
        <v>8935</v>
      </c>
      <c r="V8977" s="197">
        <v>1379.0590545055632</v>
      </c>
    </row>
    <row r="8978" spans="21:22">
      <c r="U8978">
        <v>8936</v>
      </c>
      <c r="V8978" s="197">
        <v>-316.53676577181261</v>
      </c>
    </row>
    <row r="8979" spans="21:22">
      <c r="U8979">
        <v>8937</v>
      </c>
      <c r="V8979" s="197">
        <v>1800.9665107007202</v>
      </c>
    </row>
    <row r="8980" spans="21:22">
      <c r="U8980">
        <v>8938</v>
      </c>
      <c r="V8980" s="197">
        <v>-1145.6211170864688</v>
      </c>
    </row>
    <row r="8981" spans="21:22">
      <c r="U8981">
        <v>8939</v>
      </c>
      <c r="V8981" s="197">
        <v>639.97922195882325</v>
      </c>
    </row>
    <row r="8982" spans="21:22">
      <c r="U8982">
        <v>8940</v>
      </c>
      <c r="V8982" s="197">
        <v>-429.69310366980761</v>
      </c>
    </row>
    <row r="8983" spans="21:22">
      <c r="U8983">
        <v>8941</v>
      </c>
      <c r="V8983" s="197">
        <v>-224.04687009439635</v>
      </c>
    </row>
    <row r="8984" spans="21:22">
      <c r="U8984">
        <v>8942</v>
      </c>
      <c r="V8984" s="197">
        <v>-1168.7792334545018</v>
      </c>
    </row>
    <row r="8985" spans="21:22">
      <c r="U8985">
        <v>8943</v>
      </c>
      <c r="V8985" s="197">
        <v>49.15198389453905</v>
      </c>
    </row>
    <row r="8986" spans="21:22">
      <c r="U8986">
        <v>8944</v>
      </c>
      <c r="V8986" s="197">
        <v>356.89253919255168</v>
      </c>
    </row>
    <row r="8987" spans="21:22">
      <c r="U8987">
        <v>8945</v>
      </c>
      <c r="V8987" s="197">
        <v>1762.2555133731632</v>
      </c>
    </row>
    <row r="8988" spans="21:22">
      <c r="U8988">
        <v>8946</v>
      </c>
      <c r="V8988" s="197">
        <v>750.72717908057007</v>
      </c>
    </row>
    <row r="8989" spans="21:22">
      <c r="U8989">
        <v>8947</v>
      </c>
      <c r="V8989" s="197">
        <v>623.37824480914946</v>
      </c>
    </row>
    <row r="8990" spans="21:22">
      <c r="U8990">
        <v>8948</v>
      </c>
      <c r="V8990" s="197">
        <v>123.84934048854639</v>
      </c>
    </row>
    <row r="8991" spans="21:22">
      <c r="U8991">
        <v>8949</v>
      </c>
      <c r="V8991" s="197">
        <v>-688.96626458023729</v>
      </c>
    </row>
    <row r="8992" spans="21:22">
      <c r="U8992">
        <v>8950</v>
      </c>
      <c r="V8992" s="197">
        <v>-1518.7328501742643</v>
      </c>
    </row>
    <row r="8993" spans="21:22">
      <c r="U8993">
        <v>8951</v>
      </c>
      <c r="V8993" s="197">
        <v>-668.23376147616932</v>
      </c>
    </row>
    <row r="8994" spans="21:22">
      <c r="U8994">
        <v>8952</v>
      </c>
      <c r="V8994" s="197">
        <v>-7.6895392777369835</v>
      </c>
    </row>
    <row r="8995" spans="21:22">
      <c r="U8995">
        <v>8953</v>
      </c>
      <c r="V8995" s="197">
        <v>1179.442272630547</v>
      </c>
    </row>
    <row r="8996" spans="21:22">
      <c r="U8996">
        <v>8954</v>
      </c>
      <c r="V8996" s="197">
        <v>282.42700398016905</v>
      </c>
    </row>
    <row r="8997" spans="21:22">
      <c r="U8997">
        <v>8955</v>
      </c>
      <c r="V8997" s="197">
        <v>-370.65048686560266</v>
      </c>
    </row>
    <row r="8998" spans="21:22">
      <c r="U8998">
        <v>8956</v>
      </c>
      <c r="V8998" s="197">
        <v>1733.2438992690356</v>
      </c>
    </row>
    <row r="8999" spans="21:22">
      <c r="U8999">
        <v>8957</v>
      </c>
      <c r="V8999" s="197">
        <v>1011.2533424484948</v>
      </c>
    </row>
    <row r="9000" spans="21:22">
      <c r="U9000">
        <v>8958</v>
      </c>
      <c r="V9000" s="197">
        <v>-140.92992756090891</v>
      </c>
    </row>
    <row r="9001" spans="21:22">
      <c r="U9001">
        <v>8959</v>
      </c>
      <c r="V9001" s="197">
        <v>1611.8891415225273</v>
      </c>
    </row>
    <row r="9002" spans="21:22">
      <c r="U9002">
        <v>8960</v>
      </c>
      <c r="V9002" s="197">
        <v>-2194.9824987047787</v>
      </c>
    </row>
    <row r="9003" spans="21:22">
      <c r="U9003">
        <v>8961</v>
      </c>
      <c r="V9003" s="197">
        <v>2067.2184127135556</v>
      </c>
    </row>
    <row r="9004" spans="21:22">
      <c r="U9004">
        <v>8962</v>
      </c>
      <c r="V9004" s="197">
        <v>1559.4322802164868</v>
      </c>
    </row>
    <row r="9005" spans="21:22">
      <c r="U9005">
        <v>8963</v>
      </c>
      <c r="V9005" s="197">
        <v>-766.85911436940023</v>
      </c>
    </row>
    <row r="9006" spans="21:22">
      <c r="U9006">
        <v>8964</v>
      </c>
      <c r="V9006" s="197">
        <v>-718.6910463986153</v>
      </c>
    </row>
    <row r="9007" spans="21:22">
      <c r="U9007">
        <v>8965</v>
      </c>
      <c r="V9007" s="197">
        <v>-604.33314523845047</v>
      </c>
    </row>
    <row r="9008" spans="21:22">
      <c r="U9008">
        <v>8966</v>
      </c>
      <c r="V9008" s="197">
        <v>-260.18951207370407</v>
      </c>
    </row>
    <row r="9009" spans="21:22">
      <c r="U9009">
        <v>8967</v>
      </c>
      <c r="V9009" s="197">
        <v>-1300.0741146623545</v>
      </c>
    </row>
    <row r="9010" spans="21:22">
      <c r="U9010">
        <v>8968</v>
      </c>
      <c r="V9010" s="197">
        <v>-61.951056739314907</v>
      </c>
    </row>
    <row r="9011" spans="21:22">
      <c r="U9011">
        <v>8969</v>
      </c>
      <c r="V9011" s="197">
        <v>551.26181825651292</v>
      </c>
    </row>
    <row r="9012" spans="21:22">
      <c r="U9012">
        <v>8970</v>
      </c>
      <c r="V9012" s="197">
        <v>679.36063781272446</v>
      </c>
    </row>
    <row r="9013" spans="21:22">
      <c r="U9013">
        <v>8971</v>
      </c>
      <c r="V9013" s="197">
        <v>-1202.5742474969277</v>
      </c>
    </row>
    <row r="9014" spans="21:22">
      <c r="U9014">
        <v>8972</v>
      </c>
      <c r="V9014" s="197">
        <v>-673.6792257934294</v>
      </c>
    </row>
    <row r="9015" spans="21:22">
      <c r="U9015">
        <v>8973</v>
      </c>
      <c r="V9015" s="197">
        <v>1434.1297765752051</v>
      </c>
    </row>
    <row r="9016" spans="21:22">
      <c r="U9016">
        <v>8974</v>
      </c>
      <c r="V9016" s="197">
        <v>841.359009528667</v>
      </c>
    </row>
    <row r="9017" spans="21:22">
      <c r="U9017">
        <v>8975</v>
      </c>
      <c r="V9017" s="197">
        <v>165.94704062450916</v>
      </c>
    </row>
    <row r="9018" spans="21:22">
      <c r="U9018">
        <v>8976</v>
      </c>
      <c r="V9018" s="197">
        <v>-839.65187547803953</v>
      </c>
    </row>
    <row r="9019" spans="21:22">
      <c r="U9019">
        <v>8977</v>
      </c>
      <c r="V9019" s="197">
        <v>296.26706756476267</v>
      </c>
    </row>
    <row r="9020" spans="21:22">
      <c r="U9020">
        <v>8978</v>
      </c>
      <c r="V9020" s="197">
        <v>756.56541995797193</v>
      </c>
    </row>
    <row r="9021" spans="21:22">
      <c r="U9021">
        <v>8979</v>
      </c>
      <c r="V9021" s="197">
        <v>1.5512198906330354</v>
      </c>
    </row>
    <row r="9022" spans="21:22">
      <c r="U9022">
        <v>8980</v>
      </c>
      <c r="V9022" s="197">
        <v>-189.02195898158914</v>
      </c>
    </row>
    <row r="9023" spans="21:22">
      <c r="U9023">
        <v>8981</v>
      </c>
      <c r="V9023" s="197">
        <v>-48.761482073754991</v>
      </c>
    </row>
    <row r="9024" spans="21:22">
      <c r="U9024">
        <v>8982</v>
      </c>
      <c r="V9024" s="197">
        <v>-1024.6903709183707</v>
      </c>
    </row>
    <row r="9025" spans="21:22">
      <c r="U9025">
        <v>8983</v>
      </c>
      <c r="V9025" s="197">
        <v>896.06338837346129</v>
      </c>
    </row>
    <row r="9026" spans="21:22">
      <c r="U9026">
        <v>8984</v>
      </c>
      <c r="V9026" s="197">
        <v>758.07536828441835</v>
      </c>
    </row>
    <row r="9027" spans="21:22">
      <c r="U9027">
        <v>8985</v>
      </c>
      <c r="V9027" s="197">
        <v>56.23643936745124</v>
      </c>
    </row>
    <row r="9028" spans="21:22">
      <c r="U9028">
        <v>8986</v>
      </c>
      <c r="V9028" s="197">
        <v>57.632956303795751</v>
      </c>
    </row>
    <row r="9029" spans="21:22">
      <c r="U9029">
        <v>8987</v>
      </c>
      <c r="V9029" s="197">
        <v>-64.556270736241203</v>
      </c>
    </row>
    <row r="9030" spans="21:22">
      <c r="U9030">
        <v>8988</v>
      </c>
      <c r="V9030" s="197">
        <v>1531.8585718467052</v>
      </c>
    </row>
    <row r="9031" spans="21:22">
      <c r="U9031">
        <v>8989</v>
      </c>
      <c r="V9031" s="197">
        <v>-882.31792719399641</v>
      </c>
    </row>
    <row r="9032" spans="21:22">
      <c r="U9032">
        <v>8990</v>
      </c>
      <c r="V9032" s="197">
        <v>561.88829687889915</v>
      </c>
    </row>
    <row r="9033" spans="21:22">
      <c r="U9033">
        <v>8991</v>
      </c>
      <c r="V9033" s="197">
        <v>1896.0997521181034</v>
      </c>
    </row>
    <row r="9034" spans="21:22">
      <c r="U9034">
        <v>8992</v>
      </c>
      <c r="V9034" s="197">
        <v>315.2136741785049</v>
      </c>
    </row>
    <row r="9035" spans="21:22">
      <c r="U9035">
        <v>8993</v>
      </c>
      <c r="V9035" s="197">
        <v>-1039.3292205483015</v>
      </c>
    </row>
    <row r="9036" spans="21:22">
      <c r="U9036">
        <v>8994</v>
      </c>
      <c r="V9036" s="197">
        <v>-736.36293931262844</v>
      </c>
    </row>
    <row r="9037" spans="21:22">
      <c r="U9037">
        <v>8995</v>
      </c>
      <c r="V9037" s="197">
        <v>-606.41819337916854</v>
      </c>
    </row>
    <row r="9038" spans="21:22">
      <c r="U9038">
        <v>8996</v>
      </c>
      <c r="V9038" s="197">
        <v>1020.7926175447235</v>
      </c>
    </row>
    <row r="9039" spans="21:22">
      <c r="U9039">
        <v>8997</v>
      </c>
      <c r="V9039" s="197">
        <v>1679.7932025927964</v>
      </c>
    </row>
    <row r="9040" spans="21:22">
      <c r="U9040">
        <v>8998</v>
      </c>
      <c r="V9040" s="197">
        <v>3053.3853090496777</v>
      </c>
    </row>
    <row r="9041" spans="21:22">
      <c r="U9041">
        <v>8999</v>
      </c>
      <c r="V9041" s="197">
        <v>612.29768141190107</v>
      </c>
    </row>
    <row r="9042" spans="21:22">
      <c r="U9042">
        <v>9000</v>
      </c>
      <c r="V9042" s="197">
        <v>-708.25007654371825</v>
      </c>
    </row>
    <row r="9043" spans="21:22">
      <c r="U9043">
        <v>9001</v>
      </c>
      <c r="V9043" s="197">
        <v>628.83771850323433</v>
      </c>
    </row>
    <row r="9044" spans="21:22">
      <c r="U9044">
        <v>9002</v>
      </c>
      <c r="V9044" s="197">
        <v>775.0140359515276</v>
      </c>
    </row>
    <row r="9045" spans="21:22">
      <c r="U9045">
        <v>9003</v>
      </c>
      <c r="V9045" s="197">
        <v>851.60456743877671</v>
      </c>
    </row>
    <row r="9046" spans="21:22">
      <c r="U9046">
        <v>9004</v>
      </c>
      <c r="V9046" s="197">
        <v>1410.1447437765926</v>
      </c>
    </row>
    <row r="9047" spans="21:22">
      <c r="U9047">
        <v>9005</v>
      </c>
      <c r="V9047" s="197">
        <v>1337.5409866155326</v>
      </c>
    </row>
    <row r="9048" spans="21:22">
      <c r="U9048">
        <v>9006</v>
      </c>
      <c r="V9048" s="197">
        <v>-187.64331438685826</v>
      </c>
    </row>
    <row r="9049" spans="21:22">
      <c r="U9049">
        <v>9007</v>
      </c>
      <c r="V9049" s="197">
        <v>674.86868973224182</v>
      </c>
    </row>
    <row r="9050" spans="21:22">
      <c r="U9050">
        <v>9008</v>
      </c>
      <c r="V9050" s="197">
        <v>-710.74583459660266</v>
      </c>
    </row>
    <row r="9051" spans="21:22">
      <c r="U9051">
        <v>9009</v>
      </c>
      <c r="V9051" s="197">
        <v>-789.83854483625578</v>
      </c>
    </row>
    <row r="9052" spans="21:22">
      <c r="U9052">
        <v>9010</v>
      </c>
      <c r="V9052" s="197">
        <v>-757.21818374288227</v>
      </c>
    </row>
    <row r="9053" spans="21:22">
      <c r="U9053">
        <v>9011</v>
      </c>
      <c r="V9053" s="197">
        <v>756.84445451517877</v>
      </c>
    </row>
    <row r="9054" spans="21:22">
      <c r="U9054">
        <v>9012</v>
      </c>
      <c r="V9054" s="197">
        <v>-256.03032097600396</v>
      </c>
    </row>
    <row r="9055" spans="21:22">
      <c r="U9055">
        <v>9013</v>
      </c>
      <c r="V9055" s="197">
        <v>987.6053722208037</v>
      </c>
    </row>
    <row r="9056" spans="21:22">
      <c r="U9056">
        <v>9014</v>
      </c>
      <c r="V9056" s="197">
        <v>-154.96279039221935</v>
      </c>
    </row>
    <row r="9057" spans="21:22">
      <c r="U9057">
        <v>9015</v>
      </c>
      <c r="V9057" s="197">
        <v>546.75621316395905</v>
      </c>
    </row>
    <row r="9058" spans="21:22">
      <c r="U9058">
        <v>9016</v>
      </c>
      <c r="V9058" s="197">
        <v>-512.61770544529622</v>
      </c>
    </row>
    <row r="9059" spans="21:22">
      <c r="U9059">
        <v>9017</v>
      </c>
      <c r="V9059" s="197">
        <v>120.83348795659505</v>
      </c>
    </row>
    <row r="9060" spans="21:22">
      <c r="U9060">
        <v>9018</v>
      </c>
      <c r="V9060" s="197">
        <v>1476.8096018060337</v>
      </c>
    </row>
    <row r="9061" spans="21:22">
      <c r="U9061">
        <v>9019</v>
      </c>
      <c r="V9061" s="197">
        <v>78.346103164763463</v>
      </c>
    </row>
    <row r="9062" spans="21:22">
      <c r="U9062">
        <v>9020</v>
      </c>
      <c r="V9062" s="197">
        <v>-2199.4450311251098</v>
      </c>
    </row>
    <row r="9063" spans="21:22">
      <c r="U9063">
        <v>9021</v>
      </c>
      <c r="V9063" s="197">
        <v>701.11920573286443</v>
      </c>
    </row>
    <row r="9064" spans="21:22">
      <c r="U9064">
        <v>9022</v>
      </c>
      <c r="V9064" s="197">
        <v>643.02168507157353</v>
      </c>
    </row>
    <row r="9065" spans="21:22">
      <c r="U9065">
        <v>9023</v>
      </c>
      <c r="V9065" s="197">
        <v>78.343521127127133</v>
      </c>
    </row>
    <row r="9066" spans="21:22">
      <c r="U9066">
        <v>9024</v>
      </c>
      <c r="V9066" s="197">
        <v>-75.104819624477472</v>
      </c>
    </row>
    <row r="9067" spans="21:22">
      <c r="U9067">
        <v>9025</v>
      </c>
      <c r="V9067" s="197">
        <v>292.07154461115124</v>
      </c>
    </row>
    <row r="9068" spans="21:22">
      <c r="U9068">
        <v>9026</v>
      </c>
      <c r="V9068" s="197">
        <v>-524.11057394239583</v>
      </c>
    </row>
    <row r="9069" spans="21:22">
      <c r="U9069">
        <v>9027</v>
      </c>
      <c r="V9069" s="197">
        <v>-534.43402792528491</v>
      </c>
    </row>
    <row r="9070" spans="21:22">
      <c r="U9070">
        <v>9028</v>
      </c>
      <c r="V9070" s="197">
        <v>1013.1247103199944</v>
      </c>
    </row>
    <row r="9071" spans="21:22">
      <c r="U9071">
        <v>9029</v>
      </c>
      <c r="V9071" s="197">
        <v>-80.57762999591958</v>
      </c>
    </row>
    <row r="9072" spans="21:22">
      <c r="U9072">
        <v>9030</v>
      </c>
      <c r="V9072" s="197">
        <v>2126.9657678158037</v>
      </c>
    </row>
    <row r="9073" spans="21:22">
      <c r="U9073">
        <v>9031</v>
      </c>
      <c r="V9073" s="197">
        <v>1203.6431733748752</v>
      </c>
    </row>
    <row r="9074" spans="21:22">
      <c r="U9074">
        <v>9032</v>
      </c>
      <c r="V9074" s="197">
        <v>775.57469008992962</v>
      </c>
    </row>
    <row r="9075" spans="21:22">
      <c r="U9075">
        <v>9033</v>
      </c>
      <c r="V9075" s="197">
        <v>-322.89956497185761</v>
      </c>
    </row>
    <row r="9076" spans="21:22">
      <c r="U9076">
        <v>9034</v>
      </c>
      <c r="V9076" s="197">
        <v>299.83044981524398</v>
      </c>
    </row>
    <row r="9077" spans="21:22">
      <c r="U9077">
        <v>9035</v>
      </c>
      <c r="V9077" s="197">
        <v>-993.1330959796037</v>
      </c>
    </row>
    <row r="9078" spans="21:22">
      <c r="U9078">
        <v>9036</v>
      </c>
      <c r="V9078" s="197">
        <v>1191.6268186520979</v>
      </c>
    </row>
    <row r="9079" spans="21:22">
      <c r="U9079">
        <v>9037</v>
      </c>
      <c r="V9079" s="197">
        <v>237.73658450889121</v>
      </c>
    </row>
    <row r="9080" spans="21:22">
      <c r="U9080">
        <v>9038</v>
      </c>
      <c r="V9080" s="197">
        <v>-456.39687252491359</v>
      </c>
    </row>
    <row r="9081" spans="21:22">
      <c r="U9081">
        <v>9039</v>
      </c>
      <c r="V9081" s="197">
        <v>-308.14036500537054</v>
      </c>
    </row>
    <row r="9082" spans="21:22">
      <c r="U9082">
        <v>9040</v>
      </c>
      <c r="V9082" s="197">
        <v>752.97146019474371</v>
      </c>
    </row>
    <row r="9083" spans="21:22">
      <c r="U9083">
        <v>9041</v>
      </c>
      <c r="V9083" s="197">
        <v>-410.8700492369486</v>
      </c>
    </row>
    <row r="9084" spans="21:22">
      <c r="U9084">
        <v>9042</v>
      </c>
      <c r="V9084" s="197">
        <v>634.6894451831879</v>
      </c>
    </row>
    <row r="9085" spans="21:22">
      <c r="U9085">
        <v>9043</v>
      </c>
      <c r="V9085" s="197">
        <v>-500.76199381347595</v>
      </c>
    </row>
    <row r="9086" spans="21:22">
      <c r="U9086">
        <v>9044</v>
      </c>
      <c r="V9086" s="197">
        <v>-800.6907872833192</v>
      </c>
    </row>
    <row r="9087" spans="21:22">
      <c r="U9087">
        <v>9045</v>
      </c>
      <c r="V9087" s="197">
        <v>-14.515194146379272</v>
      </c>
    </row>
    <row r="9088" spans="21:22">
      <c r="U9088">
        <v>9046</v>
      </c>
      <c r="V9088" s="197">
        <v>-642.49437109598443</v>
      </c>
    </row>
    <row r="9089" spans="21:22">
      <c r="U9089">
        <v>9047</v>
      </c>
      <c r="V9089" s="197">
        <v>766.02441155117253</v>
      </c>
    </row>
    <row r="9090" spans="21:22">
      <c r="U9090">
        <v>9048</v>
      </c>
      <c r="V9090" s="197">
        <v>2107.4788557042516</v>
      </c>
    </row>
    <row r="9091" spans="21:22">
      <c r="U9091">
        <v>9049</v>
      </c>
      <c r="V9091" s="197">
        <v>-376.61087251341922</v>
      </c>
    </row>
    <row r="9092" spans="21:22">
      <c r="U9092">
        <v>9050</v>
      </c>
      <c r="V9092" s="197">
        <v>83.156147721803691</v>
      </c>
    </row>
    <row r="9093" spans="21:22">
      <c r="U9093">
        <v>9051</v>
      </c>
      <c r="V9093" s="197">
        <v>1096.7171367416859</v>
      </c>
    </row>
    <row r="9094" spans="21:22">
      <c r="U9094">
        <v>9052</v>
      </c>
      <c r="V9094" s="197">
        <v>2244.3629491492024</v>
      </c>
    </row>
    <row r="9095" spans="21:22">
      <c r="U9095">
        <v>9053</v>
      </c>
      <c r="V9095" s="197">
        <v>-682.36846084808167</v>
      </c>
    </row>
    <row r="9096" spans="21:22">
      <c r="U9096">
        <v>9054</v>
      </c>
      <c r="V9096" s="197">
        <v>737.62430789233986</v>
      </c>
    </row>
    <row r="9097" spans="21:22">
      <c r="U9097">
        <v>9055</v>
      </c>
      <c r="V9097" s="197">
        <v>293.81235422235386</v>
      </c>
    </row>
    <row r="9098" spans="21:22">
      <c r="U9098">
        <v>9056</v>
      </c>
      <c r="V9098" s="197">
        <v>1804.368292786982</v>
      </c>
    </row>
    <row r="9099" spans="21:22">
      <c r="U9099">
        <v>9057</v>
      </c>
      <c r="V9099" s="197">
        <v>-242.37358261115111</v>
      </c>
    </row>
    <row r="9100" spans="21:22">
      <c r="U9100">
        <v>9058</v>
      </c>
      <c r="V9100" s="197">
        <v>-1403.8159653788782</v>
      </c>
    </row>
    <row r="9101" spans="21:22">
      <c r="U9101">
        <v>9059</v>
      </c>
      <c r="V9101" s="197">
        <v>756.36761283059786</v>
      </c>
    </row>
    <row r="9102" spans="21:22">
      <c r="U9102">
        <v>9060</v>
      </c>
      <c r="V9102" s="197">
        <v>254.94949311409712</v>
      </c>
    </row>
    <row r="9103" spans="21:22">
      <c r="U9103">
        <v>9061</v>
      </c>
      <c r="V9103" s="197">
        <v>681.15793660066174</v>
      </c>
    </row>
    <row r="9104" spans="21:22">
      <c r="U9104">
        <v>9062</v>
      </c>
      <c r="V9104" s="197">
        <v>-207.95852398325604</v>
      </c>
    </row>
    <row r="9105" spans="21:22">
      <c r="U9105">
        <v>9063</v>
      </c>
      <c r="V9105" s="197">
        <v>-790.41509067801826</v>
      </c>
    </row>
    <row r="9106" spans="21:22">
      <c r="U9106">
        <v>9064</v>
      </c>
      <c r="V9106" s="197">
        <v>4.6472809065663512</v>
      </c>
    </row>
    <row r="9107" spans="21:22">
      <c r="U9107">
        <v>9065</v>
      </c>
      <c r="V9107" s="197">
        <v>-69.116491482686143</v>
      </c>
    </row>
    <row r="9108" spans="21:22">
      <c r="U9108">
        <v>9066</v>
      </c>
      <c r="V9108" s="197">
        <v>1813.6957431905296</v>
      </c>
    </row>
    <row r="9109" spans="21:22">
      <c r="U9109">
        <v>9067</v>
      </c>
      <c r="V9109" s="197">
        <v>-1256.7097812747381</v>
      </c>
    </row>
    <row r="9110" spans="21:22">
      <c r="U9110">
        <v>9068</v>
      </c>
      <c r="V9110" s="197">
        <v>1775.0978433118783</v>
      </c>
    </row>
    <row r="9111" spans="21:22">
      <c r="U9111">
        <v>9069</v>
      </c>
      <c r="V9111" s="197">
        <v>-743.94278705242891</v>
      </c>
    </row>
    <row r="9112" spans="21:22">
      <c r="U9112">
        <v>9070</v>
      </c>
      <c r="V9112" s="197">
        <v>-21.567278883815646</v>
      </c>
    </row>
    <row r="9113" spans="21:22">
      <c r="U9113">
        <v>9071</v>
      </c>
      <c r="V9113" s="197">
        <v>2389.6086095990854</v>
      </c>
    </row>
    <row r="9114" spans="21:22">
      <c r="U9114">
        <v>9072</v>
      </c>
      <c r="V9114" s="197">
        <v>-335.04766025945577</v>
      </c>
    </row>
    <row r="9115" spans="21:22">
      <c r="U9115">
        <v>9073</v>
      </c>
      <c r="V9115" s="197">
        <v>-223.93771271096369</v>
      </c>
    </row>
    <row r="9116" spans="21:22">
      <c r="U9116">
        <v>9074</v>
      </c>
      <c r="V9116" s="197">
        <v>-17.483160979834921</v>
      </c>
    </row>
    <row r="9117" spans="21:22">
      <c r="U9117">
        <v>9075</v>
      </c>
      <c r="V9117" s="197">
        <v>-2628.2953621532006</v>
      </c>
    </row>
    <row r="9118" spans="21:22">
      <c r="U9118">
        <v>9076</v>
      </c>
      <c r="V9118" s="197">
        <v>-358.60594128028742</v>
      </c>
    </row>
    <row r="9119" spans="21:22">
      <c r="U9119">
        <v>9077</v>
      </c>
      <c r="V9119" s="197">
        <v>-1293.226296587952</v>
      </c>
    </row>
    <row r="9120" spans="21:22">
      <c r="U9120">
        <v>9078</v>
      </c>
      <c r="V9120" s="197">
        <v>-1055.3377985488353</v>
      </c>
    </row>
    <row r="9121" spans="21:22">
      <c r="U9121">
        <v>9079</v>
      </c>
      <c r="V9121" s="197">
        <v>-1388.8947944678835</v>
      </c>
    </row>
    <row r="9122" spans="21:22">
      <c r="U9122">
        <v>9080</v>
      </c>
      <c r="V9122" s="197">
        <v>198.4018848868042</v>
      </c>
    </row>
    <row r="9123" spans="21:22">
      <c r="U9123">
        <v>9081</v>
      </c>
      <c r="V9123" s="197">
        <v>1231.5874327352933</v>
      </c>
    </row>
    <row r="9124" spans="21:22">
      <c r="U9124">
        <v>9082</v>
      </c>
      <c r="V9124" s="197">
        <v>-101.32141493974959</v>
      </c>
    </row>
    <row r="9125" spans="21:22">
      <c r="U9125">
        <v>9083</v>
      </c>
      <c r="V9125" s="197">
        <v>-97.033628541939265</v>
      </c>
    </row>
    <row r="9126" spans="21:22">
      <c r="U9126">
        <v>9084</v>
      </c>
      <c r="V9126" s="197">
        <v>396.32329933446272</v>
      </c>
    </row>
    <row r="9127" spans="21:22">
      <c r="U9127">
        <v>9085</v>
      </c>
      <c r="V9127" s="197">
        <v>786.33270510002058</v>
      </c>
    </row>
    <row r="9128" spans="21:22">
      <c r="U9128">
        <v>9086</v>
      </c>
      <c r="V9128" s="197">
        <v>379.37425603425731</v>
      </c>
    </row>
    <row r="9129" spans="21:22">
      <c r="U9129">
        <v>9087</v>
      </c>
      <c r="V9129" s="197">
        <v>-207.78514313524045</v>
      </c>
    </row>
    <row r="9130" spans="21:22">
      <c r="U9130">
        <v>9088</v>
      </c>
      <c r="V9130" s="197">
        <v>-745.90723659973924</v>
      </c>
    </row>
    <row r="9131" spans="21:22">
      <c r="U9131">
        <v>9089</v>
      </c>
      <c r="V9131" s="197">
        <v>-522.70965984186046</v>
      </c>
    </row>
    <row r="9132" spans="21:22">
      <c r="U9132">
        <v>9090</v>
      </c>
      <c r="V9132" s="197">
        <v>-224.56082408977602</v>
      </c>
    </row>
    <row r="9133" spans="21:22">
      <c r="U9133">
        <v>9091</v>
      </c>
      <c r="V9133" s="197">
        <v>-252.21556978613091</v>
      </c>
    </row>
    <row r="9134" spans="21:22">
      <c r="U9134">
        <v>9092</v>
      </c>
      <c r="V9134" s="197">
        <v>-882.00617780438506</v>
      </c>
    </row>
    <row r="9135" spans="21:22">
      <c r="U9135">
        <v>9093</v>
      </c>
      <c r="V9135" s="197">
        <v>-385.19542287377658</v>
      </c>
    </row>
    <row r="9136" spans="21:22">
      <c r="U9136">
        <v>9094</v>
      </c>
      <c r="V9136" s="197">
        <v>785.59176023461418</v>
      </c>
    </row>
    <row r="9137" spans="21:22">
      <c r="U9137">
        <v>9095</v>
      </c>
      <c r="V9137" s="197">
        <v>-2774.5839925859605</v>
      </c>
    </row>
    <row r="9138" spans="21:22">
      <c r="U9138">
        <v>9096</v>
      </c>
      <c r="V9138" s="197">
        <v>137.48444701066768</v>
      </c>
    </row>
    <row r="9139" spans="21:22">
      <c r="U9139">
        <v>9097</v>
      </c>
      <c r="V9139" s="197">
        <v>160.56877335860398</v>
      </c>
    </row>
    <row r="9140" spans="21:22">
      <c r="U9140">
        <v>9098</v>
      </c>
      <c r="V9140" s="197">
        <v>-7.0674683711307154</v>
      </c>
    </row>
    <row r="9141" spans="21:22">
      <c r="U9141">
        <v>9099</v>
      </c>
      <c r="V9141" s="197">
        <v>869.63887366664744</v>
      </c>
    </row>
    <row r="9142" spans="21:22">
      <c r="U9142">
        <v>9100</v>
      </c>
      <c r="V9142" s="197">
        <v>-1412.572275985681</v>
      </c>
    </row>
    <row r="9143" spans="21:22">
      <c r="U9143">
        <v>9101</v>
      </c>
      <c r="V9143" s="197">
        <v>-1861.6524502908553</v>
      </c>
    </row>
    <row r="9144" spans="21:22">
      <c r="U9144">
        <v>9102</v>
      </c>
      <c r="V9144" s="197">
        <v>318.39353804229904</v>
      </c>
    </row>
    <row r="9145" spans="21:22">
      <c r="U9145">
        <v>9103</v>
      </c>
      <c r="V9145" s="197">
        <v>794.43751505836281</v>
      </c>
    </row>
    <row r="9146" spans="21:22">
      <c r="U9146">
        <v>9104</v>
      </c>
      <c r="V9146" s="197">
        <v>-251.83598775750841</v>
      </c>
    </row>
    <row r="9147" spans="21:22">
      <c r="U9147">
        <v>9105</v>
      </c>
      <c r="V9147" s="197">
        <v>-1669.9651497858074</v>
      </c>
    </row>
    <row r="9148" spans="21:22">
      <c r="U9148">
        <v>9106</v>
      </c>
      <c r="V9148" s="197">
        <v>-430.33180588328372</v>
      </c>
    </row>
    <row r="9149" spans="21:22">
      <c r="U9149">
        <v>9107</v>
      </c>
      <c r="V9149" s="197">
        <v>126.04213208015483</v>
      </c>
    </row>
    <row r="9150" spans="21:22">
      <c r="U9150">
        <v>9108</v>
      </c>
      <c r="V9150" s="197">
        <v>2350.7457485952068</v>
      </c>
    </row>
    <row r="9151" spans="21:22">
      <c r="U9151">
        <v>9109</v>
      </c>
      <c r="V9151" s="197">
        <v>-1096.5683186378606</v>
      </c>
    </row>
    <row r="9152" spans="21:22">
      <c r="U9152">
        <v>9110</v>
      </c>
      <c r="V9152" s="197">
        <v>61.215797684229528</v>
      </c>
    </row>
    <row r="9153" spans="21:22">
      <c r="U9153">
        <v>9111</v>
      </c>
      <c r="V9153" s="197">
        <v>15.894593132638036</v>
      </c>
    </row>
    <row r="9154" spans="21:22">
      <c r="U9154">
        <v>9112</v>
      </c>
      <c r="V9154" s="197">
        <v>1625.084997610478</v>
      </c>
    </row>
    <row r="9155" spans="21:22">
      <c r="U9155">
        <v>9113</v>
      </c>
      <c r="V9155" s="197">
        <v>-782.45965215414776</v>
      </c>
    </row>
    <row r="9156" spans="21:22">
      <c r="U9156">
        <v>9114</v>
      </c>
      <c r="V9156" s="197">
        <v>-116.41811032039041</v>
      </c>
    </row>
    <row r="9157" spans="21:22">
      <c r="U9157">
        <v>9115</v>
      </c>
      <c r="V9157" s="197">
        <v>-718.21299636004574</v>
      </c>
    </row>
    <row r="9158" spans="21:22">
      <c r="U9158">
        <v>9116</v>
      </c>
      <c r="V9158" s="197">
        <v>392.4754263378361</v>
      </c>
    </row>
    <row r="9159" spans="21:22">
      <c r="U9159">
        <v>9117</v>
      </c>
      <c r="V9159" s="197">
        <v>-518.1915083793856</v>
      </c>
    </row>
    <row r="9160" spans="21:22">
      <c r="U9160">
        <v>9118</v>
      </c>
      <c r="V9160" s="197">
        <v>-1427.1258383834977</v>
      </c>
    </row>
    <row r="9161" spans="21:22">
      <c r="U9161">
        <v>9119</v>
      </c>
      <c r="V9161" s="197">
        <v>1886.9809648320247</v>
      </c>
    </row>
    <row r="9162" spans="21:22">
      <c r="U9162">
        <v>9120</v>
      </c>
      <c r="V9162" s="197">
        <v>122.52135925228234</v>
      </c>
    </row>
    <row r="9163" spans="21:22">
      <c r="U9163">
        <v>9121</v>
      </c>
      <c r="V9163" s="197">
        <v>105.25494289393292</v>
      </c>
    </row>
    <row r="9164" spans="21:22">
      <c r="U9164">
        <v>9122</v>
      </c>
      <c r="V9164" s="197">
        <v>271.56037524017029</v>
      </c>
    </row>
    <row r="9165" spans="21:22">
      <c r="U9165">
        <v>9123</v>
      </c>
      <c r="V9165" s="197">
        <v>284.56416184556133</v>
      </c>
    </row>
    <row r="9166" spans="21:22">
      <c r="U9166">
        <v>9124</v>
      </c>
      <c r="V9166" s="197">
        <v>-998.96977191064593</v>
      </c>
    </row>
    <row r="9167" spans="21:22">
      <c r="U9167">
        <v>9125</v>
      </c>
      <c r="V9167" s="197">
        <v>518.88661246644187</v>
      </c>
    </row>
    <row r="9168" spans="21:22">
      <c r="U9168">
        <v>9126</v>
      </c>
      <c r="V9168" s="197">
        <v>-20.675412487945749</v>
      </c>
    </row>
    <row r="9169" spans="21:22">
      <c r="U9169">
        <v>9127</v>
      </c>
      <c r="V9169" s="197">
        <v>-535.26111076143366</v>
      </c>
    </row>
    <row r="9170" spans="21:22">
      <c r="U9170">
        <v>9128</v>
      </c>
      <c r="V9170" s="197">
        <v>1787.2062666787949</v>
      </c>
    </row>
    <row r="9171" spans="21:22">
      <c r="U9171">
        <v>9129</v>
      </c>
      <c r="V9171" s="197">
        <v>-471.49375056417654</v>
      </c>
    </row>
    <row r="9172" spans="21:22">
      <c r="U9172">
        <v>9130</v>
      </c>
      <c r="V9172" s="197">
        <v>979.80769400889085</v>
      </c>
    </row>
    <row r="9173" spans="21:22">
      <c r="U9173">
        <v>9131</v>
      </c>
      <c r="V9173" s="197">
        <v>-348.02609581536342</v>
      </c>
    </row>
    <row r="9174" spans="21:22">
      <c r="U9174">
        <v>9132</v>
      </c>
      <c r="V9174" s="197">
        <v>638.76271674672535</v>
      </c>
    </row>
    <row r="9175" spans="21:22">
      <c r="U9175">
        <v>9133</v>
      </c>
      <c r="V9175" s="197">
        <v>319.07249057036256</v>
      </c>
    </row>
    <row r="9176" spans="21:22">
      <c r="U9176">
        <v>9134</v>
      </c>
      <c r="V9176" s="197">
        <v>155.39867276030327</v>
      </c>
    </row>
    <row r="9177" spans="21:22">
      <c r="U9177">
        <v>9135</v>
      </c>
      <c r="V9177" s="197">
        <v>-778.4202418110915</v>
      </c>
    </row>
    <row r="9178" spans="21:22">
      <c r="U9178">
        <v>9136</v>
      </c>
      <c r="V9178" s="197">
        <v>136.03858215662333</v>
      </c>
    </row>
    <row r="9179" spans="21:22">
      <c r="U9179">
        <v>9137</v>
      </c>
      <c r="V9179" s="197">
        <v>-954.3335846769512</v>
      </c>
    </row>
    <row r="9180" spans="21:22">
      <c r="U9180">
        <v>9138</v>
      </c>
      <c r="V9180" s="197">
        <v>-56.774676897766454</v>
      </c>
    </row>
    <row r="9181" spans="21:22">
      <c r="U9181">
        <v>9139</v>
      </c>
      <c r="V9181" s="197">
        <v>-847.18308808894471</v>
      </c>
    </row>
    <row r="9182" spans="21:22">
      <c r="U9182">
        <v>9140</v>
      </c>
      <c r="V9182" s="197">
        <v>624.75424917041232</v>
      </c>
    </row>
    <row r="9183" spans="21:22">
      <c r="U9183">
        <v>9141</v>
      </c>
      <c r="V9183" s="197">
        <v>494.82110752175294</v>
      </c>
    </row>
    <row r="9184" spans="21:22">
      <c r="U9184">
        <v>9142</v>
      </c>
      <c r="V9184" s="197">
        <v>513.09411211709289</v>
      </c>
    </row>
    <row r="9185" spans="21:22">
      <c r="U9185">
        <v>9143</v>
      </c>
      <c r="V9185" s="197">
        <v>-822.24685920884758</v>
      </c>
    </row>
    <row r="9186" spans="21:22">
      <c r="U9186">
        <v>9144</v>
      </c>
      <c r="V9186" s="197">
        <v>1612.9443098209838</v>
      </c>
    </row>
    <row r="9187" spans="21:22">
      <c r="U9187">
        <v>9145</v>
      </c>
      <c r="V9187" s="197">
        <v>684.70812017358003</v>
      </c>
    </row>
    <row r="9188" spans="21:22">
      <c r="U9188">
        <v>9146</v>
      </c>
      <c r="V9188" s="197">
        <v>1038.8741971771483</v>
      </c>
    </row>
    <row r="9189" spans="21:22">
      <c r="U9189">
        <v>9147</v>
      </c>
      <c r="V9189" s="197">
        <v>1667.5785345092188</v>
      </c>
    </row>
    <row r="9190" spans="21:22">
      <c r="U9190">
        <v>9148</v>
      </c>
      <c r="V9190" s="197">
        <v>1199.2718294008168</v>
      </c>
    </row>
    <row r="9191" spans="21:22">
      <c r="U9191">
        <v>9149</v>
      </c>
      <c r="V9191" s="197">
        <v>652.99589051698763</v>
      </c>
    </row>
    <row r="9192" spans="21:22">
      <c r="U9192">
        <v>9150</v>
      </c>
      <c r="V9192" s="197">
        <v>-911.02643871435612</v>
      </c>
    </row>
    <row r="9193" spans="21:22">
      <c r="U9193">
        <v>9151</v>
      </c>
      <c r="V9193" s="197">
        <v>1869.7807409750606</v>
      </c>
    </row>
    <row r="9194" spans="21:22">
      <c r="U9194">
        <v>9152</v>
      </c>
      <c r="V9194" s="197">
        <v>1654.0755011900108</v>
      </c>
    </row>
    <row r="9195" spans="21:22">
      <c r="U9195">
        <v>9153</v>
      </c>
      <c r="V9195" s="197">
        <v>231.0823475522642</v>
      </c>
    </row>
    <row r="9196" spans="21:22">
      <c r="U9196">
        <v>9154</v>
      </c>
      <c r="V9196" s="197">
        <v>-1018.3955975007643</v>
      </c>
    </row>
    <row r="9197" spans="21:22">
      <c r="U9197">
        <v>9155</v>
      </c>
      <c r="V9197" s="197">
        <v>934.36928588788874</v>
      </c>
    </row>
    <row r="9198" spans="21:22">
      <c r="U9198">
        <v>9156</v>
      </c>
      <c r="V9198" s="197">
        <v>-1246.9949194590517</v>
      </c>
    </row>
    <row r="9199" spans="21:22">
      <c r="U9199">
        <v>9157</v>
      </c>
      <c r="V9199" s="197">
        <v>544.82507751137359</v>
      </c>
    </row>
    <row r="9200" spans="21:22">
      <c r="U9200">
        <v>9158</v>
      </c>
      <c r="V9200" s="197">
        <v>-1100.8674961236934</v>
      </c>
    </row>
    <row r="9201" spans="21:22">
      <c r="U9201">
        <v>9159</v>
      </c>
      <c r="V9201" s="197">
        <v>118.0655798221896</v>
      </c>
    </row>
    <row r="9202" spans="21:22">
      <c r="U9202">
        <v>9160</v>
      </c>
      <c r="V9202" s="197">
        <v>760.23176162392974</v>
      </c>
    </row>
    <row r="9203" spans="21:22">
      <c r="U9203">
        <v>9161</v>
      </c>
      <c r="V9203" s="197">
        <v>258.56697545320628</v>
      </c>
    </row>
    <row r="9204" spans="21:22">
      <c r="U9204">
        <v>9162</v>
      </c>
      <c r="V9204" s="197">
        <v>1124.1126290774262</v>
      </c>
    </row>
    <row r="9205" spans="21:22">
      <c r="U9205">
        <v>9163</v>
      </c>
      <c r="V9205" s="197">
        <v>-285.33058253878761</v>
      </c>
    </row>
    <row r="9206" spans="21:22">
      <c r="U9206">
        <v>9164</v>
      </c>
      <c r="V9206" s="197">
        <v>-1251.0012925713327</v>
      </c>
    </row>
    <row r="9207" spans="21:22">
      <c r="U9207">
        <v>9165</v>
      </c>
      <c r="V9207" s="197">
        <v>276.65502793977305</v>
      </c>
    </row>
    <row r="9208" spans="21:22">
      <c r="U9208">
        <v>9166</v>
      </c>
      <c r="V9208" s="197">
        <v>456.10174599165828</v>
      </c>
    </row>
    <row r="9209" spans="21:22">
      <c r="U9209">
        <v>9167</v>
      </c>
      <c r="V9209" s="197">
        <v>-511.23352896625141</v>
      </c>
    </row>
    <row r="9210" spans="21:22">
      <c r="U9210">
        <v>9168</v>
      </c>
      <c r="V9210" s="197">
        <v>-614.99159702316342</v>
      </c>
    </row>
    <row r="9211" spans="21:22">
      <c r="U9211">
        <v>9169</v>
      </c>
      <c r="V9211" s="197">
        <v>1514.2033548732888</v>
      </c>
    </row>
    <row r="9212" spans="21:22">
      <c r="U9212">
        <v>9170</v>
      </c>
      <c r="V9212" s="197">
        <v>839.96229437188526</v>
      </c>
    </row>
    <row r="9213" spans="21:22">
      <c r="U9213">
        <v>9171</v>
      </c>
      <c r="V9213" s="197">
        <v>-869.12789761500449</v>
      </c>
    </row>
    <row r="9214" spans="21:22">
      <c r="U9214">
        <v>9172</v>
      </c>
      <c r="V9214" s="197">
        <v>54.002655749633533</v>
      </c>
    </row>
    <row r="9215" spans="21:22">
      <c r="U9215">
        <v>9173</v>
      </c>
      <c r="V9215" s="197">
        <v>1008.551220722941</v>
      </c>
    </row>
    <row r="9216" spans="21:22">
      <c r="U9216">
        <v>9174</v>
      </c>
      <c r="V9216" s="197">
        <v>1445.0547318791118</v>
      </c>
    </row>
    <row r="9217" spans="21:22">
      <c r="U9217">
        <v>9175</v>
      </c>
      <c r="V9217" s="197">
        <v>877.97847566733162</v>
      </c>
    </row>
    <row r="9218" spans="21:22">
      <c r="U9218">
        <v>9176</v>
      </c>
      <c r="V9218" s="197">
        <v>-1035.4473376844876</v>
      </c>
    </row>
    <row r="9219" spans="21:22">
      <c r="U9219">
        <v>9177</v>
      </c>
      <c r="V9219" s="197">
        <v>-213.79141577701341</v>
      </c>
    </row>
    <row r="9220" spans="21:22">
      <c r="U9220">
        <v>9178</v>
      </c>
      <c r="V9220" s="197">
        <v>980.58309379528487</v>
      </c>
    </row>
    <row r="9221" spans="21:22">
      <c r="U9221">
        <v>9179</v>
      </c>
      <c r="V9221" s="197">
        <v>-148.21618051274277</v>
      </c>
    </row>
    <row r="9222" spans="21:22">
      <c r="U9222">
        <v>9180</v>
      </c>
      <c r="V9222" s="197">
        <v>-506.09620043782667</v>
      </c>
    </row>
    <row r="9223" spans="21:22">
      <c r="U9223">
        <v>9181</v>
      </c>
      <c r="V9223" s="197">
        <v>-1329.8125025726636</v>
      </c>
    </row>
    <row r="9224" spans="21:22">
      <c r="U9224">
        <v>9182</v>
      </c>
      <c r="V9224" s="197">
        <v>2228.6255544897995</v>
      </c>
    </row>
    <row r="9225" spans="21:22">
      <c r="U9225">
        <v>9183</v>
      </c>
      <c r="V9225" s="197">
        <v>2118.3649466908637</v>
      </c>
    </row>
    <row r="9226" spans="21:22">
      <c r="U9226">
        <v>9184</v>
      </c>
      <c r="V9226" s="197">
        <v>986.74619900643393</v>
      </c>
    </row>
    <row r="9227" spans="21:22">
      <c r="U9227">
        <v>9185</v>
      </c>
      <c r="V9227" s="197">
        <v>529.8098490030693</v>
      </c>
    </row>
    <row r="9228" spans="21:22">
      <c r="U9228">
        <v>9186</v>
      </c>
      <c r="V9228" s="197">
        <v>-984.70079416542853</v>
      </c>
    </row>
    <row r="9229" spans="21:22">
      <c r="U9229">
        <v>9187</v>
      </c>
      <c r="V9229" s="197">
        <v>-505.9509027422759</v>
      </c>
    </row>
    <row r="9230" spans="21:22">
      <c r="U9230">
        <v>9188</v>
      </c>
      <c r="V9230" s="197">
        <v>1623.5800546516643</v>
      </c>
    </row>
    <row r="9231" spans="21:22">
      <c r="U9231">
        <v>9189</v>
      </c>
      <c r="V9231" s="197">
        <v>691.14594237080109</v>
      </c>
    </row>
    <row r="9232" spans="21:22">
      <c r="U9232">
        <v>9190</v>
      </c>
      <c r="V9232" s="197">
        <v>1803.8605594863823</v>
      </c>
    </row>
    <row r="9233" spans="21:22">
      <c r="U9233">
        <v>9191</v>
      </c>
      <c r="V9233" s="197">
        <v>-912.59568333304469</v>
      </c>
    </row>
    <row r="9234" spans="21:22">
      <c r="U9234">
        <v>9192</v>
      </c>
      <c r="V9234" s="197">
        <v>902.21334762385163</v>
      </c>
    </row>
    <row r="9235" spans="21:22">
      <c r="U9235">
        <v>9193</v>
      </c>
      <c r="V9235" s="197">
        <v>593.53781762399728</v>
      </c>
    </row>
    <row r="9236" spans="21:22">
      <c r="U9236">
        <v>9194</v>
      </c>
      <c r="V9236" s="197">
        <v>-1067.5990866361133</v>
      </c>
    </row>
    <row r="9237" spans="21:22">
      <c r="U9237">
        <v>9195</v>
      </c>
      <c r="V9237" s="197">
        <v>376.76227432128582</v>
      </c>
    </row>
    <row r="9238" spans="21:22">
      <c r="U9238">
        <v>9196</v>
      </c>
      <c r="V9238" s="197">
        <v>-1539.3672507984286</v>
      </c>
    </row>
    <row r="9239" spans="21:22">
      <c r="U9239">
        <v>9197</v>
      </c>
      <c r="V9239" s="197">
        <v>1822.5816075568346</v>
      </c>
    </row>
    <row r="9240" spans="21:22">
      <c r="U9240">
        <v>9198</v>
      </c>
      <c r="V9240" s="197">
        <v>64.712620689047412</v>
      </c>
    </row>
    <row r="9241" spans="21:22">
      <c r="U9241">
        <v>9199</v>
      </c>
      <c r="V9241" s="197">
        <v>869.32976042202677</v>
      </c>
    </row>
    <row r="9242" spans="21:22">
      <c r="U9242">
        <v>9200</v>
      </c>
      <c r="V9242" s="197">
        <v>644.1297897207146</v>
      </c>
    </row>
    <row r="9243" spans="21:22">
      <c r="U9243">
        <v>9201</v>
      </c>
      <c r="V9243" s="197">
        <v>1623.8287892430237</v>
      </c>
    </row>
    <row r="9244" spans="21:22">
      <c r="U9244">
        <v>9202</v>
      </c>
      <c r="V9244" s="197">
        <v>845.70312314133253</v>
      </c>
    </row>
    <row r="9245" spans="21:22">
      <c r="U9245">
        <v>9203</v>
      </c>
      <c r="V9245" s="197">
        <v>1605.3243072965638</v>
      </c>
    </row>
    <row r="9246" spans="21:22">
      <c r="U9246">
        <v>9204</v>
      </c>
      <c r="V9246" s="197">
        <v>671.41859267335667</v>
      </c>
    </row>
    <row r="9247" spans="21:22">
      <c r="U9247">
        <v>9205</v>
      </c>
      <c r="V9247" s="197">
        <v>-65.432024098913217</v>
      </c>
    </row>
    <row r="9248" spans="21:22">
      <c r="U9248">
        <v>9206</v>
      </c>
      <c r="V9248" s="197">
        <v>-152.21768872647624</v>
      </c>
    </row>
    <row r="9249" spans="21:22">
      <c r="U9249">
        <v>9207</v>
      </c>
      <c r="V9249" s="197">
        <v>288.68913385992528</v>
      </c>
    </row>
    <row r="9250" spans="21:22">
      <c r="U9250">
        <v>9208</v>
      </c>
      <c r="V9250" s="197">
        <v>-115.79982549503933</v>
      </c>
    </row>
    <row r="9251" spans="21:22">
      <c r="U9251">
        <v>9209</v>
      </c>
      <c r="V9251" s="197">
        <v>-703.41263212469903</v>
      </c>
    </row>
    <row r="9252" spans="21:22">
      <c r="U9252">
        <v>9210</v>
      </c>
      <c r="V9252" s="197">
        <v>-95.527561279523439</v>
      </c>
    </row>
    <row r="9253" spans="21:22">
      <c r="U9253">
        <v>9211</v>
      </c>
      <c r="V9253" s="197">
        <v>1686.1475898730246</v>
      </c>
    </row>
    <row r="9254" spans="21:22">
      <c r="U9254">
        <v>9212</v>
      </c>
      <c r="V9254" s="197">
        <v>796.35174259875271</v>
      </c>
    </row>
    <row r="9255" spans="21:22">
      <c r="U9255">
        <v>9213</v>
      </c>
      <c r="V9255" s="197">
        <v>-224.28149800881528</v>
      </c>
    </row>
    <row r="9256" spans="21:22">
      <c r="U9256">
        <v>9214</v>
      </c>
      <c r="V9256" s="197">
        <v>949.696992188781</v>
      </c>
    </row>
    <row r="9257" spans="21:22">
      <c r="U9257">
        <v>9215</v>
      </c>
      <c r="V9257" s="197">
        <v>46.794024860654204</v>
      </c>
    </row>
    <row r="9258" spans="21:22">
      <c r="U9258">
        <v>9216</v>
      </c>
      <c r="V9258" s="197">
        <v>-90.010707042161698</v>
      </c>
    </row>
    <row r="9259" spans="21:22">
      <c r="U9259">
        <v>9217</v>
      </c>
      <c r="V9259" s="197">
        <v>1797.3541892602223</v>
      </c>
    </row>
    <row r="9260" spans="21:22">
      <c r="U9260">
        <v>9218</v>
      </c>
      <c r="V9260" s="197">
        <v>758.26895447159836</v>
      </c>
    </row>
    <row r="9261" spans="21:22">
      <c r="U9261">
        <v>9219</v>
      </c>
      <c r="V9261" s="197">
        <v>-131.53254825679937</v>
      </c>
    </row>
    <row r="9262" spans="21:22">
      <c r="U9262">
        <v>9220</v>
      </c>
      <c r="V9262" s="197">
        <v>1847.0979102559643</v>
      </c>
    </row>
    <row r="9263" spans="21:22">
      <c r="U9263">
        <v>9221</v>
      </c>
      <c r="V9263" s="197">
        <v>25.383459538591197</v>
      </c>
    </row>
    <row r="9264" spans="21:22">
      <c r="U9264">
        <v>9222</v>
      </c>
      <c r="V9264" s="197">
        <v>166.49532287694734</v>
      </c>
    </row>
    <row r="9265" spans="21:22">
      <c r="U9265">
        <v>9223</v>
      </c>
      <c r="V9265" s="197">
        <v>915.69279291671455</v>
      </c>
    </row>
    <row r="9266" spans="21:22">
      <c r="U9266">
        <v>9224</v>
      </c>
      <c r="V9266" s="197">
        <v>485.7894659283358</v>
      </c>
    </row>
    <row r="9267" spans="21:22">
      <c r="U9267">
        <v>9225</v>
      </c>
      <c r="V9267" s="197">
        <v>-164.00031091778379</v>
      </c>
    </row>
    <row r="9268" spans="21:22">
      <c r="U9268">
        <v>9226</v>
      </c>
      <c r="V9268" s="197">
        <v>-694.95786819504201</v>
      </c>
    </row>
    <row r="9269" spans="21:22">
      <c r="U9269">
        <v>9227</v>
      </c>
      <c r="V9269" s="197">
        <v>996.52004681406129</v>
      </c>
    </row>
    <row r="9270" spans="21:22">
      <c r="U9270">
        <v>9228</v>
      </c>
      <c r="V9270" s="197">
        <v>-138.65566352884062</v>
      </c>
    </row>
    <row r="9271" spans="21:22">
      <c r="U9271">
        <v>9229</v>
      </c>
      <c r="V9271" s="197">
        <v>-1592.8339439636086</v>
      </c>
    </row>
    <row r="9272" spans="21:22">
      <c r="U9272">
        <v>9230</v>
      </c>
      <c r="V9272" s="197">
        <v>145.10870784003887</v>
      </c>
    </row>
    <row r="9273" spans="21:22">
      <c r="U9273">
        <v>9231</v>
      </c>
      <c r="V9273" s="197">
        <v>-827.1435199623586</v>
      </c>
    </row>
    <row r="9274" spans="21:22">
      <c r="U9274">
        <v>9232</v>
      </c>
      <c r="V9274" s="197">
        <v>-126.10576377082418</v>
      </c>
    </row>
    <row r="9275" spans="21:22">
      <c r="U9275">
        <v>9233</v>
      </c>
      <c r="V9275" s="197">
        <v>677.14406137265155</v>
      </c>
    </row>
    <row r="9276" spans="21:22">
      <c r="U9276">
        <v>9234</v>
      </c>
      <c r="V9276" s="197">
        <v>751.0131056602761</v>
      </c>
    </row>
    <row r="9277" spans="21:22">
      <c r="U9277">
        <v>9235</v>
      </c>
      <c r="V9277" s="197">
        <v>1156.3670918638354</v>
      </c>
    </row>
    <row r="9278" spans="21:22">
      <c r="U9278">
        <v>9236</v>
      </c>
      <c r="V9278" s="197">
        <v>-121.09934889205931</v>
      </c>
    </row>
    <row r="9279" spans="21:22">
      <c r="U9279">
        <v>9237</v>
      </c>
      <c r="V9279" s="197">
        <v>921.25076511729003</v>
      </c>
    </row>
    <row r="9280" spans="21:22">
      <c r="U9280">
        <v>9238</v>
      </c>
      <c r="V9280" s="197">
        <v>-1143.7454009521325</v>
      </c>
    </row>
    <row r="9281" spans="21:22">
      <c r="U9281">
        <v>9239</v>
      </c>
      <c r="V9281" s="197">
        <v>2755.8658633766345</v>
      </c>
    </row>
    <row r="9282" spans="21:22">
      <c r="U9282">
        <v>9240</v>
      </c>
      <c r="V9282" s="197">
        <v>47.394435042019438</v>
      </c>
    </row>
    <row r="9283" spans="21:22">
      <c r="U9283">
        <v>9241</v>
      </c>
      <c r="V9283" s="197">
        <v>599.48733629814342</v>
      </c>
    </row>
    <row r="9284" spans="21:22">
      <c r="U9284">
        <v>9242</v>
      </c>
      <c r="V9284" s="197">
        <v>1614.4755047836845</v>
      </c>
    </row>
    <row r="9285" spans="21:22">
      <c r="U9285">
        <v>9243</v>
      </c>
      <c r="V9285" s="197">
        <v>2304.745903054798</v>
      </c>
    </row>
    <row r="9286" spans="21:22">
      <c r="U9286">
        <v>9244</v>
      </c>
      <c r="V9286" s="197">
        <v>-68.367318085003092</v>
      </c>
    </row>
    <row r="9287" spans="21:22">
      <c r="U9287">
        <v>9245</v>
      </c>
      <c r="V9287" s="197">
        <v>146.48805705947376</v>
      </c>
    </row>
    <row r="9288" spans="21:22">
      <c r="U9288">
        <v>9246</v>
      </c>
      <c r="V9288" s="197">
        <v>93.778056145881791</v>
      </c>
    </row>
    <row r="9289" spans="21:22">
      <c r="U9289">
        <v>9247</v>
      </c>
      <c r="V9289" s="197">
        <v>-335.23299637737352</v>
      </c>
    </row>
    <row r="9290" spans="21:22">
      <c r="U9290">
        <v>9248</v>
      </c>
      <c r="V9290" s="197">
        <v>2370.4091040642165</v>
      </c>
    </row>
    <row r="9291" spans="21:22">
      <c r="U9291">
        <v>9249</v>
      </c>
      <c r="V9291" s="197">
        <v>-880.4287376169525</v>
      </c>
    </row>
    <row r="9292" spans="21:22">
      <c r="U9292">
        <v>9250</v>
      </c>
      <c r="V9292" s="197">
        <v>2182.7126085777609</v>
      </c>
    </row>
    <row r="9293" spans="21:22">
      <c r="U9293">
        <v>9251</v>
      </c>
      <c r="V9293" s="197">
        <v>-755.52579666788893</v>
      </c>
    </row>
    <row r="9294" spans="21:22">
      <c r="U9294">
        <v>9252</v>
      </c>
      <c r="V9294" s="197">
        <v>80.052260500976246</v>
      </c>
    </row>
    <row r="9295" spans="21:22">
      <c r="U9295">
        <v>9253</v>
      </c>
      <c r="V9295" s="197">
        <v>1475.9464127871759</v>
      </c>
    </row>
    <row r="9296" spans="21:22">
      <c r="U9296">
        <v>9254</v>
      </c>
      <c r="V9296" s="197">
        <v>-75.41873399680523</v>
      </c>
    </row>
    <row r="9297" spans="21:22">
      <c r="U9297">
        <v>9255</v>
      </c>
      <c r="V9297" s="197">
        <v>246.80175267175881</v>
      </c>
    </row>
    <row r="9298" spans="21:22">
      <c r="U9298">
        <v>9256</v>
      </c>
      <c r="V9298" s="197">
        <v>-1142.6925808042663</v>
      </c>
    </row>
    <row r="9299" spans="21:22">
      <c r="U9299">
        <v>9257</v>
      </c>
      <c r="V9299" s="197">
        <v>-1686.2025989174181</v>
      </c>
    </row>
    <row r="9300" spans="21:22">
      <c r="U9300">
        <v>9258</v>
      </c>
      <c r="V9300" s="197">
        <v>-365.34562505326323</v>
      </c>
    </row>
    <row r="9301" spans="21:22">
      <c r="U9301">
        <v>9259</v>
      </c>
      <c r="V9301" s="197">
        <v>667.37896329619321</v>
      </c>
    </row>
    <row r="9302" spans="21:22">
      <c r="U9302">
        <v>9260</v>
      </c>
      <c r="V9302" s="197">
        <v>366.97452248033431</v>
      </c>
    </row>
    <row r="9303" spans="21:22">
      <c r="U9303">
        <v>9261</v>
      </c>
      <c r="V9303" s="197">
        <v>799.65127745365658</v>
      </c>
    </row>
    <row r="9304" spans="21:22">
      <c r="U9304">
        <v>9262</v>
      </c>
      <c r="V9304" s="197">
        <v>161.56873948817571</v>
      </c>
    </row>
    <row r="9305" spans="21:22">
      <c r="U9305">
        <v>9263</v>
      </c>
      <c r="V9305" s="197">
        <v>751.45096056398938</v>
      </c>
    </row>
    <row r="9306" spans="21:22">
      <c r="U9306">
        <v>9264</v>
      </c>
      <c r="V9306" s="197">
        <v>-682.93987173091136</v>
      </c>
    </row>
    <row r="9307" spans="21:22">
      <c r="U9307">
        <v>9265</v>
      </c>
      <c r="V9307" s="197">
        <v>-286.78878139894442</v>
      </c>
    </row>
    <row r="9308" spans="21:22">
      <c r="U9308">
        <v>9266</v>
      </c>
      <c r="V9308" s="197">
        <v>-1783.3608353585582</v>
      </c>
    </row>
    <row r="9309" spans="21:22">
      <c r="U9309">
        <v>9267</v>
      </c>
      <c r="V9309" s="197">
        <v>-493.13443991764308</v>
      </c>
    </row>
    <row r="9310" spans="21:22">
      <c r="U9310">
        <v>9268</v>
      </c>
      <c r="V9310" s="197">
        <v>45.370729706996407</v>
      </c>
    </row>
    <row r="9311" spans="21:22">
      <c r="U9311">
        <v>9269</v>
      </c>
      <c r="V9311" s="197">
        <v>399.42797367573701</v>
      </c>
    </row>
    <row r="9312" spans="21:22">
      <c r="U9312">
        <v>9270</v>
      </c>
      <c r="V9312" s="197">
        <v>-11.597547229248605</v>
      </c>
    </row>
    <row r="9313" spans="21:22">
      <c r="U9313">
        <v>9271</v>
      </c>
      <c r="V9313" s="197">
        <v>807.65640556866742</v>
      </c>
    </row>
    <row r="9314" spans="21:22">
      <c r="U9314">
        <v>9272</v>
      </c>
      <c r="V9314" s="197">
        <v>-2061.0663079317724</v>
      </c>
    </row>
    <row r="9315" spans="21:22">
      <c r="U9315">
        <v>9273</v>
      </c>
      <c r="V9315" s="197">
        <v>1700.787080023071</v>
      </c>
    </row>
    <row r="9316" spans="21:22">
      <c r="U9316">
        <v>9274</v>
      </c>
      <c r="V9316" s="197">
        <v>1148.4084148423146</v>
      </c>
    </row>
    <row r="9317" spans="21:22">
      <c r="U9317">
        <v>9275</v>
      </c>
      <c r="V9317" s="197">
        <v>223.40783872552743</v>
      </c>
    </row>
    <row r="9318" spans="21:22">
      <c r="U9318">
        <v>9276</v>
      </c>
      <c r="V9318" s="197">
        <v>435.02806455629997</v>
      </c>
    </row>
    <row r="9319" spans="21:22">
      <c r="U9319">
        <v>9277</v>
      </c>
      <c r="V9319" s="197">
        <v>-339.14567882562523</v>
      </c>
    </row>
    <row r="9320" spans="21:22">
      <c r="U9320">
        <v>9278</v>
      </c>
      <c r="V9320" s="197">
        <v>-1865.7828604013046</v>
      </c>
    </row>
    <row r="9321" spans="21:22">
      <c r="U9321">
        <v>9279</v>
      </c>
      <c r="V9321" s="197">
        <v>52.499432527427508</v>
      </c>
    </row>
    <row r="9322" spans="21:22">
      <c r="U9322">
        <v>9280</v>
      </c>
      <c r="V9322" s="197">
        <v>2135.4406342675388</v>
      </c>
    </row>
    <row r="9323" spans="21:22">
      <c r="U9323">
        <v>9281</v>
      </c>
      <c r="V9323" s="197">
        <v>-1007.0729104620614</v>
      </c>
    </row>
    <row r="9324" spans="21:22">
      <c r="U9324">
        <v>9282</v>
      </c>
      <c r="V9324" s="197">
        <v>-339.75735161494543</v>
      </c>
    </row>
    <row r="9325" spans="21:22">
      <c r="U9325">
        <v>9283</v>
      </c>
      <c r="V9325" s="197">
        <v>-1363.1670217054493</v>
      </c>
    </row>
    <row r="9326" spans="21:22">
      <c r="U9326">
        <v>9284</v>
      </c>
      <c r="V9326" s="197">
        <v>-1166.9241197044732</v>
      </c>
    </row>
    <row r="9327" spans="21:22">
      <c r="U9327">
        <v>9285</v>
      </c>
      <c r="V9327" s="197">
        <v>-49.259969701436773</v>
      </c>
    </row>
    <row r="9328" spans="21:22">
      <c r="U9328">
        <v>9286</v>
      </c>
      <c r="V9328" s="197">
        <v>-930.88492710249398</v>
      </c>
    </row>
    <row r="9329" spans="21:22">
      <c r="U9329">
        <v>9287</v>
      </c>
      <c r="V9329" s="197">
        <v>-451.23467539656991</v>
      </c>
    </row>
    <row r="9330" spans="21:22">
      <c r="U9330">
        <v>9288</v>
      </c>
      <c r="V9330" s="197">
        <v>588.31722573140462</v>
      </c>
    </row>
    <row r="9331" spans="21:22">
      <c r="U9331">
        <v>9289</v>
      </c>
      <c r="V9331" s="197">
        <v>594.66180373145892</v>
      </c>
    </row>
    <row r="9332" spans="21:22">
      <c r="U9332">
        <v>9290</v>
      </c>
      <c r="V9332" s="197">
        <v>-656.40343846369092</v>
      </c>
    </row>
    <row r="9333" spans="21:22">
      <c r="U9333">
        <v>9291</v>
      </c>
      <c r="V9333" s="197">
        <v>-514.23951372349165</v>
      </c>
    </row>
    <row r="9334" spans="21:22">
      <c r="U9334">
        <v>9292</v>
      </c>
      <c r="V9334" s="197">
        <v>-278.43206457252472</v>
      </c>
    </row>
    <row r="9335" spans="21:22">
      <c r="U9335">
        <v>9293</v>
      </c>
      <c r="V9335" s="197">
        <v>-878.81202571017798</v>
      </c>
    </row>
    <row r="9336" spans="21:22">
      <c r="U9336">
        <v>9294</v>
      </c>
      <c r="V9336" s="197">
        <v>717.08183111701806</v>
      </c>
    </row>
    <row r="9337" spans="21:22">
      <c r="U9337">
        <v>9295</v>
      </c>
      <c r="V9337" s="197">
        <v>1143.9477970558853</v>
      </c>
    </row>
    <row r="9338" spans="21:22">
      <c r="U9338">
        <v>9296</v>
      </c>
      <c r="V9338" s="197">
        <v>581.81200345986849</v>
      </c>
    </row>
    <row r="9339" spans="21:22">
      <c r="U9339">
        <v>9297</v>
      </c>
      <c r="V9339" s="197">
        <v>188.73035475115034</v>
      </c>
    </row>
    <row r="9340" spans="21:22">
      <c r="U9340">
        <v>9298</v>
      </c>
      <c r="V9340" s="197">
        <v>-1863.2043321954084</v>
      </c>
    </row>
    <row r="9341" spans="21:22">
      <c r="U9341">
        <v>9299</v>
      </c>
      <c r="V9341" s="197">
        <v>155.76054894440506</v>
      </c>
    </row>
    <row r="9342" spans="21:22">
      <c r="U9342">
        <v>9300</v>
      </c>
      <c r="V9342" s="197">
        <v>2037.5141561625903</v>
      </c>
    </row>
    <row r="9343" spans="21:22">
      <c r="U9343">
        <v>9301</v>
      </c>
      <c r="V9343" s="197">
        <v>-729.9886085043081</v>
      </c>
    </row>
    <row r="9344" spans="21:22">
      <c r="U9344">
        <v>9302</v>
      </c>
      <c r="V9344" s="197">
        <v>1266.6598981607385</v>
      </c>
    </row>
    <row r="9345" spans="21:22">
      <c r="U9345">
        <v>9303</v>
      </c>
      <c r="V9345" s="197">
        <v>-701.21336919804889</v>
      </c>
    </row>
    <row r="9346" spans="21:22">
      <c r="U9346">
        <v>9304</v>
      </c>
      <c r="V9346" s="197">
        <v>-1041.9173542805643</v>
      </c>
    </row>
    <row r="9347" spans="21:22">
      <c r="U9347">
        <v>9305</v>
      </c>
      <c r="V9347" s="197">
        <v>-178.17896331408718</v>
      </c>
    </row>
    <row r="9348" spans="21:22">
      <c r="U9348">
        <v>9306</v>
      </c>
      <c r="V9348" s="197">
        <v>1093.894834966143</v>
      </c>
    </row>
    <row r="9349" spans="21:22">
      <c r="U9349">
        <v>9307</v>
      </c>
      <c r="V9349" s="197">
        <v>-1127.7083665395683</v>
      </c>
    </row>
    <row r="9350" spans="21:22">
      <c r="U9350">
        <v>9308</v>
      </c>
      <c r="V9350" s="197">
        <v>1514.4814163703513</v>
      </c>
    </row>
    <row r="9351" spans="21:22">
      <c r="U9351">
        <v>9309</v>
      </c>
      <c r="V9351" s="197">
        <v>-165.53657294705766</v>
      </c>
    </row>
    <row r="9352" spans="21:22">
      <c r="U9352">
        <v>9310</v>
      </c>
      <c r="V9352" s="197">
        <v>685.77403017569372</v>
      </c>
    </row>
    <row r="9353" spans="21:22">
      <c r="U9353">
        <v>9311</v>
      </c>
      <c r="V9353" s="197">
        <v>519.52497097545279</v>
      </c>
    </row>
    <row r="9354" spans="21:22">
      <c r="U9354">
        <v>9312</v>
      </c>
      <c r="V9354" s="197">
        <v>342.69744440016825</v>
      </c>
    </row>
    <row r="9355" spans="21:22">
      <c r="U9355">
        <v>9313</v>
      </c>
      <c r="V9355" s="197">
        <v>139.89331254135709</v>
      </c>
    </row>
    <row r="9356" spans="21:22">
      <c r="U9356">
        <v>9314</v>
      </c>
      <c r="V9356" s="197">
        <v>355.92207610240956</v>
      </c>
    </row>
    <row r="9357" spans="21:22">
      <c r="U9357">
        <v>9315</v>
      </c>
      <c r="V9357" s="197">
        <v>401.84727741852021</v>
      </c>
    </row>
    <row r="9358" spans="21:22">
      <c r="U9358">
        <v>9316</v>
      </c>
      <c r="V9358" s="197">
        <v>85.993388032334423</v>
      </c>
    </row>
    <row r="9359" spans="21:22">
      <c r="U9359">
        <v>9317</v>
      </c>
      <c r="V9359" s="197">
        <v>342.7649244031428</v>
      </c>
    </row>
    <row r="9360" spans="21:22">
      <c r="U9360">
        <v>9318</v>
      </c>
      <c r="V9360" s="197">
        <v>1099.1174987748018</v>
      </c>
    </row>
    <row r="9361" spans="21:22">
      <c r="U9361">
        <v>9319</v>
      </c>
      <c r="V9361" s="197">
        <v>-274.69159512719671</v>
      </c>
    </row>
    <row r="9362" spans="21:22">
      <c r="U9362">
        <v>9320</v>
      </c>
      <c r="V9362" s="197">
        <v>-791.05671270563107</v>
      </c>
    </row>
    <row r="9363" spans="21:22">
      <c r="U9363">
        <v>9321</v>
      </c>
      <c r="V9363" s="197">
        <v>2275.1669839942169</v>
      </c>
    </row>
    <row r="9364" spans="21:22">
      <c r="U9364">
        <v>9322</v>
      </c>
      <c r="V9364" s="197">
        <v>1010.3277739783539</v>
      </c>
    </row>
    <row r="9365" spans="21:22">
      <c r="U9365">
        <v>9323</v>
      </c>
      <c r="V9365" s="197">
        <v>-317.61920526293534</v>
      </c>
    </row>
    <row r="9366" spans="21:22">
      <c r="U9366">
        <v>9324</v>
      </c>
      <c r="V9366" s="197">
        <v>108.22642720476148</v>
      </c>
    </row>
    <row r="9367" spans="21:22">
      <c r="U9367">
        <v>9325</v>
      </c>
      <c r="V9367" s="197">
        <v>-1048.9020128324855</v>
      </c>
    </row>
    <row r="9368" spans="21:22">
      <c r="U9368">
        <v>9326</v>
      </c>
      <c r="V9368" s="197">
        <v>-782.99878644795695</v>
      </c>
    </row>
    <row r="9369" spans="21:22">
      <c r="U9369">
        <v>9327</v>
      </c>
      <c r="V9369" s="197">
        <v>2534.4390434518778</v>
      </c>
    </row>
    <row r="9370" spans="21:22">
      <c r="U9370">
        <v>9328</v>
      </c>
      <c r="V9370" s="197">
        <v>830.06922818817588</v>
      </c>
    </row>
    <row r="9371" spans="21:22">
      <c r="U9371">
        <v>9329</v>
      </c>
      <c r="V9371" s="197">
        <v>1683.4859107126435</v>
      </c>
    </row>
    <row r="9372" spans="21:22">
      <c r="U9372">
        <v>9330</v>
      </c>
      <c r="V9372" s="197">
        <v>1044.1105076762501</v>
      </c>
    </row>
    <row r="9373" spans="21:22">
      <c r="U9373">
        <v>9331</v>
      </c>
      <c r="V9373" s="197">
        <v>-312.80175512748946</v>
      </c>
    </row>
    <row r="9374" spans="21:22">
      <c r="U9374">
        <v>9332</v>
      </c>
      <c r="V9374" s="197">
        <v>820.17744696297996</v>
      </c>
    </row>
    <row r="9375" spans="21:22">
      <c r="U9375">
        <v>9333</v>
      </c>
      <c r="V9375" s="197">
        <v>942.56715796052458</v>
      </c>
    </row>
    <row r="9376" spans="21:22">
      <c r="U9376">
        <v>9334</v>
      </c>
      <c r="V9376" s="197">
        <v>-1353.0255491739526</v>
      </c>
    </row>
    <row r="9377" spans="21:22">
      <c r="U9377">
        <v>9335</v>
      </c>
      <c r="V9377" s="197">
        <v>91.426358620997703</v>
      </c>
    </row>
    <row r="9378" spans="21:22">
      <c r="U9378">
        <v>9336</v>
      </c>
      <c r="V9378" s="197">
        <v>-467.01814608743285</v>
      </c>
    </row>
    <row r="9379" spans="21:22">
      <c r="U9379">
        <v>9337</v>
      </c>
      <c r="V9379" s="197">
        <v>-1190.4152886930947</v>
      </c>
    </row>
    <row r="9380" spans="21:22">
      <c r="U9380">
        <v>9338</v>
      </c>
      <c r="V9380" s="197">
        <v>483.45774554326289</v>
      </c>
    </row>
    <row r="9381" spans="21:22">
      <c r="U9381">
        <v>9339</v>
      </c>
      <c r="V9381" s="197">
        <v>161.40255130729051</v>
      </c>
    </row>
    <row r="9382" spans="21:22">
      <c r="U9382">
        <v>9340</v>
      </c>
      <c r="V9382" s="197">
        <v>-874.63864740420945</v>
      </c>
    </row>
    <row r="9383" spans="21:22">
      <c r="U9383">
        <v>9341</v>
      </c>
      <c r="V9383" s="197">
        <v>1212.4148701960248</v>
      </c>
    </row>
    <row r="9384" spans="21:22">
      <c r="U9384">
        <v>9342</v>
      </c>
      <c r="V9384" s="197">
        <v>-964.18160706987032</v>
      </c>
    </row>
    <row r="9385" spans="21:22">
      <c r="U9385">
        <v>9343</v>
      </c>
      <c r="V9385" s="197">
        <v>-690.82215505979116</v>
      </c>
    </row>
    <row r="9386" spans="21:22">
      <c r="U9386">
        <v>9344</v>
      </c>
      <c r="V9386" s="197">
        <v>-112.78716325958015</v>
      </c>
    </row>
    <row r="9387" spans="21:22">
      <c r="U9387">
        <v>9345</v>
      </c>
      <c r="V9387" s="197">
        <v>665.53065613485501</v>
      </c>
    </row>
    <row r="9388" spans="21:22">
      <c r="U9388">
        <v>9346</v>
      </c>
      <c r="V9388" s="197">
        <v>-1277.5818318444972</v>
      </c>
    </row>
    <row r="9389" spans="21:22">
      <c r="U9389">
        <v>9347</v>
      </c>
      <c r="V9389" s="197">
        <v>755.48904849736118</v>
      </c>
    </row>
    <row r="9390" spans="21:22">
      <c r="U9390">
        <v>9348</v>
      </c>
      <c r="V9390" s="197">
        <v>1054.0569111898446</v>
      </c>
    </row>
    <row r="9391" spans="21:22">
      <c r="U9391">
        <v>9349</v>
      </c>
      <c r="V9391" s="197">
        <v>45.136804553720623</v>
      </c>
    </row>
    <row r="9392" spans="21:22">
      <c r="U9392">
        <v>9350</v>
      </c>
      <c r="V9392" s="197">
        <v>-450.37475495116433</v>
      </c>
    </row>
    <row r="9393" spans="21:22">
      <c r="U9393">
        <v>9351</v>
      </c>
      <c r="V9393" s="197">
        <v>2268.743368731105</v>
      </c>
    </row>
    <row r="9394" spans="21:22">
      <c r="U9394">
        <v>9352</v>
      </c>
      <c r="V9394" s="197">
        <v>-1066.0987808157877</v>
      </c>
    </row>
    <row r="9395" spans="21:22">
      <c r="U9395">
        <v>9353</v>
      </c>
      <c r="V9395" s="197">
        <v>-850.6885069141822</v>
      </c>
    </row>
    <row r="9396" spans="21:22">
      <c r="U9396">
        <v>9354</v>
      </c>
      <c r="V9396" s="197">
        <v>414.56088335630261</v>
      </c>
    </row>
    <row r="9397" spans="21:22">
      <c r="U9397">
        <v>9355</v>
      </c>
      <c r="V9397" s="197">
        <v>-569.92808411388364</v>
      </c>
    </row>
    <row r="9398" spans="21:22">
      <c r="U9398">
        <v>9356</v>
      </c>
      <c r="V9398" s="197">
        <v>-804.94803482213342</v>
      </c>
    </row>
    <row r="9399" spans="21:22">
      <c r="U9399">
        <v>9357</v>
      </c>
      <c r="V9399" s="197">
        <v>-572.36612835300866</v>
      </c>
    </row>
    <row r="9400" spans="21:22">
      <c r="U9400">
        <v>9358</v>
      </c>
      <c r="V9400" s="197">
        <v>15.591681223169488</v>
      </c>
    </row>
    <row r="9401" spans="21:22">
      <c r="U9401">
        <v>9359</v>
      </c>
      <c r="V9401" s="197">
        <v>-438.89248968534986</v>
      </c>
    </row>
    <row r="9402" spans="21:22">
      <c r="U9402">
        <v>9360</v>
      </c>
      <c r="V9402" s="197">
        <v>958.98250827237371</v>
      </c>
    </row>
    <row r="9403" spans="21:22">
      <c r="U9403">
        <v>9361</v>
      </c>
      <c r="V9403" s="197">
        <v>927.20099196526076</v>
      </c>
    </row>
    <row r="9404" spans="21:22">
      <c r="U9404">
        <v>9362</v>
      </c>
      <c r="V9404" s="197">
        <v>559.74867460769826</v>
      </c>
    </row>
    <row r="9405" spans="21:22">
      <c r="U9405">
        <v>9363</v>
      </c>
      <c r="V9405" s="197">
        <v>-855.4056964369463</v>
      </c>
    </row>
    <row r="9406" spans="21:22">
      <c r="U9406">
        <v>9364</v>
      </c>
      <c r="V9406" s="197">
        <v>169.13006868743025</v>
      </c>
    </row>
    <row r="9407" spans="21:22">
      <c r="U9407">
        <v>9365</v>
      </c>
      <c r="V9407" s="197">
        <v>-75.81986968031876</v>
      </c>
    </row>
    <row r="9408" spans="21:22">
      <c r="U9408">
        <v>9366</v>
      </c>
      <c r="V9408" s="197">
        <v>1109.8087803699334</v>
      </c>
    </row>
    <row r="9409" spans="21:22">
      <c r="U9409">
        <v>9367</v>
      </c>
      <c r="V9409" s="197">
        <v>-1328.6665030085674</v>
      </c>
    </row>
    <row r="9410" spans="21:22">
      <c r="U9410">
        <v>9368</v>
      </c>
      <c r="V9410" s="197">
        <v>-1335.3156872760871</v>
      </c>
    </row>
    <row r="9411" spans="21:22">
      <c r="U9411">
        <v>9369</v>
      </c>
      <c r="V9411" s="197">
        <v>656.04987967455781</v>
      </c>
    </row>
    <row r="9412" spans="21:22">
      <c r="U9412">
        <v>9370</v>
      </c>
      <c r="V9412" s="197">
        <v>-1524.2791987107908</v>
      </c>
    </row>
    <row r="9413" spans="21:22">
      <c r="U9413">
        <v>9371</v>
      </c>
      <c r="V9413" s="197">
        <v>-16.768451016080192</v>
      </c>
    </row>
    <row r="9414" spans="21:22">
      <c r="U9414">
        <v>9372</v>
      </c>
      <c r="V9414" s="197">
        <v>636.0954899547296</v>
      </c>
    </row>
    <row r="9415" spans="21:22">
      <c r="U9415">
        <v>9373</v>
      </c>
      <c r="V9415" s="197">
        <v>132.96880308776821</v>
      </c>
    </row>
    <row r="9416" spans="21:22">
      <c r="U9416">
        <v>9374</v>
      </c>
      <c r="V9416" s="197">
        <v>554.15333937961782</v>
      </c>
    </row>
    <row r="9417" spans="21:22">
      <c r="U9417">
        <v>9375</v>
      </c>
      <c r="V9417" s="197">
        <v>1034.9073689331535</v>
      </c>
    </row>
    <row r="9418" spans="21:22">
      <c r="U9418">
        <v>9376</v>
      </c>
      <c r="V9418" s="197">
        <v>2184.4752025790426</v>
      </c>
    </row>
    <row r="9419" spans="21:22">
      <c r="U9419">
        <v>9377</v>
      </c>
      <c r="V9419" s="197">
        <v>923.54532211875721</v>
      </c>
    </row>
    <row r="9420" spans="21:22">
      <c r="U9420">
        <v>9378</v>
      </c>
      <c r="V9420" s="197">
        <v>1342.1029458143605</v>
      </c>
    </row>
    <row r="9421" spans="21:22">
      <c r="U9421">
        <v>9379</v>
      </c>
      <c r="V9421" s="197">
        <v>-993.6421237849172</v>
      </c>
    </row>
    <row r="9422" spans="21:22">
      <c r="U9422">
        <v>9380</v>
      </c>
      <c r="V9422" s="197">
        <v>-292.60999663090263</v>
      </c>
    </row>
    <row r="9423" spans="21:22">
      <c r="U9423">
        <v>9381</v>
      </c>
      <c r="V9423" s="197">
        <v>912.99591403305271</v>
      </c>
    </row>
    <row r="9424" spans="21:22">
      <c r="U9424">
        <v>9382</v>
      </c>
      <c r="V9424" s="197">
        <v>-1184.6614891228496</v>
      </c>
    </row>
    <row r="9425" spans="21:22">
      <c r="U9425">
        <v>9383</v>
      </c>
      <c r="V9425" s="197">
        <v>1366.5289732883239</v>
      </c>
    </row>
    <row r="9426" spans="21:22">
      <c r="U9426">
        <v>9384</v>
      </c>
      <c r="V9426" s="197">
        <v>-224.73057594061999</v>
      </c>
    </row>
    <row r="9427" spans="21:22">
      <c r="U9427">
        <v>9385</v>
      </c>
      <c r="V9427" s="197">
        <v>-219.03780693460635</v>
      </c>
    </row>
    <row r="9428" spans="21:22">
      <c r="U9428">
        <v>9386</v>
      </c>
      <c r="V9428" s="197">
        <v>-1293.8117150374615</v>
      </c>
    </row>
    <row r="9429" spans="21:22">
      <c r="U9429">
        <v>9387</v>
      </c>
      <c r="V9429" s="197">
        <v>-2162.3336334728092</v>
      </c>
    </row>
    <row r="9430" spans="21:22">
      <c r="U9430">
        <v>9388</v>
      </c>
      <c r="V9430" s="197">
        <v>844.09353903001102</v>
      </c>
    </row>
    <row r="9431" spans="21:22">
      <c r="U9431">
        <v>9389</v>
      </c>
      <c r="V9431" s="197">
        <v>679.3445475436497</v>
      </c>
    </row>
    <row r="9432" spans="21:22">
      <c r="U9432">
        <v>9390</v>
      </c>
      <c r="V9432" s="197">
        <v>1048.5527343080682</v>
      </c>
    </row>
    <row r="9433" spans="21:22">
      <c r="U9433">
        <v>9391</v>
      </c>
      <c r="V9433" s="197">
        <v>1658.9895237235846</v>
      </c>
    </row>
    <row r="9434" spans="21:22">
      <c r="U9434">
        <v>9392</v>
      </c>
      <c r="V9434" s="197">
        <v>-158.95049005351234</v>
      </c>
    </row>
    <row r="9435" spans="21:22">
      <c r="U9435">
        <v>9393</v>
      </c>
      <c r="V9435" s="197">
        <v>1108.227696077907</v>
      </c>
    </row>
    <row r="9436" spans="21:22">
      <c r="U9436">
        <v>9394</v>
      </c>
      <c r="V9436" s="197">
        <v>971.52236575890106</v>
      </c>
    </row>
    <row r="9437" spans="21:22">
      <c r="U9437">
        <v>9395</v>
      </c>
      <c r="V9437" s="197">
        <v>470.66270945536633</v>
      </c>
    </row>
    <row r="9438" spans="21:22">
      <c r="U9438">
        <v>9396</v>
      </c>
      <c r="V9438" s="197">
        <v>468.69889039175837</v>
      </c>
    </row>
    <row r="9439" spans="21:22">
      <c r="U9439">
        <v>9397</v>
      </c>
      <c r="V9439" s="197">
        <v>103.8565278669582</v>
      </c>
    </row>
    <row r="9440" spans="21:22">
      <c r="U9440">
        <v>9398</v>
      </c>
      <c r="V9440" s="197">
        <v>689.16920142853155</v>
      </c>
    </row>
    <row r="9441" spans="21:22">
      <c r="U9441">
        <v>9399</v>
      </c>
      <c r="V9441" s="197">
        <v>-1065.1214530392788</v>
      </c>
    </row>
    <row r="9442" spans="21:22">
      <c r="U9442">
        <v>9400</v>
      </c>
      <c r="V9442" s="197">
        <v>1353.9822693054721</v>
      </c>
    </row>
    <row r="9443" spans="21:22">
      <c r="U9443">
        <v>9401</v>
      </c>
      <c r="V9443" s="197">
        <v>1497.1487899375657</v>
      </c>
    </row>
    <row r="9444" spans="21:22">
      <c r="U9444">
        <v>9402</v>
      </c>
      <c r="V9444" s="197">
        <v>1060.4794910350201</v>
      </c>
    </row>
    <row r="9445" spans="21:22">
      <c r="U9445">
        <v>9403</v>
      </c>
      <c r="V9445" s="197">
        <v>414.20298522734709</v>
      </c>
    </row>
    <row r="9446" spans="21:22">
      <c r="U9446">
        <v>9404</v>
      </c>
      <c r="V9446" s="197">
        <v>-456.66552307864555</v>
      </c>
    </row>
    <row r="9447" spans="21:22">
      <c r="U9447">
        <v>9405</v>
      </c>
      <c r="V9447" s="197">
        <v>-511.64025240653342</v>
      </c>
    </row>
    <row r="9448" spans="21:22">
      <c r="U9448">
        <v>9406</v>
      </c>
      <c r="V9448" s="197">
        <v>-430.69471221055704</v>
      </c>
    </row>
    <row r="9449" spans="21:22">
      <c r="U9449">
        <v>9407</v>
      </c>
      <c r="V9449" s="197">
        <v>-255.53054944822912</v>
      </c>
    </row>
    <row r="9450" spans="21:22">
      <c r="U9450">
        <v>9408</v>
      </c>
      <c r="V9450" s="197">
        <v>619.60560441510756</v>
      </c>
    </row>
    <row r="9451" spans="21:22">
      <c r="U9451">
        <v>9409</v>
      </c>
      <c r="V9451" s="197">
        <v>24.557987805227043</v>
      </c>
    </row>
    <row r="9452" spans="21:22">
      <c r="U9452">
        <v>9410</v>
      </c>
      <c r="V9452" s="197">
        <v>162.56493527091288</v>
      </c>
    </row>
    <row r="9453" spans="21:22">
      <c r="U9453">
        <v>9411</v>
      </c>
      <c r="V9453" s="197">
        <v>658.52480480053509</v>
      </c>
    </row>
    <row r="9454" spans="21:22">
      <c r="U9454">
        <v>9412</v>
      </c>
      <c r="V9454" s="197">
        <v>-906.0828534652112</v>
      </c>
    </row>
    <row r="9455" spans="21:22">
      <c r="U9455">
        <v>9413</v>
      </c>
      <c r="V9455" s="197">
        <v>2428.3062206967315</v>
      </c>
    </row>
    <row r="9456" spans="21:22">
      <c r="U9456">
        <v>9414</v>
      </c>
      <c r="V9456" s="197">
        <v>-436.03593565262526</v>
      </c>
    </row>
    <row r="9457" spans="21:22">
      <c r="U9457">
        <v>9415</v>
      </c>
      <c r="V9457" s="197">
        <v>-352.13601328424278</v>
      </c>
    </row>
    <row r="9458" spans="21:22">
      <c r="U9458">
        <v>9416</v>
      </c>
      <c r="V9458" s="197">
        <v>128.38388330429532</v>
      </c>
    </row>
    <row r="9459" spans="21:22">
      <c r="U9459">
        <v>9417</v>
      </c>
      <c r="V9459" s="197">
        <v>-822.69416118280174</v>
      </c>
    </row>
    <row r="9460" spans="21:22">
      <c r="U9460">
        <v>9418</v>
      </c>
      <c r="V9460" s="197">
        <v>-1487.9711495798545</v>
      </c>
    </row>
    <row r="9461" spans="21:22">
      <c r="U9461">
        <v>9419</v>
      </c>
      <c r="V9461" s="197">
        <v>326.96111912495269</v>
      </c>
    </row>
    <row r="9462" spans="21:22">
      <c r="U9462">
        <v>9420</v>
      </c>
      <c r="V9462" s="197">
        <v>316.97793526704908</v>
      </c>
    </row>
    <row r="9463" spans="21:22">
      <c r="U9463">
        <v>9421</v>
      </c>
      <c r="V9463" s="197">
        <v>-861.61445148686857</v>
      </c>
    </row>
    <row r="9464" spans="21:22">
      <c r="U9464">
        <v>9422</v>
      </c>
      <c r="V9464" s="197">
        <v>1399.2870630510156</v>
      </c>
    </row>
    <row r="9465" spans="21:22">
      <c r="U9465">
        <v>9423</v>
      </c>
      <c r="V9465" s="197">
        <v>345.94725713591498</v>
      </c>
    </row>
    <row r="9466" spans="21:22">
      <c r="U9466">
        <v>9424</v>
      </c>
      <c r="V9466" s="197">
        <v>-1228.7907622414843</v>
      </c>
    </row>
    <row r="9467" spans="21:22">
      <c r="U9467">
        <v>9425</v>
      </c>
      <c r="V9467" s="197">
        <v>-709.39723483761168</v>
      </c>
    </row>
    <row r="9468" spans="21:22">
      <c r="U9468">
        <v>9426</v>
      </c>
      <c r="V9468" s="197">
        <v>1182.4422448779176</v>
      </c>
    </row>
    <row r="9469" spans="21:22">
      <c r="U9469">
        <v>9427</v>
      </c>
      <c r="V9469" s="197">
        <v>309.29798128206926</v>
      </c>
    </row>
    <row r="9470" spans="21:22">
      <c r="U9470">
        <v>9428</v>
      </c>
      <c r="V9470" s="197">
        <v>-843.72189943108015</v>
      </c>
    </row>
    <row r="9471" spans="21:22">
      <c r="U9471">
        <v>9429</v>
      </c>
      <c r="V9471" s="197">
        <v>255.53725611417292</v>
      </c>
    </row>
    <row r="9472" spans="21:22">
      <c r="U9472">
        <v>9430</v>
      </c>
      <c r="V9472" s="197">
        <v>207.13100510534375</v>
      </c>
    </row>
    <row r="9473" spans="21:22">
      <c r="U9473">
        <v>9431</v>
      </c>
      <c r="V9473" s="197">
        <v>-221.30205069916241</v>
      </c>
    </row>
    <row r="9474" spans="21:22">
      <c r="U9474">
        <v>9432</v>
      </c>
      <c r="V9474" s="197">
        <v>-1342.0277446532848</v>
      </c>
    </row>
    <row r="9475" spans="21:22">
      <c r="U9475">
        <v>9433</v>
      </c>
      <c r="V9475" s="197">
        <v>442.16478338962963</v>
      </c>
    </row>
    <row r="9476" spans="21:22">
      <c r="U9476">
        <v>9434</v>
      </c>
      <c r="V9476" s="197">
        <v>923.60193105357985</v>
      </c>
    </row>
    <row r="9477" spans="21:22">
      <c r="U9477">
        <v>9435</v>
      </c>
      <c r="V9477" s="197">
        <v>572.80113238195042</v>
      </c>
    </row>
    <row r="9478" spans="21:22">
      <c r="U9478">
        <v>9436</v>
      </c>
      <c r="V9478" s="197">
        <v>-138.47813865022167</v>
      </c>
    </row>
    <row r="9479" spans="21:22">
      <c r="U9479">
        <v>9437</v>
      </c>
      <c r="V9479" s="197">
        <v>189.55363694944623</v>
      </c>
    </row>
    <row r="9480" spans="21:22">
      <c r="U9480">
        <v>9438</v>
      </c>
      <c r="V9480" s="197">
        <v>-602.30734681109629</v>
      </c>
    </row>
    <row r="9481" spans="21:22">
      <c r="U9481">
        <v>9439</v>
      </c>
      <c r="V9481" s="197">
        <v>1122.7316664449177</v>
      </c>
    </row>
    <row r="9482" spans="21:22">
      <c r="U9482">
        <v>9440</v>
      </c>
      <c r="V9482" s="197">
        <v>167.03015467680385</v>
      </c>
    </row>
    <row r="9483" spans="21:22">
      <c r="U9483">
        <v>9441</v>
      </c>
      <c r="V9483" s="197">
        <v>1295.9066019232696</v>
      </c>
    </row>
    <row r="9484" spans="21:22">
      <c r="U9484">
        <v>9442</v>
      </c>
      <c r="V9484" s="197">
        <v>-313.08425352769956</v>
      </c>
    </row>
    <row r="9485" spans="21:22">
      <c r="U9485">
        <v>9443</v>
      </c>
      <c r="V9485" s="197">
        <v>-762.17910756294145</v>
      </c>
    </row>
    <row r="9486" spans="21:22">
      <c r="U9486">
        <v>9444</v>
      </c>
      <c r="V9486" s="197">
        <v>-66.424994753271335</v>
      </c>
    </row>
    <row r="9487" spans="21:22">
      <c r="U9487">
        <v>9445</v>
      </c>
      <c r="V9487" s="197">
        <v>604.30385052936174</v>
      </c>
    </row>
    <row r="9488" spans="21:22">
      <c r="U9488">
        <v>9446</v>
      </c>
      <c r="V9488" s="197">
        <v>-377.14890351668186</v>
      </c>
    </row>
    <row r="9489" spans="21:22">
      <c r="U9489">
        <v>9447</v>
      </c>
      <c r="V9489" s="197">
        <v>-795.33560524141922</v>
      </c>
    </row>
    <row r="9490" spans="21:22">
      <c r="U9490">
        <v>9448</v>
      </c>
      <c r="V9490" s="197">
        <v>959.76091444464805</v>
      </c>
    </row>
    <row r="9491" spans="21:22">
      <c r="U9491">
        <v>9449</v>
      </c>
      <c r="V9491" s="197">
        <v>-705.08724501604797</v>
      </c>
    </row>
    <row r="9492" spans="21:22">
      <c r="U9492">
        <v>9450</v>
      </c>
      <c r="V9492" s="197">
        <v>-485.16442815043939</v>
      </c>
    </row>
    <row r="9493" spans="21:22">
      <c r="U9493">
        <v>9451</v>
      </c>
      <c r="V9493" s="197">
        <v>1887.0745896513251</v>
      </c>
    </row>
    <row r="9494" spans="21:22">
      <c r="U9494">
        <v>9452</v>
      </c>
      <c r="V9494" s="197">
        <v>-238.25687387124577</v>
      </c>
    </row>
    <row r="9495" spans="21:22">
      <c r="U9495">
        <v>9453</v>
      </c>
      <c r="V9495" s="197">
        <v>277.52772363181634</v>
      </c>
    </row>
    <row r="9496" spans="21:22">
      <c r="U9496">
        <v>9454</v>
      </c>
      <c r="V9496" s="197">
        <v>261.06794412475335</v>
      </c>
    </row>
    <row r="9497" spans="21:22">
      <c r="U9497">
        <v>9455</v>
      </c>
      <c r="V9497" s="197">
        <v>-2450.8026239947226</v>
      </c>
    </row>
    <row r="9498" spans="21:22">
      <c r="U9498">
        <v>9456</v>
      </c>
      <c r="V9498" s="197">
        <v>-652.86648104924598</v>
      </c>
    </row>
    <row r="9499" spans="21:22">
      <c r="U9499">
        <v>9457</v>
      </c>
      <c r="V9499" s="197">
        <v>770.36593353773105</v>
      </c>
    </row>
    <row r="9500" spans="21:22">
      <c r="U9500">
        <v>9458</v>
      </c>
      <c r="V9500" s="197">
        <v>1422.9870389811231</v>
      </c>
    </row>
    <row r="9501" spans="21:22">
      <c r="U9501">
        <v>9459</v>
      </c>
      <c r="V9501" s="197">
        <v>-672.37632041776055</v>
      </c>
    </row>
    <row r="9502" spans="21:22">
      <c r="U9502">
        <v>9460</v>
      </c>
      <c r="V9502" s="197">
        <v>167.01246727491781</v>
      </c>
    </row>
    <row r="9503" spans="21:22">
      <c r="U9503">
        <v>9461</v>
      </c>
      <c r="V9503" s="197">
        <v>143.84865129587075</v>
      </c>
    </row>
    <row r="9504" spans="21:22">
      <c r="U9504">
        <v>9462</v>
      </c>
      <c r="V9504" s="197">
        <v>2212.8938506953264</v>
      </c>
    </row>
    <row r="9505" spans="21:22">
      <c r="U9505">
        <v>9463</v>
      </c>
      <c r="V9505" s="197">
        <v>1197.4938515882184</v>
      </c>
    </row>
    <row r="9506" spans="21:22">
      <c r="U9506">
        <v>9464</v>
      </c>
      <c r="V9506" s="197">
        <v>-941.95556620497109</v>
      </c>
    </row>
    <row r="9507" spans="21:22">
      <c r="U9507">
        <v>9465</v>
      </c>
      <c r="V9507" s="197">
        <v>1392.6715993351399</v>
      </c>
    </row>
    <row r="9508" spans="21:22">
      <c r="U9508">
        <v>9466</v>
      </c>
      <c r="V9508" s="197">
        <v>-506.59002692840346</v>
      </c>
    </row>
    <row r="9509" spans="21:22">
      <c r="U9509">
        <v>9467</v>
      </c>
      <c r="V9509" s="197">
        <v>1083.7939244707391</v>
      </c>
    </row>
    <row r="9510" spans="21:22">
      <c r="U9510">
        <v>9468</v>
      </c>
      <c r="V9510" s="197">
        <v>-756.50674765948929</v>
      </c>
    </row>
    <row r="9511" spans="21:22">
      <c r="U9511">
        <v>9469</v>
      </c>
      <c r="V9511" s="197">
        <v>1149.6161355689396</v>
      </c>
    </row>
    <row r="9512" spans="21:22">
      <c r="U9512">
        <v>9470</v>
      </c>
      <c r="V9512" s="197">
        <v>-214.28836281935298</v>
      </c>
    </row>
    <row r="9513" spans="21:22">
      <c r="U9513">
        <v>9471</v>
      </c>
      <c r="V9513" s="197">
        <v>44.196185654584312</v>
      </c>
    </row>
    <row r="9514" spans="21:22">
      <c r="U9514">
        <v>9472</v>
      </c>
      <c r="V9514" s="197">
        <v>375.46590979803267</v>
      </c>
    </row>
    <row r="9515" spans="21:22">
      <c r="U9515">
        <v>9473</v>
      </c>
      <c r="V9515" s="197">
        <v>-3.2290378400004869</v>
      </c>
    </row>
    <row r="9516" spans="21:22">
      <c r="U9516">
        <v>9474</v>
      </c>
      <c r="V9516" s="197">
        <v>763.47914659561297</v>
      </c>
    </row>
    <row r="9517" spans="21:22">
      <c r="U9517">
        <v>9475</v>
      </c>
      <c r="V9517" s="197">
        <v>-1553.9865309546346</v>
      </c>
    </row>
    <row r="9518" spans="21:22">
      <c r="U9518">
        <v>9476</v>
      </c>
      <c r="V9518" s="197">
        <v>-1043.3972378651897</v>
      </c>
    </row>
    <row r="9519" spans="21:22">
      <c r="U9519">
        <v>9477</v>
      </c>
      <c r="V9519" s="197">
        <v>-262.77633556510921</v>
      </c>
    </row>
    <row r="9520" spans="21:22">
      <c r="U9520">
        <v>9478</v>
      </c>
      <c r="V9520" s="197">
        <v>1077.2266617139096</v>
      </c>
    </row>
    <row r="9521" spans="21:22">
      <c r="U9521">
        <v>9479</v>
      </c>
      <c r="V9521" s="197">
        <v>-463.27425832906732</v>
      </c>
    </row>
    <row r="9522" spans="21:22">
      <c r="U9522">
        <v>9480</v>
      </c>
      <c r="V9522" s="197">
        <v>-1012.0750526918823</v>
      </c>
    </row>
    <row r="9523" spans="21:22">
      <c r="U9523">
        <v>9481</v>
      </c>
      <c r="V9523" s="197">
        <v>-482.17519754648225</v>
      </c>
    </row>
    <row r="9524" spans="21:22">
      <c r="U9524">
        <v>9482</v>
      </c>
      <c r="V9524" s="197">
        <v>607.39389772056359</v>
      </c>
    </row>
    <row r="9525" spans="21:22">
      <c r="U9525">
        <v>9483</v>
      </c>
      <c r="V9525" s="197">
        <v>-1978.6946857514515</v>
      </c>
    </row>
    <row r="9526" spans="21:22">
      <c r="U9526">
        <v>9484</v>
      </c>
      <c r="V9526" s="197">
        <v>-1274.5064712921394</v>
      </c>
    </row>
    <row r="9527" spans="21:22">
      <c r="U9527">
        <v>9485</v>
      </c>
      <c r="V9527" s="197">
        <v>157.23626404335641</v>
      </c>
    </row>
    <row r="9528" spans="21:22">
      <c r="U9528">
        <v>9486</v>
      </c>
      <c r="V9528" s="197">
        <v>1065.4821590299987</v>
      </c>
    </row>
    <row r="9529" spans="21:22">
      <c r="U9529">
        <v>9487</v>
      </c>
      <c r="V9529" s="197">
        <v>-1548.498443464995</v>
      </c>
    </row>
    <row r="9530" spans="21:22">
      <c r="U9530">
        <v>9488</v>
      </c>
      <c r="V9530" s="197">
        <v>-531.46075403423993</v>
      </c>
    </row>
    <row r="9531" spans="21:22">
      <c r="U9531">
        <v>9489</v>
      </c>
      <c r="V9531" s="197">
        <v>-955.49177165450828</v>
      </c>
    </row>
    <row r="9532" spans="21:22">
      <c r="U9532">
        <v>9490</v>
      </c>
      <c r="V9532" s="197">
        <v>425.18695985594275</v>
      </c>
    </row>
    <row r="9533" spans="21:22">
      <c r="U9533">
        <v>9491</v>
      </c>
      <c r="V9533" s="197">
        <v>-931.01631398279142</v>
      </c>
    </row>
    <row r="9534" spans="21:22">
      <c r="U9534">
        <v>9492</v>
      </c>
      <c r="V9534" s="197">
        <v>-623.78182158349068</v>
      </c>
    </row>
    <row r="9535" spans="21:22">
      <c r="U9535">
        <v>9493</v>
      </c>
      <c r="V9535" s="197">
        <v>21.460246272214079</v>
      </c>
    </row>
    <row r="9536" spans="21:22">
      <c r="U9536">
        <v>9494</v>
      </c>
      <c r="V9536" s="197">
        <v>1760.7990117104666</v>
      </c>
    </row>
    <row r="9537" spans="21:22">
      <c r="U9537">
        <v>9495</v>
      </c>
      <c r="V9537" s="197">
        <v>1566.2066482602283</v>
      </c>
    </row>
    <row r="9538" spans="21:22">
      <c r="U9538">
        <v>9496</v>
      </c>
      <c r="V9538" s="197">
        <v>434.90518606190142</v>
      </c>
    </row>
    <row r="9539" spans="21:22">
      <c r="U9539">
        <v>9497</v>
      </c>
      <c r="V9539" s="197">
        <v>-370.74955776363765</v>
      </c>
    </row>
    <row r="9540" spans="21:22">
      <c r="U9540">
        <v>9498</v>
      </c>
      <c r="V9540" s="197">
        <v>1279.8651286716797</v>
      </c>
    </row>
    <row r="9541" spans="21:22">
      <c r="U9541">
        <v>9499</v>
      </c>
      <c r="V9541" s="197">
        <v>257.56788030781587</v>
      </c>
    </row>
    <row r="9542" spans="21:22">
      <c r="U9542">
        <v>9500</v>
      </c>
      <c r="V9542" s="197">
        <v>741.61143769875162</v>
      </c>
    </row>
    <row r="9543" spans="21:22">
      <c r="U9543">
        <v>9501</v>
      </c>
      <c r="V9543" s="197">
        <v>237.4041772983833</v>
      </c>
    </row>
    <row r="9544" spans="21:22">
      <c r="U9544">
        <v>9502</v>
      </c>
      <c r="V9544" s="197">
        <v>1077.0549542999888</v>
      </c>
    </row>
    <row r="9545" spans="21:22">
      <c r="U9545">
        <v>9503</v>
      </c>
      <c r="V9545" s="197">
        <v>-245.48658373560153</v>
      </c>
    </row>
    <row r="9546" spans="21:22">
      <c r="U9546">
        <v>9504</v>
      </c>
      <c r="V9546" s="197">
        <v>-874.17171929051983</v>
      </c>
    </row>
    <row r="9547" spans="21:22">
      <c r="U9547">
        <v>9505</v>
      </c>
      <c r="V9547" s="197">
        <v>-155.01028184636786</v>
      </c>
    </row>
    <row r="9548" spans="21:22">
      <c r="U9548">
        <v>9506</v>
      </c>
      <c r="V9548" s="197">
        <v>-43.870812573958034</v>
      </c>
    </row>
    <row r="9549" spans="21:22">
      <c r="U9549">
        <v>9507</v>
      </c>
      <c r="V9549" s="197">
        <v>706.76056489917073</v>
      </c>
    </row>
    <row r="9550" spans="21:22">
      <c r="U9550">
        <v>9508</v>
      </c>
      <c r="V9550" s="197">
        <v>676.76082235192735</v>
      </c>
    </row>
    <row r="9551" spans="21:22">
      <c r="U9551">
        <v>9509</v>
      </c>
      <c r="V9551" s="197">
        <v>1783.3580556147474</v>
      </c>
    </row>
    <row r="9552" spans="21:22">
      <c r="U9552">
        <v>9510</v>
      </c>
      <c r="V9552" s="197">
        <v>147.11887734874136</v>
      </c>
    </row>
    <row r="9553" spans="21:22">
      <c r="U9553">
        <v>9511</v>
      </c>
      <c r="V9553" s="197">
        <v>988.09613950977291</v>
      </c>
    </row>
    <row r="9554" spans="21:22">
      <c r="U9554">
        <v>9512</v>
      </c>
      <c r="V9554" s="197">
        <v>-105.38954818687822</v>
      </c>
    </row>
    <row r="9555" spans="21:22">
      <c r="U9555">
        <v>9513</v>
      </c>
      <c r="V9555" s="197">
        <v>155.32137141808536</v>
      </c>
    </row>
    <row r="9556" spans="21:22">
      <c r="U9556">
        <v>9514</v>
      </c>
      <c r="V9556" s="197">
        <v>-1432.9861725567841</v>
      </c>
    </row>
    <row r="9557" spans="21:22">
      <c r="U9557">
        <v>9515</v>
      </c>
      <c r="V9557" s="197">
        <v>-933.86930784910942</v>
      </c>
    </row>
    <row r="9558" spans="21:22">
      <c r="U9558">
        <v>9516</v>
      </c>
      <c r="V9558" s="197">
        <v>243.8131743859721</v>
      </c>
    </row>
    <row r="9559" spans="21:22">
      <c r="U9559">
        <v>9517</v>
      </c>
      <c r="V9559" s="197">
        <v>-779.28188118114576</v>
      </c>
    </row>
    <row r="9560" spans="21:22">
      <c r="U9560">
        <v>9518</v>
      </c>
      <c r="V9560" s="197">
        <v>1371.4750711486718</v>
      </c>
    </row>
    <row r="9561" spans="21:22">
      <c r="U9561">
        <v>9519</v>
      </c>
      <c r="V9561" s="197">
        <v>887.4997840990045</v>
      </c>
    </row>
    <row r="9562" spans="21:22">
      <c r="U9562">
        <v>9520</v>
      </c>
      <c r="V9562" s="197">
        <v>-313.18346201658784</v>
      </c>
    </row>
    <row r="9563" spans="21:22">
      <c r="U9563">
        <v>9521</v>
      </c>
      <c r="V9563" s="197">
        <v>-96.851807647542699</v>
      </c>
    </row>
    <row r="9564" spans="21:22">
      <c r="U9564">
        <v>9522</v>
      </c>
      <c r="V9564" s="197">
        <v>-826.65128954789816</v>
      </c>
    </row>
    <row r="9565" spans="21:22">
      <c r="U9565">
        <v>9523</v>
      </c>
      <c r="V9565" s="197">
        <v>-132.61619278195485</v>
      </c>
    </row>
    <row r="9566" spans="21:22">
      <c r="U9566">
        <v>9524</v>
      </c>
      <c r="V9566" s="197">
        <v>85.485830664627727</v>
      </c>
    </row>
    <row r="9567" spans="21:22">
      <c r="U9567">
        <v>9525</v>
      </c>
      <c r="V9567" s="197">
        <v>-2033.0079230017225</v>
      </c>
    </row>
    <row r="9568" spans="21:22">
      <c r="U9568">
        <v>9526</v>
      </c>
      <c r="V9568" s="197">
        <v>796.39654469594757</v>
      </c>
    </row>
    <row r="9569" spans="21:22">
      <c r="U9569">
        <v>9527</v>
      </c>
      <c r="V9569" s="197">
        <v>-1962.0765095241188</v>
      </c>
    </row>
    <row r="9570" spans="21:22">
      <c r="U9570">
        <v>9528</v>
      </c>
      <c r="V9570" s="197">
        <v>410.1503388924483</v>
      </c>
    </row>
    <row r="9571" spans="21:22">
      <c r="U9571">
        <v>9529</v>
      </c>
      <c r="V9571" s="197">
        <v>-291.64470985415704</v>
      </c>
    </row>
    <row r="9572" spans="21:22">
      <c r="U9572">
        <v>9530</v>
      </c>
      <c r="V9572" s="197">
        <v>-80.183806933816811</v>
      </c>
    </row>
    <row r="9573" spans="21:22">
      <c r="U9573">
        <v>9531</v>
      </c>
      <c r="V9573" s="197">
        <v>441.67104929690061</v>
      </c>
    </row>
    <row r="9574" spans="21:22">
      <c r="U9574">
        <v>9532</v>
      </c>
      <c r="V9574" s="197">
        <v>508.49420283762635</v>
      </c>
    </row>
    <row r="9575" spans="21:22">
      <c r="U9575">
        <v>9533</v>
      </c>
      <c r="V9575" s="197">
        <v>139.38373686663408</v>
      </c>
    </row>
    <row r="9576" spans="21:22">
      <c r="U9576">
        <v>9534</v>
      </c>
      <c r="V9576" s="197">
        <v>-1394.9333751967386</v>
      </c>
    </row>
    <row r="9577" spans="21:22">
      <c r="U9577">
        <v>9535</v>
      </c>
      <c r="V9577" s="197">
        <v>-777.48999891080143</v>
      </c>
    </row>
    <row r="9578" spans="21:22">
      <c r="U9578">
        <v>9536</v>
      </c>
      <c r="V9578" s="197">
        <v>901.35676044972365</v>
      </c>
    </row>
    <row r="9579" spans="21:22">
      <c r="U9579">
        <v>9537</v>
      </c>
      <c r="V9579" s="197">
        <v>-16.478763348313606</v>
      </c>
    </row>
    <row r="9580" spans="21:22">
      <c r="U9580">
        <v>9538</v>
      </c>
      <c r="V9580" s="197">
        <v>-1007.6517450904216</v>
      </c>
    </row>
    <row r="9581" spans="21:22">
      <c r="U9581">
        <v>9539</v>
      </c>
      <c r="V9581" s="197">
        <v>1102.4979530376202</v>
      </c>
    </row>
    <row r="9582" spans="21:22">
      <c r="U9582">
        <v>9540</v>
      </c>
      <c r="V9582" s="197">
        <v>-515.72143940109754</v>
      </c>
    </row>
    <row r="9583" spans="21:22">
      <c r="U9583">
        <v>9541</v>
      </c>
      <c r="V9583" s="197">
        <v>-1645.1451034470299</v>
      </c>
    </row>
    <row r="9584" spans="21:22">
      <c r="U9584">
        <v>9542</v>
      </c>
      <c r="V9584" s="197">
        <v>-697.65912457225363</v>
      </c>
    </row>
    <row r="9585" spans="21:22">
      <c r="U9585">
        <v>9543</v>
      </c>
      <c r="V9585" s="197">
        <v>-655.71200899123323</v>
      </c>
    </row>
    <row r="9586" spans="21:22">
      <c r="U9586">
        <v>9544</v>
      </c>
      <c r="V9586" s="197">
        <v>2194.9094060037428</v>
      </c>
    </row>
    <row r="9587" spans="21:22">
      <c r="U9587">
        <v>9545</v>
      </c>
      <c r="V9587" s="197">
        <v>-141.38492700590172</v>
      </c>
    </row>
    <row r="9588" spans="21:22">
      <c r="U9588">
        <v>9546</v>
      </c>
      <c r="V9588" s="197">
        <v>-547.78626912025447</v>
      </c>
    </row>
    <row r="9589" spans="21:22">
      <c r="U9589">
        <v>9547</v>
      </c>
      <c r="V9589" s="197">
        <v>-595.27055700619121</v>
      </c>
    </row>
    <row r="9590" spans="21:22">
      <c r="U9590">
        <v>9548</v>
      </c>
      <c r="V9590" s="197">
        <v>-482.16309242793687</v>
      </c>
    </row>
    <row r="9591" spans="21:22">
      <c r="U9591">
        <v>9549</v>
      </c>
      <c r="V9591" s="197">
        <v>-1462.9658266371916</v>
      </c>
    </row>
    <row r="9592" spans="21:22">
      <c r="U9592">
        <v>9550</v>
      </c>
      <c r="V9592" s="197">
        <v>463.57625535313684</v>
      </c>
    </row>
    <row r="9593" spans="21:22">
      <c r="U9593">
        <v>9551</v>
      </c>
      <c r="V9593" s="197">
        <v>-566.72989454122353</v>
      </c>
    </row>
    <row r="9594" spans="21:22">
      <c r="U9594">
        <v>9552</v>
      </c>
      <c r="V9594" s="197">
        <v>-341.28920141076537</v>
      </c>
    </row>
    <row r="9595" spans="21:22">
      <c r="U9595">
        <v>9553</v>
      </c>
      <c r="V9595" s="197">
        <v>1038.0606397938593</v>
      </c>
    </row>
    <row r="9596" spans="21:22">
      <c r="U9596">
        <v>9554</v>
      </c>
      <c r="V9596" s="197">
        <v>396.75139378147827</v>
      </c>
    </row>
    <row r="9597" spans="21:22">
      <c r="U9597">
        <v>9555</v>
      </c>
      <c r="V9597" s="197">
        <v>589.22758669020823</v>
      </c>
    </row>
    <row r="9598" spans="21:22">
      <c r="U9598">
        <v>9556</v>
      </c>
      <c r="V9598" s="197">
        <v>984.92190278520343</v>
      </c>
    </row>
    <row r="9599" spans="21:22">
      <c r="U9599">
        <v>9557</v>
      </c>
      <c r="V9599" s="197">
        <v>-901.46936474886866</v>
      </c>
    </row>
    <row r="9600" spans="21:22">
      <c r="U9600">
        <v>9558</v>
      </c>
      <c r="V9600" s="197">
        <v>1704.7782954556562</v>
      </c>
    </row>
    <row r="9601" spans="21:22">
      <c r="U9601">
        <v>9559</v>
      </c>
      <c r="V9601" s="197">
        <v>-518.06785764995652</v>
      </c>
    </row>
    <row r="9602" spans="21:22">
      <c r="U9602">
        <v>9560</v>
      </c>
      <c r="V9602" s="197">
        <v>1567.4699008029395</v>
      </c>
    </row>
    <row r="9603" spans="21:22">
      <c r="U9603">
        <v>9561</v>
      </c>
      <c r="V9603" s="197">
        <v>-295.667768894326</v>
      </c>
    </row>
    <row r="9604" spans="21:22">
      <c r="U9604">
        <v>9562</v>
      </c>
      <c r="V9604" s="197">
        <v>457.22439498506787</v>
      </c>
    </row>
    <row r="9605" spans="21:22">
      <c r="U9605">
        <v>9563</v>
      </c>
      <c r="V9605" s="197">
        <v>-1080.3319168505693</v>
      </c>
    </row>
    <row r="9606" spans="21:22">
      <c r="U9606">
        <v>9564</v>
      </c>
      <c r="V9606" s="197">
        <v>-720.81434159269384</v>
      </c>
    </row>
    <row r="9607" spans="21:22">
      <c r="U9607">
        <v>9565</v>
      </c>
      <c r="V9607" s="197">
        <v>454.99459022825141</v>
      </c>
    </row>
    <row r="9608" spans="21:22">
      <c r="U9608">
        <v>9566</v>
      </c>
      <c r="V9608" s="197">
        <v>825.61300312362187</v>
      </c>
    </row>
    <row r="9609" spans="21:22">
      <c r="U9609">
        <v>9567</v>
      </c>
      <c r="V9609" s="197">
        <v>-438.23872498484633</v>
      </c>
    </row>
    <row r="9610" spans="21:22">
      <c r="U9610">
        <v>9568</v>
      </c>
      <c r="V9610" s="197">
        <v>557.88706059006142</v>
      </c>
    </row>
    <row r="9611" spans="21:22">
      <c r="U9611">
        <v>9569</v>
      </c>
      <c r="V9611" s="197">
        <v>-884.4435806081533</v>
      </c>
    </row>
    <row r="9612" spans="21:22">
      <c r="U9612">
        <v>9570</v>
      </c>
      <c r="V9612" s="197">
        <v>-1411.0925827566075</v>
      </c>
    </row>
    <row r="9613" spans="21:22">
      <c r="U9613">
        <v>9571</v>
      </c>
      <c r="V9613" s="197">
        <v>461.35539281857154</v>
      </c>
    </row>
    <row r="9614" spans="21:22">
      <c r="U9614">
        <v>9572</v>
      </c>
      <c r="V9614" s="197">
        <v>1504.9847582985965</v>
      </c>
    </row>
    <row r="9615" spans="21:22">
      <c r="U9615">
        <v>9573</v>
      </c>
      <c r="V9615" s="197">
        <v>1760.6106432702363</v>
      </c>
    </row>
    <row r="9616" spans="21:22">
      <c r="U9616">
        <v>9574</v>
      </c>
      <c r="V9616" s="197">
        <v>450.49728626819734</v>
      </c>
    </row>
    <row r="9617" spans="21:22">
      <c r="U9617">
        <v>9575</v>
      </c>
      <c r="V9617" s="197">
        <v>1409.1729186772607</v>
      </c>
    </row>
    <row r="9618" spans="21:22">
      <c r="U9618">
        <v>9576</v>
      </c>
      <c r="V9618" s="197">
        <v>2045.3650671052446</v>
      </c>
    </row>
    <row r="9619" spans="21:22">
      <c r="U9619">
        <v>9577</v>
      </c>
      <c r="V9619" s="197">
        <v>1276.4539643832636</v>
      </c>
    </row>
    <row r="9620" spans="21:22">
      <c r="U9620">
        <v>9578</v>
      </c>
      <c r="V9620" s="197">
        <v>-1335.236367423154</v>
      </c>
    </row>
    <row r="9621" spans="21:22">
      <c r="U9621">
        <v>9579</v>
      </c>
      <c r="V9621" s="197">
        <v>624.22912661702458</v>
      </c>
    </row>
    <row r="9622" spans="21:22">
      <c r="U9622">
        <v>9580</v>
      </c>
      <c r="V9622" s="197">
        <v>50.124964704929987</v>
      </c>
    </row>
    <row r="9623" spans="21:22">
      <c r="U9623">
        <v>9581</v>
      </c>
      <c r="V9623" s="197">
        <v>39.654633915868885</v>
      </c>
    </row>
    <row r="9624" spans="21:22">
      <c r="U9624">
        <v>9582</v>
      </c>
      <c r="V9624" s="197">
        <v>1780.5313367020049</v>
      </c>
    </row>
    <row r="9625" spans="21:22">
      <c r="U9625">
        <v>9583</v>
      </c>
      <c r="V9625" s="197">
        <v>120.79904839463097</v>
      </c>
    </row>
    <row r="9626" spans="21:22">
      <c r="U9626">
        <v>9584</v>
      </c>
      <c r="V9626" s="197">
        <v>251.12927936515317</v>
      </c>
    </row>
    <row r="9627" spans="21:22">
      <c r="U9627">
        <v>9585</v>
      </c>
      <c r="V9627" s="197">
        <v>-276.56439669357218</v>
      </c>
    </row>
    <row r="9628" spans="21:22">
      <c r="U9628">
        <v>9586</v>
      </c>
      <c r="V9628" s="197">
        <v>2628.3523058706019</v>
      </c>
    </row>
    <row r="9629" spans="21:22">
      <c r="U9629">
        <v>9587</v>
      </c>
      <c r="V9629" s="197">
        <v>-535.21046870317923</v>
      </c>
    </row>
    <row r="9630" spans="21:22">
      <c r="U9630">
        <v>9588</v>
      </c>
      <c r="V9630" s="197">
        <v>583.36926602634321</v>
      </c>
    </row>
    <row r="9631" spans="21:22">
      <c r="U9631">
        <v>9589</v>
      </c>
      <c r="V9631" s="197">
        <v>-352.85091464654442</v>
      </c>
    </row>
    <row r="9632" spans="21:22">
      <c r="U9632">
        <v>9590</v>
      </c>
      <c r="V9632" s="197">
        <v>1146.831174742659</v>
      </c>
    </row>
    <row r="9633" spans="21:22">
      <c r="U9633">
        <v>9591</v>
      </c>
      <c r="V9633" s="197">
        <v>-715.06146782264727</v>
      </c>
    </row>
    <row r="9634" spans="21:22">
      <c r="U9634">
        <v>9592</v>
      </c>
      <c r="V9634" s="197">
        <v>-1258.4751230272725</v>
      </c>
    </row>
    <row r="9635" spans="21:22">
      <c r="U9635">
        <v>9593</v>
      </c>
      <c r="V9635" s="197">
        <v>-1180.666215466164</v>
      </c>
    </row>
    <row r="9636" spans="21:22">
      <c r="U9636">
        <v>9594</v>
      </c>
      <c r="V9636" s="197">
        <v>833.83359252486161</v>
      </c>
    </row>
    <row r="9637" spans="21:22">
      <c r="U9637">
        <v>9595</v>
      </c>
      <c r="V9637" s="197">
        <v>1947.156981903428</v>
      </c>
    </row>
    <row r="9638" spans="21:22">
      <c r="U9638">
        <v>9596</v>
      </c>
      <c r="V9638" s="197">
        <v>803.04511263829409</v>
      </c>
    </row>
    <row r="9639" spans="21:22">
      <c r="U9639">
        <v>9597</v>
      </c>
      <c r="V9639" s="197">
        <v>105.63904468190171</v>
      </c>
    </row>
    <row r="9640" spans="21:22">
      <c r="U9640">
        <v>9598</v>
      </c>
      <c r="V9640" s="197">
        <v>124.05195262274424</v>
      </c>
    </row>
    <row r="9641" spans="21:22">
      <c r="U9641">
        <v>9599</v>
      </c>
      <c r="V9641" s="197">
        <v>45.987167628681021</v>
      </c>
    </row>
    <row r="9642" spans="21:22">
      <c r="U9642">
        <v>9600</v>
      </c>
      <c r="V9642" s="197">
        <v>909.13149780802337</v>
      </c>
    </row>
    <row r="9643" spans="21:22">
      <c r="U9643">
        <v>9601</v>
      </c>
      <c r="V9643" s="197">
        <v>10.114587917266618</v>
      </c>
    </row>
    <row r="9644" spans="21:22">
      <c r="U9644">
        <v>9602</v>
      </c>
      <c r="V9644" s="197">
        <v>669.38177483468985</v>
      </c>
    </row>
    <row r="9645" spans="21:22">
      <c r="U9645">
        <v>9603</v>
      </c>
      <c r="V9645" s="197">
        <v>-312.55243547765508</v>
      </c>
    </row>
    <row r="9646" spans="21:22">
      <c r="U9646">
        <v>9604</v>
      </c>
      <c r="V9646" s="197">
        <v>-984.99058960601474</v>
      </c>
    </row>
    <row r="9647" spans="21:22">
      <c r="U9647">
        <v>9605</v>
      </c>
      <c r="V9647" s="197">
        <v>811.55938846368713</v>
      </c>
    </row>
    <row r="9648" spans="21:22">
      <c r="U9648">
        <v>9606</v>
      </c>
      <c r="V9648" s="197">
        <v>-370.27284245691862</v>
      </c>
    </row>
    <row r="9649" spans="21:22">
      <c r="U9649">
        <v>9607</v>
      </c>
      <c r="V9649" s="197">
        <v>1063.3626147544483</v>
      </c>
    </row>
    <row r="9650" spans="21:22">
      <c r="U9650">
        <v>9608</v>
      </c>
      <c r="V9650" s="197">
        <v>-442.25405123408365</v>
      </c>
    </row>
    <row r="9651" spans="21:22">
      <c r="U9651">
        <v>9609</v>
      </c>
      <c r="V9651" s="197">
        <v>105.86272752687765</v>
      </c>
    </row>
    <row r="9652" spans="21:22">
      <c r="U9652">
        <v>9610</v>
      </c>
      <c r="V9652" s="197">
        <v>280.12490252772199</v>
      </c>
    </row>
    <row r="9653" spans="21:22">
      <c r="U9653">
        <v>9611</v>
      </c>
      <c r="V9653" s="197">
        <v>68.067635475343891</v>
      </c>
    </row>
    <row r="9654" spans="21:22">
      <c r="U9654">
        <v>9612</v>
      </c>
      <c r="V9654" s="197">
        <v>-671.55056016652884</v>
      </c>
    </row>
    <row r="9655" spans="21:22">
      <c r="U9655">
        <v>9613</v>
      </c>
      <c r="V9655" s="197">
        <v>-1462.1950287692207</v>
      </c>
    </row>
    <row r="9656" spans="21:22">
      <c r="U9656">
        <v>9614</v>
      </c>
      <c r="V9656" s="197">
        <v>585.38646228019331</v>
      </c>
    </row>
    <row r="9657" spans="21:22">
      <c r="U9657">
        <v>9615</v>
      </c>
      <c r="V9657" s="197">
        <v>467.92023260679332</v>
      </c>
    </row>
    <row r="9658" spans="21:22">
      <c r="U9658">
        <v>9616</v>
      </c>
      <c r="V9658" s="197">
        <v>-888.90199152116475</v>
      </c>
    </row>
    <row r="9659" spans="21:22">
      <c r="U9659">
        <v>9617</v>
      </c>
      <c r="V9659" s="197">
        <v>1699.1208552907246</v>
      </c>
    </row>
    <row r="9660" spans="21:22">
      <c r="U9660">
        <v>9618</v>
      </c>
      <c r="V9660" s="197">
        <v>1575.5506946567295</v>
      </c>
    </row>
    <row r="9661" spans="21:22">
      <c r="U9661">
        <v>9619</v>
      </c>
      <c r="V9661" s="197">
        <v>-135.72715283288977</v>
      </c>
    </row>
    <row r="9662" spans="21:22">
      <c r="U9662">
        <v>9620</v>
      </c>
      <c r="V9662" s="197">
        <v>876.44699970508623</v>
      </c>
    </row>
    <row r="9663" spans="21:22">
      <c r="U9663">
        <v>9621</v>
      </c>
      <c r="V9663" s="197">
        <v>-75.880081510363055</v>
      </c>
    </row>
    <row r="9664" spans="21:22">
      <c r="U9664">
        <v>9622</v>
      </c>
      <c r="V9664" s="197">
        <v>825.94445549833176</v>
      </c>
    </row>
    <row r="9665" spans="21:22">
      <c r="U9665">
        <v>9623</v>
      </c>
      <c r="V9665" s="197">
        <v>913.46848688294881</v>
      </c>
    </row>
    <row r="9666" spans="21:22">
      <c r="U9666">
        <v>9624</v>
      </c>
      <c r="V9666" s="197">
        <v>-1569.91265533617</v>
      </c>
    </row>
    <row r="9667" spans="21:22">
      <c r="U9667">
        <v>9625</v>
      </c>
      <c r="V9667" s="197">
        <v>681.99186092671312</v>
      </c>
    </row>
    <row r="9668" spans="21:22">
      <c r="U9668">
        <v>9626</v>
      </c>
      <c r="V9668" s="197">
        <v>25.913051911577469</v>
      </c>
    </row>
    <row r="9669" spans="21:22">
      <c r="U9669">
        <v>9627</v>
      </c>
      <c r="V9669" s="197">
        <v>133.1971617363285</v>
      </c>
    </row>
    <row r="9670" spans="21:22">
      <c r="U9670">
        <v>9628</v>
      </c>
      <c r="V9670" s="197">
        <v>106.64826931720812</v>
      </c>
    </row>
    <row r="9671" spans="21:22">
      <c r="U9671">
        <v>9629</v>
      </c>
      <c r="V9671" s="197">
        <v>1340.9487034924425</v>
      </c>
    </row>
    <row r="9672" spans="21:22">
      <c r="U9672">
        <v>9630</v>
      </c>
      <c r="V9672" s="197">
        <v>-63.754142004200986</v>
      </c>
    </row>
    <row r="9673" spans="21:22">
      <c r="U9673">
        <v>9631</v>
      </c>
      <c r="V9673" s="197">
        <v>-120.20640494094036</v>
      </c>
    </row>
    <row r="9674" spans="21:22">
      <c r="U9674">
        <v>9632</v>
      </c>
      <c r="V9674" s="197">
        <v>1467.032268608411</v>
      </c>
    </row>
    <row r="9675" spans="21:22">
      <c r="U9675">
        <v>9633</v>
      </c>
      <c r="V9675" s="197">
        <v>-1034.6262216848786</v>
      </c>
    </row>
    <row r="9676" spans="21:22">
      <c r="U9676">
        <v>9634</v>
      </c>
      <c r="V9676" s="197">
        <v>1289.4719625809346</v>
      </c>
    </row>
    <row r="9677" spans="21:22">
      <c r="U9677">
        <v>9635</v>
      </c>
      <c r="V9677" s="197">
        <v>-2337.5767086305045</v>
      </c>
    </row>
    <row r="9678" spans="21:22">
      <c r="U9678">
        <v>9636</v>
      </c>
      <c r="V9678" s="197">
        <v>1396.4955714344928</v>
      </c>
    </row>
    <row r="9679" spans="21:22">
      <c r="U9679">
        <v>9637</v>
      </c>
      <c r="V9679" s="197">
        <v>-1705.8180071607833</v>
      </c>
    </row>
    <row r="9680" spans="21:22">
      <c r="U9680">
        <v>9638</v>
      </c>
      <c r="V9680" s="197">
        <v>1279.3378246257823</v>
      </c>
    </row>
    <row r="9681" spans="21:22">
      <c r="U9681">
        <v>9639</v>
      </c>
      <c r="V9681" s="197">
        <v>47.618823522099241</v>
      </c>
    </row>
    <row r="9682" spans="21:22">
      <c r="U9682">
        <v>9640</v>
      </c>
      <c r="V9682" s="197">
        <v>-677.85343479483799</v>
      </c>
    </row>
    <row r="9683" spans="21:22">
      <c r="U9683">
        <v>9641</v>
      </c>
      <c r="V9683" s="197">
        <v>1862.5698570866721</v>
      </c>
    </row>
    <row r="9684" spans="21:22">
      <c r="U9684">
        <v>9642</v>
      </c>
      <c r="V9684" s="197">
        <v>-2243.6295756303484</v>
      </c>
    </row>
    <row r="9685" spans="21:22">
      <c r="U9685">
        <v>9643</v>
      </c>
      <c r="V9685" s="197">
        <v>95.383943404598497</v>
      </c>
    </row>
    <row r="9686" spans="21:22">
      <c r="U9686">
        <v>9644</v>
      </c>
      <c r="V9686" s="197">
        <v>-831.40355958126929</v>
      </c>
    </row>
    <row r="9687" spans="21:22">
      <c r="U9687">
        <v>9645</v>
      </c>
      <c r="V9687" s="197">
        <v>-1011.9024346034353</v>
      </c>
    </row>
    <row r="9688" spans="21:22">
      <c r="U9688">
        <v>9646</v>
      </c>
      <c r="V9688" s="197">
        <v>526.04589029728868</v>
      </c>
    </row>
    <row r="9689" spans="21:22">
      <c r="U9689">
        <v>9647</v>
      </c>
      <c r="V9689" s="197">
        <v>389.6987745587553</v>
      </c>
    </row>
    <row r="9690" spans="21:22">
      <c r="U9690">
        <v>9648</v>
      </c>
      <c r="V9690" s="197">
        <v>998.30369846241638</v>
      </c>
    </row>
    <row r="9691" spans="21:22">
      <c r="U9691">
        <v>9649</v>
      </c>
      <c r="V9691" s="197">
        <v>-902.67174022220684</v>
      </c>
    </row>
    <row r="9692" spans="21:22">
      <c r="U9692">
        <v>9650</v>
      </c>
      <c r="V9692" s="197">
        <v>761.579804086791</v>
      </c>
    </row>
    <row r="9693" spans="21:22">
      <c r="U9693">
        <v>9651</v>
      </c>
      <c r="V9693" s="197">
        <v>761.67651923169478</v>
      </c>
    </row>
    <row r="9694" spans="21:22">
      <c r="U9694">
        <v>9652</v>
      </c>
      <c r="V9694" s="197">
        <v>-169.375742407583</v>
      </c>
    </row>
    <row r="9695" spans="21:22">
      <c r="U9695">
        <v>9653</v>
      </c>
      <c r="V9695" s="197">
        <v>2003.624425273139</v>
      </c>
    </row>
    <row r="9696" spans="21:22">
      <c r="U9696">
        <v>9654</v>
      </c>
      <c r="V9696" s="197">
        <v>752.90518201019449</v>
      </c>
    </row>
    <row r="9697" spans="21:22">
      <c r="U9697">
        <v>9655</v>
      </c>
      <c r="V9697" s="197">
        <v>895.35873234380597</v>
      </c>
    </row>
    <row r="9698" spans="21:22">
      <c r="U9698">
        <v>9656</v>
      </c>
      <c r="V9698" s="197">
        <v>313.32138326371091</v>
      </c>
    </row>
    <row r="9699" spans="21:22">
      <c r="U9699">
        <v>9657</v>
      </c>
      <c r="V9699" s="197">
        <v>-621.9495406314054</v>
      </c>
    </row>
    <row r="9700" spans="21:22">
      <c r="U9700">
        <v>9658</v>
      </c>
      <c r="V9700" s="197">
        <v>-1775.1772524582018</v>
      </c>
    </row>
    <row r="9701" spans="21:22">
      <c r="U9701">
        <v>9659</v>
      </c>
      <c r="V9701" s="197">
        <v>-631.37857386433052</v>
      </c>
    </row>
    <row r="9702" spans="21:22">
      <c r="U9702">
        <v>9660</v>
      </c>
      <c r="V9702" s="197">
        <v>-383.64267728437113</v>
      </c>
    </row>
    <row r="9703" spans="21:22">
      <c r="U9703">
        <v>9661</v>
      </c>
      <c r="V9703" s="197">
        <v>-1387.8041052997316</v>
      </c>
    </row>
    <row r="9704" spans="21:22">
      <c r="U9704">
        <v>9662</v>
      </c>
      <c r="V9704" s="197">
        <v>474.46254206315712</v>
      </c>
    </row>
    <row r="9705" spans="21:22">
      <c r="U9705">
        <v>9663</v>
      </c>
      <c r="V9705" s="197">
        <v>129.77793850187734</v>
      </c>
    </row>
    <row r="9706" spans="21:22">
      <c r="U9706">
        <v>9664</v>
      </c>
      <c r="V9706" s="197">
        <v>1361.9692393459427</v>
      </c>
    </row>
    <row r="9707" spans="21:22">
      <c r="U9707">
        <v>9665</v>
      </c>
      <c r="V9707" s="197">
        <v>-883.27578322335921</v>
      </c>
    </row>
    <row r="9708" spans="21:22">
      <c r="U9708">
        <v>9666</v>
      </c>
      <c r="V9708" s="197">
        <v>695.98288733646132</v>
      </c>
    </row>
    <row r="9709" spans="21:22">
      <c r="U9709">
        <v>9667</v>
      </c>
      <c r="V9709" s="197">
        <v>360.21977320661199</v>
      </c>
    </row>
    <row r="9710" spans="21:22">
      <c r="U9710">
        <v>9668</v>
      </c>
      <c r="V9710" s="197">
        <v>-1494.726096431983</v>
      </c>
    </row>
    <row r="9711" spans="21:22">
      <c r="U9711">
        <v>9669</v>
      </c>
      <c r="V9711" s="197">
        <v>384.27960925145186</v>
      </c>
    </row>
    <row r="9712" spans="21:22">
      <c r="U9712">
        <v>9670</v>
      </c>
      <c r="V9712" s="197">
        <v>-225.96960844138408</v>
      </c>
    </row>
    <row r="9713" spans="21:22">
      <c r="U9713">
        <v>9671</v>
      </c>
      <c r="V9713" s="197">
        <v>-857.38264604002256</v>
      </c>
    </row>
    <row r="9714" spans="21:22">
      <c r="U9714">
        <v>9672</v>
      </c>
      <c r="V9714" s="197">
        <v>-3.8912579854209923</v>
      </c>
    </row>
    <row r="9715" spans="21:22">
      <c r="U9715">
        <v>9673</v>
      </c>
      <c r="V9715" s="197">
        <v>2125.1003042533189</v>
      </c>
    </row>
    <row r="9716" spans="21:22">
      <c r="U9716">
        <v>9674</v>
      </c>
      <c r="V9716" s="197">
        <v>1185.3318407887607</v>
      </c>
    </row>
    <row r="9717" spans="21:22">
      <c r="U9717">
        <v>9675</v>
      </c>
      <c r="V9717" s="197">
        <v>544.04822928561373</v>
      </c>
    </row>
    <row r="9718" spans="21:22">
      <c r="U9718">
        <v>9676</v>
      </c>
      <c r="V9718" s="197">
        <v>493.1827689334259</v>
      </c>
    </row>
    <row r="9719" spans="21:22">
      <c r="U9719">
        <v>9677</v>
      </c>
      <c r="V9719" s="197">
        <v>-248.98968031577397</v>
      </c>
    </row>
    <row r="9720" spans="21:22">
      <c r="U9720">
        <v>9678</v>
      </c>
      <c r="V9720" s="197">
        <v>-1230.186241358289</v>
      </c>
    </row>
    <row r="9721" spans="21:22">
      <c r="U9721">
        <v>9679</v>
      </c>
      <c r="V9721" s="197">
        <v>-1098.3688319031912</v>
      </c>
    </row>
    <row r="9722" spans="21:22">
      <c r="U9722">
        <v>9680</v>
      </c>
      <c r="V9722" s="197">
        <v>95.063068803716533</v>
      </c>
    </row>
    <row r="9723" spans="21:22">
      <c r="U9723">
        <v>9681</v>
      </c>
      <c r="V9723" s="197">
        <v>251.34391128733017</v>
      </c>
    </row>
    <row r="9724" spans="21:22">
      <c r="U9724">
        <v>9682</v>
      </c>
      <c r="V9724" s="197">
        <v>-194.08600036313561</v>
      </c>
    </row>
    <row r="9725" spans="21:22">
      <c r="U9725">
        <v>9683</v>
      </c>
      <c r="V9725" s="197">
        <v>-1045.0147038489006</v>
      </c>
    </row>
    <row r="9726" spans="21:22">
      <c r="U9726">
        <v>9684</v>
      </c>
      <c r="V9726" s="197">
        <v>1306.1109856240544</v>
      </c>
    </row>
    <row r="9727" spans="21:22">
      <c r="U9727">
        <v>9685</v>
      </c>
      <c r="V9727" s="197">
        <v>1074.2247202938809</v>
      </c>
    </row>
    <row r="9728" spans="21:22">
      <c r="U9728">
        <v>9686</v>
      </c>
      <c r="V9728" s="197">
        <v>1136.3821561603115</v>
      </c>
    </row>
    <row r="9729" spans="21:22">
      <c r="U9729">
        <v>9687</v>
      </c>
      <c r="V9729" s="197">
        <v>417.94078800376604</v>
      </c>
    </row>
    <row r="9730" spans="21:22">
      <c r="U9730">
        <v>9688</v>
      </c>
      <c r="V9730" s="197">
        <v>-631.3204750380221</v>
      </c>
    </row>
    <row r="9731" spans="21:22">
      <c r="U9731">
        <v>9689</v>
      </c>
      <c r="V9731" s="197">
        <v>-1384.9838906745297</v>
      </c>
    </row>
    <row r="9732" spans="21:22">
      <c r="U9732">
        <v>9690</v>
      </c>
      <c r="V9732" s="197">
        <v>-726.17353760138667</v>
      </c>
    </row>
    <row r="9733" spans="21:22">
      <c r="U9733">
        <v>9691</v>
      </c>
      <c r="V9733" s="197">
        <v>751.85726362452124</v>
      </c>
    </row>
    <row r="9734" spans="21:22">
      <c r="U9734">
        <v>9692</v>
      </c>
      <c r="V9734" s="197">
        <v>836.42227015096864</v>
      </c>
    </row>
    <row r="9735" spans="21:22">
      <c r="U9735">
        <v>9693</v>
      </c>
      <c r="V9735" s="197">
        <v>1967.5605936533536</v>
      </c>
    </row>
    <row r="9736" spans="21:22">
      <c r="U9736">
        <v>9694</v>
      </c>
      <c r="V9736" s="197">
        <v>365.43559740384717</v>
      </c>
    </row>
    <row r="9737" spans="21:22">
      <c r="U9737">
        <v>9695</v>
      </c>
      <c r="V9737" s="197">
        <v>-96.854637394428948</v>
      </c>
    </row>
    <row r="9738" spans="21:22">
      <c r="U9738">
        <v>9696</v>
      </c>
      <c r="V9738" s="197">
        <v>775.00827105544136</v>
      </c>
    </row>
    <row r="9739" spans="21:22">
      <c r="U9739">
        <v>9697</v>
      </c>
      <c r="V9739" s="197">
        <v>27.557994013450255</v>
      </c>
    </row>
    <row r="9740" spans="21:22">
      <c r="U9740">
        <v>9698</v>
      </c>
      <c r="V9740" s="197">
        <v>-189.06048914131065</v>
      </c>
    </row>
    <row r="9741" spans="21:22">
      <c r="U9741">
        <v>9699</v>
      </c>
      <c r="V9741" s="197">
        <v>1046.7488694401341</v>
      </c>
    </row>
    <row r="9742" spans="21:22">
      <c r="U9742">
        <v>9700</v>
      </c>
      <c r="V9742" s="197">
        <v>-1412.354660423101</v>
      </c>
    </row>
    <row r="9743" spans="21:22">
      <c r="U9743">
        <v>9701</v>
      </c>
      <c r="V9743" s="197">
        <v>476.90653964846882</v>
      </c>
    </row>
    <row r="9744" spans="21:22">
      <c r="U9744">
        <v>9702</v>
      </c>
      <c r="V9744" s="197">
        <v>1899.4915383629561</v>
      </c>
    </row>
    <row r="9745" spans="21:22">
      <c r="U9745">
        <v>9703</v>
      </c>
      <c r="V9745" s="197">
        <v>1689.8642932219097</v>
      </c>
    </row>
    <row r="9746" spans="21:22">
      <c r="U9746">
        <v>9704</v>
      </c>
      <c r="V9746" s="197">
        <v>-762.54876359796162</v>
      </c>
    </row>
    <row r="9747" spans="21:22">
      <c r="U9747">
        <v>9705</v>
      </c>
      <c r="V9747" s="197">
        <v>611.57873487583538</v>
      </c>
    </row>
    <row r="9748" spans="21:22">
      <c r="U9748">
        <v>9706</v>
      </c>
      <c r="V9748" s="197">
        <v>1009.1874146120088</v>
      </c>
    </row>
    <row r="9749" spans="21:22">
      <c r="U9749">
        <v>9707</v>
      </c>
      <c r="V9749" s="197">
        <v>-614.90612941833842</v>
      </c>
    </row>
    <row r="9750" spans="21:22">
      <c r="U9750">
        <v>9708</v>
      </c>
      <c r="V9750" s="197">
        <v>427.92414185457466</v>
      </c>
    </row>
    <row r="9751" spans="21:22">
      <c r="U9751">
        <v>9709</v>
      </c>
      <c r="V9751" s="197">
        <v>-1316.1591017368642</v>
      </c>
    </row>
    <row r="9752" spans="21:22">
      <c r="U9752">
        <v>9710</v>
      </c>
      <c r="V9752" s="197">
        <v>-733.06148981919773</v>
      </c>
    </row>
    <row r="9753" spans="21:22">
      <c r="U9753">
        <v>9711</v>
      </c>
      <c r="V9753" s="197">
        <v>217.05632047864799</v>
      </c>
    </row>
    <row r="9754" spans="21:22">
      <c r="U9754">
        <v>9712</v>
      </c>
      <c r="V9754" s="197">
        <v>1832.9596218065894</v>
      </c>
    </row>
    <row r="9755" spans="21:22">
      <c r="U9755">
        <v>9713</v>
      </c>
      <c r="V9755" s="197">
        <v>470.56183743782083</v>
      </c>
    </row>
    <row r="9756" spans="21:22">
      <c r="U9756">
        <v>9714</v>
      </c>
      <c r="V9756" s="197">
        <v>262.06637608812969</v>
      </c>
    </row>
    <row r="9757" spans="21:22">
      <c r="U9757">
        <v>9715</v>
      </c>
      <c r="V9757" s="197">
        <v>931.67601118962239</v>
      </c>
    </row>
    <row r="9758" spans="21:22">
      <c r="U9758">
        <v>9716</v>
      </c>
      <c r="V9758" s="197">
        <v>798.96155646971488</v>
      </c>
    </row>
    <row r="9759" spans="21:22">
      <c r="U9759">
        <v>9717</v>
      </c>
      <c r="V9759" s="197">
        <v>744.5378531466265</v>
      </c>
    </row>
    <row r="9760" spans="21:22">
      <c r="U9760">
        <v>9718</v>
      </c>
      <c r="V9760" s="197">
        <v>201.31792961039491</v>
      </c>
    </row>
    <row r="9761" spans="21:22">
      <c r="U9761">
        <v>9719</v>
      </c>
      <c r="V9761" s="197">
        <v>879.09760770414164</v>
      </c>
    </row>
    <row r="9762" spans="21:22">
      <c r="U9762">
        <v>9720</v>
      </c>
      <c r="V9762" s="197">
        <v>-47.640197446010603</v>
      </c>
    </row>
    <row r="9763" spans="21:22">
      <c r="U9763">
        <v>9721</v>
      </c>
      <c r="V9763" s="197">
        <v>968.81670417209534</v>
      </c>
    </row>
    <row r="9764" spans="21:22">
      <c r="U9764">
        <v>9722</v>
      </c>
      <c r="V9764" s="197">
        <v>712.76274908762525</v>
      </c>
    </row>
    <row r="9765" spans="21:22">
      <c r="U9765">
        <v>9723</v>
      </c>
      <c r="V9765" s="197">
        <v>334.53869736348543</v>
      </c>
    </row>
    <row r="9766" spans="21:22">
      <c r="U9766">
        <v>9724</v>
      </c>
      <c r="V9766" s="197">
        <v>1076.1029149550734</v>
      </c>
    </row>
    <row r="9767" spans="21:22">
      <c r="U9767">
        <v>9725</v>
      </c>
      <c r="V9767" s="197">
        <v>-1487.7843879563231</v>
      </c>
    </row>
    <row r="9768" spans="21:22">
      <c r="U9768">
        <v>9726</v>
      </c>
      <c r="V9768" s="197">
        <v>451.73208865604835</v>
      </c>
    </row>
    <row r="9769" spans="21:22">
      <c r="U9769">
        <v>9727</v>
      </c>
      <c r="V9769" s="197">
        <v>-226.30867438043055</v>
      </c>
    </row>
    <row r="9770" spans="21:22">
      <c r="U9770">
        <v>9728</v>
      </c>
      <c r="V9770" s="197">
        <v>-1479.5645157089555</v>
      </c>
    </row>
    <row r="9771" spans="21:22">
      <c r="U9771">
        <v>9729</v>
      </c>
      <c r="V9771" s="197">
        <v>1046.422315003163</v>
      </c>
    </row>
    <row r="9772" spans="21:22">
      <c r="U9772">
        <v>9730</v>
      </c>
      <c r="V9772" s="197">
        <v>1195.5993756192072</v>
      </c>
    </row>
    <row r="9773" spans="21:22">
      <c r="U9773">
        <v>9731</v>
      </c>
      <c r="V9773" s="197">
        <v>780.5198200605173</v>
      </c>
    </row>
    <row r="9774" spans="21:22">
      <c r="U9774">
        <v>9732</v>
      </c>
      <c r="V9774" s="197">
        <v>633.58747795358227</v>
      </c>
    </row>
    <row r="9775" spans="21:22">
      <c r="U9775">
        <v>9733</v>
      </c>
      <c r="V9775" s="197">
        <v>-180.61316397072318</v>
      </c>
    </row>
    <row r="9776" spans="21:22">
      <c r="U9776">
        <v>9734</v>
      </c>
      <c r="V9776" s="197">
        <v>1406.5560284136195</v>
      </c>
    </row>
    <row r="9777" spans="21:22">
      <c r="U9777">
        <v>9735</v>
      </c>
      <c r="V9777" s="197">
        <v>-237.85229546937177</v>
      </c>
    </row>
    <row r="9778" spans="21:22">
      <c r="U9778">
        <v>9736</v>
      </c>
      <c r="V9778" s="197">
        <v>623.7610939221554</v>
      </c>
    </row>
    <row r="9779" spans="21:22">
      <c r="U9779">
        <v>9737</v>
      </c>
      <c r="V9779" s="197">
        <v>1031.3430690498349</v>
      </c>
    </row>
    <row r="9780" spans="21:22">
      <c r="U9780">
        <v>9738</v>
      </c>
      <c r="V9780" s="197">
        <v>-304.51694212994801</v>
      </c>
    </row>
    <row r="9781" spans="21:22">
      <c r="U9781">
        <v>9739</v>
      </c>
      <c r="V9781" s="197">
        <v>1488.272679634191</v>
      </c>
    </row>
    <row r="9782" spans="21:22">
      <c r="U9782">
        <v>9740</v>
      </c>
      <c r="V9782" s="197">
        <v>927.04043559825368</v>
      </c>
    </row>
    <row r="9783" spans="21:22">
      <c r="U9783">
        <v>9741</v>
      </c>
      <c r="V9783" s="197">
        <v>1141.031607789371</v>
      </c>
    </row>
    <row r="9784" spans="21:22">
      <c r="U9784">
        <v>9742</v>
      </c>
      <c r="V9784" s="197">
        <v>668.0296362525562</v>
      </c>
    </row>
    <row r="9785" spans="21:22">
      <c r="U9785">
        <v>9743</v>
      </c>
      <c r="V9785" s="197">
        <v>314.08794045766388</v>
      </c>
    </row>
    <row r="9786" spans="21:22">
      <c r="U9786">
        <v>9744</v>
      </c>
      <c r="V9786" s="197">
        <v>-1594.5430228135231</v>
      </c>
    </row>
    <row r="9787" spans="21:22">
      <c r="U9787">
        <v>9745</v>
      </c>
      <c r="V9787" s="197">
        <v>-681.20198606616464</v>
      </c>
    </row>
    <row r="9788" spans="21:22">
      <c r="U9788">
        <v>9746</v>
      </c>
      <c r="V9788" s="197">
        <v>-1285.5677759303126</v>
      </c>
    </row>
    <row r="9789" spans="21:22">
      <c r="U9789">
        <v>9747</v>
      </c>
      <c r="V9789" s="197">
        <v>144.439601518649</v>
      </c>
    </row>
    <row r="9790" spans="21:22">
      <c r="U9790">
        <v>9748</v>
      </c>
      <c r="V9790" s="197">
        <v>-795.33893999731526</v>
      </c>
    </row>
    <row r="9791" spans="21:22">
      <c r="U9791">
        <v>9749</v>
      </c>
      <c r="V9791" s="197">
        <v>-1520.9399551308647</v>
      </c>
    </row>
    <row r="9792" spans="21:22">
      <c r="U9792">
        <v>9750</v>
      </c>
      <c r="V9792" s="197">
        <v>117.91556724075124</v>
      </c>
    </row>
    <row r="9793" spans="21:22">
      <c r="U9793">
        <v>9751</v>
      </c>
      <c r="V9793" s="197">
        <v>950.39129484285513</v>
      </c>
    </row>
    <row r="9794" spans="21:22">
      <c r="U9794">
        <v>9752</v>
      </c>
      <c r="V9794" s="197">
        <v>563.13206385949718</v>
      </c>
    </row>
    <row r="9795" spans="21:22">
      <c r="U9795">
        <v>9753</v>
      </c>
      <c r="V9795" s="197">
        <v>461.24690825129943</v>
      </c>
    </row>
    <row r="9796" spans="21:22">
      <c r="U9796">
        <v>9754</v>
      </c>
      <c r="V9796" s="197">
        <v>1048.9529961209041</v>
      </c>
    </row>
    <row r="9797" spans="21:22">
      <c r="U9797">
        <v>9755</v>
      </c>
      <c r="V9797" s="197">
        <v>202.57195340063771</v>
      </c>
    </row>
    <row r="9798" spans="21:22">
      <c r="U9798">
        <v>9756</v>
      </c>
      <c r="V9798" s="197">
        <v>1666.539464446412</v>
      </c>
    </row>
    <row r="9799" spans="21:22">
      <c r="U9799">
        <v>9757</v>
      </c>
      <c r="V9799" s="197">
        <v>1665.3959264160692</v>
      </c>
    </row>
    <row r="9800" spans="21:22">
      <c r="U9800">
        <v>9758</v>
      </c>
      <c r="V9800" s="197">
        <v>-1646.8418383789653</v>
      </c>
    </row>
    <row r="9801" spans="21:22">
      <c r="U9801">
        <v>9759</v>
      </c>
      <c r="V9801" s="197">
        <v>-1400.9111902017551</v>
      </c>
    </row>
    <row r="9802" spans="21:22">
      <c r="U9802">
        <v>9760</v>
      </c>
      <c r="V9802" s="197">
        <v>-1271.7568703645236</v>
      </c>
    </row>
    <row r="9803" spans="21:22">
      <c r="U9803">
        <v>9761</v>
      </c>
      <c r="V9803" s="197">
        <v>-1420.5431653931364</v>
      </c>
    </row>
    <row r="9804" spans="21:22">
      <c r="U9804">
        <v>9762</v>
      </c>
      <c r="V9804" s="197">
        <v>925.97640287341164</v>
      </c>
    </row>
    <row r="9805" spans="21:22">
      <c r="U9805">
        <v>9763</v>
      </c>
      <c r="V9805" s="197">
        <v>-66.676739492405659</v>
      </c>
    </row>
    <row r="9806" spans="21:22">
      <c r="U9806">
        <v>9764</v>
      </c>
      <c r="V9806" s="197">
        <v>-904.57450756538901</v>
      </c>
    </row>
    <row r="9807" spans="21:22">
      <c r="U9807">
        <v>9765</v>
      </c>
      <c r="V9807" s="197">
        <v>1074.2333706354539</v>
      </c>
    </row>
    <row r="9808" spans="21:22">
      <c r="U9808">
        <v>9766</v>
      </c>
      <c r="V9808" s="197">
        <v>-1092.3899901149857</v>
      </c>
    </row>
    <row r="9809" spans="21:22">
      <c r="U9809">
        <v>9767</v>
      </c>
      <c r="V9809" s="197">
        <v>779.6012964900201</v>
      </c>
    </row>
    <row r="9810" spans="21:22">
      <c r="U9810">
        <v>9768</v>
      </c>
      <c r="V9810" s="197">
        <v>283.57248082638932</v>
      </c>
    </row>
    <row r="9811" spans="21:22">
      <c r="U9811">
        <v>9769</v>
      </c>
      <c r="V9811" s="197">
        <v>1375.6476863269806</v>
      </c>
    </row>
    <row r="9812" spans="21:22">
      <c r="U9812">
        <v>9770</v>
      </c>
      <c r="V9812" s="197">
        <v>-1565.138250642636</v>
      </c>
    </row>
    <row r="9813" spans="21:22">
      <c r="U9813">
        <v>9771</v>
      </c>
      <c r="V9813" s="197">
        <v>52.442402244319467</v>
      </c>
    </row>
    <row r="9814" spans="21:22">
      <c r="U9814">
        <v>9772</v>
      </c>
      <c r="V9814" s="197">
        <v>992.31178183133488</v>
      </c>
    </row>
    <row r="9815" spans="21:22">
      <c r="U9815">
        <v>9773</v>
      </c>
      <c r="V9815" s="197">
        <v>-29.278648506486434</v>
      </c>
    </row>
    <row r="9816" spans="21:22">
      <c r="U9816">
        <v>9774</v>
      </c>
      <c r="V9816" s="197">
        <v>-833.32479567000564</v>
      </c>
    </row>
    <row r="9817" spans="21:22">
      <c r="U9817">
        <v>9775</v>
      </c>
      <c r="V9817" s="197">
        <v>317.09407825273468</v>
      </c>
    </row>
    <row r="9818" spans="21:22">
      <c r="U9818">
        <v>9776</v>
      </c>
      <c r="V9818" s="197">
        <v>-1750.0791429854185</v>
      </c>
    </row>
    <row r="9819" spans="21:22">
      <c r="U9819">
        <v>9777</v>
      </c>
      <c r="V9819" s="197">
        <v>-16.313354804924572</v>
      </c>
    </row>
    <row r="9820" spans="21:22">
      <c r="U9820">
        <v>9778</v>
      </c>
      <c r="V9820" s="197">
        <v>-1241.2448113438443</v>
      </c>
    </row>
    <row r="9821" spans="21:22">
      <c r="U9821">
        <v>9779</v>
      </c>
      <c r="V9821" s="197">
        <v>-819.12630446729213</v>
      </c>
    </row>
    <row r="9822" spans="21:22">
      <c r="U9822">
        <v>9780</v>
      </c>
      <c r="V9822" s="197">
        <v>587.76323117943821</v>
      </c>
    </row>
    <row r="9823" spans="21:22">
      <c r="U9823">
        <v>9781</v>
      </c>
      <c r="V9823" s="197">
        <v>547.52921441860099</v>
      </c>
    </row>
    <row r="9824" spans="21:22">
      <c r="U9824">
        <v>9782</v>
      </c>
      <c r="V9824" s="197">
        <v>-1846.4013006483281</v>
      </c>
    </row>
    <row r="9825" spans="21:22">
      <c r="U9825">
        <v>9783</v>
      </c>
      <c r="V9825" s="197">
        <v>84.277382351810886</v>
      </c>
    </row>
    <row r="9826" spans="21:22">
      <c r="U9826">
        <v>9784</v>
      </c>
      <c r="V9826" s="197">
        <v>-911.71023135124778</v>
      </c>
    </row>
    <row r="9827" spans="21:22">
      <c r="U9827">
        <v>9785</v>
      </c>
      <c r="V9827" s="197">
        <v>-796.28669293333201</v>
      </c>
    </row>
    <row r="9828" spans="21:22">
      <c r="U9828">
        <v>9786</v>
      </c>
      <c r="V9828" s="197">
        <v>1089.9718428966687</v>
      </c>
    </row>
    <row r="9829" spans="21:22">
      <c r="U9829">
        <v>9787</v>
      </c>
      <c r="V9829" s="197">
        <v>-560.11045082990358</v>
      </c>
    </row>
    <row r="9830" spans="21:22">
      <c r="U9830">
        <v>9788</v>
      </c>
      <c r="V9830" s="197">
        <v>-1344.3071876134413</v>
      </c>
    </row>
    <row r="9831" spans="21:22">
      <c r="U9831">
        <v>9789</v>
      </c>
      <c r="V9831" s="197">
        <v>-1620.4747600423575</v>
      </c>
    </row>
    <row r="9832" spans="21:22">
      <c r="U9832">
        <v>9790</v>
      </c>
      <c r="V9832" s="197">
        <v>-208.60499721083858</v>
      </c>
    </row>
    <row r="9833" spans="21:22">
      <c r="U9833">
        <v>9791</v>
      </c>
      <c r="V9833" s="197">
        <v>-985.65537551918328</v>
      </c>
    </row>
    <row r="9834" spans="21:22">
      <c r="U9834">
        <v>9792</v>
      </c>
      <c r="V9834" s="197">
        <v>405.52386236362327</v>
      </c>
    </row>
    <row r="9835" spans="21:22">
      <c r="U9835">
        <v>9793</v>
      </c>
      <c r="V9835" s="197">
        <v>1446.117624505164</v>
      </c>
    </row>
    <row r="9836" spans="21:22">
      <c r="U9836">
        <v>9794</v>
      </c>
      <c r="V9836" s="197">
        <v>-94.959880096648334</v>
      </c>
    </row>
    <row r="9837" spans="21:22">
      <c r="U9837">
        <v>9795</v>
      </c>
      <c r="V9837" s="197">
        <v>1971.6380211442647</v>
      </c>
    </row>
    <row r="9838" spans="21:22">
      <c r="U9838">
        <v>9796</v>
      </c>
      <c r="V9838" s="197">
        <v>989.27357937550073</v>
      </c>
    </row>
    <row r="9839" spans="21:22">
      <c r="U9839">
        <v>9797</v>
      </c>
      <c r="V9839" s="197">
        <v>453.07201805597498</v>
      </c>
    </row>
    <row r="9840" spans="21:22">
      <c r="U9840">
        <v>9798</v>
      </c>
      <c r="V9840" s="197">
        <v>667.82128788583032</v>
      </c>
    </row>
    <row r="9841" spans="21:22">
      <c r="U9841">
        <v>9799</v>
      </c>
      <c r="V9841" s="197">
        <v>-528.8446008399917</v>
      </c>
    </row>
    <row r="9842" spans="21:22">
      <c r="U9842">
        <v>9800</v>
      </c>
      <c r="V9842" s="197">
        <v>-1745.2685818384057</v>
      </c>
    </row>
    <row r="9843" spans="21:22">
      <c r="U9843">
        <v>9801</v>
      </c>
      <c r="V9843" s="197">
        <v>875.03499999121914</v>
      </c>
    </row>
    <row r="9844" spans="21:22">
      <c r="U9844">
        <v>9802</v>
      </c>
      <c r="V9844" s="197">
        <v>-340.38757558025486</v>
      </c>
    </row>
    <row r="9845" spans="21:22">
      <c r="U9845">
        <v>9803</v>
      </c>
      <c r="V9845" s="197">
        <v>519.94854560396618</v>
      </c>
    </row>
    <row r="9846" spans="21:22">
      <c r="U9846">
        <v>9804</v>
      </c>
      <c r="V9846" s="197">
        <v>412.50791892936354</v>
      </c>
    </row>
    <row r="9847" spans="21:22">
      <c r="U9847">
        <v>9805</v>
      </c>
      <c r="V9847" s="197">
        <v>41.62271948807841</v>
      </c>
    </row>
    <row r="9848" spans="21:22">
      <c r="U9848">
        <v>9806</v>
      </c>
      <c r="V9848" s="197">
        <v>1439.2705200287212</v>
      </c>
    </row>
    <row r="9849" spans="21:22">
      <c r="U9849">
        <v>9807</v>
      </c>
      <c r="V9849" s="197">
        <v>1226.1476139241779</v>
      </c>
    </row>
    <row r="9850" spans="21:22">
      <c r="U9850">
        <v>9808</v>
      </c>
      <c r="V9850" s="197">
        <v>99.502731229771186</v>
      </c>
    </row>
    <row r="9851" spans="21:22">
      <c r="U9851">
        <v>9809</v>
      </c>
      <c r="V9851" s="197">
        <v>1800.976755209186</v>
      </c>
    </row>
    <row r="9852" spans="21:22">
      <c r="U9852">
        <v>9810</v>
      </c>
      <c r="V9852" s="197">
        <v>-365.57271542591889</v>
      </c>
    </row>
    <row r="9853" spans="21:22">
      <c r="U9853">
        <v>9811</v>
      </c>
      <c r="V9853" s="197">
        <v>236.98812528193312</v>
      </c>
    </row>
    <row r="9854" spans="21:22">
      <c r="U9854">
        <v>9812</v>
      </c>
      <c r="V9854" s="197">
        <v>934.3066096670525</v>
      </c>
    </row>
    <row r="9855" spans="21:22">
      <c r="U9855">
        <v>9813</v>
      </c>
      <c r="V9855" s="197">
        <v>-1130.3099492775289</v>
      </c>
    </row>
    <row r="9856" spans="21:22">
      <c r="U9856">
        <v>9814</v>
      </c>
      <c r="V9856" s="197">
        <v>-1781.9738302475344</v>
      </c>
    </row>
    <row r="9857" spans="21:22">
      <c r="U9857">
        <v>9815</v>
      </c>
      <c r="V9857" s="197">
        <v>374.26280339539693</v>
      </c>
    </row>
    <row r="9858" spans="21:22">
      <c r="U9858">
        <v>9816</v>
      </c>
      <c r="V9858" s="197">
        <v>-1630.8474432935645</v>
      </c>
    </row>
    <row r="9859" spans="21:22">
      <c r="U9859">
        <v>9817</v>
      </c>
      <c r="V9859" s="197">
        <v>-99.44869439861273</v>
      </c>
    </row>
    <row r="9860" spans="21:22">
      <c r="U9860">
        <v>9818</v>
      </c>
      <c r="V9860" s="197">
        <v>2147.1048928445557</v>
      </c>
    </row>
    <row r="9861" spans="21:22">
      <c r="U9861">
        <v>9819</v>
      </c>
      <c r="V9861" s="197">
        <v>146.16626077817153</v>
      </c>
    </row>
    <row r="9862" spans="21:22">
      <c r="U9862">
        <v>9820</v>
      </c>
      <c r="V9862" s="197">
        <v>-540.43160548782271</v>
      </c>
    </row>
    <row r="9863" spans="21:22">
      <c r="U9863">
        <v>9821</v>
      </c>
      <c r="V9863" s="197">
        <v>238.28916414359813</v>
      </c>
    </row>
    <row r="9864" spans="21:22">
      <c r="U9864">
        <v>9822</v>
      </c>
      <c r="V9864" s="197">
        <v>-127.03638778664697</v>
      </c>
    </row>
    <row r="9865" spans="21:22">
      <c r="U9865">
        <v>9823</v>
      </c>
      <c r="V9865" s="197">
        <v>1053.2387840672395</v>
      </c>
    </row>
    <row r="9866" spans="21:22">
      <c r="U9866">
        <v>9824</v>
      </c>
      <c r="V9866" s="197">
        <v>1314.2303143583185</v>
      </c>
    </row>
    <row r="9867" spans="21:22">
      <c r="U9867">
        <v>9825</v>
      </c>
      <c r="V9867" s="197">
        <v>-164.3970136526213</v>
      </c>
    </row>
    <row r="9868" spans="21:22">
      <c r="U9868">
        <v>9826</v>
      </c>
      <c r="V9868" s="197">
        <v>301.25310068139686</v>
      </c>
    </row>
    <row r="9869" spans="21:22">
      <c r="U9869">
        <v>9827</v>
      </c>
      <c r="V9869" s="197">
        <v>-1691.8803366206073</v>
      </c>
    </row>
    <row r="9870" spans="21:22">
      <c r="U9870">
        <v>9828</v>
      </c>
      <c r="V9870" s="197">
        <v>-2075.0405528079164</v>
      </c>
    </row>
    <row r="9871" spans="21:22">
      <c r="U9871">
        <v>9829</v>
      </c>
      <c r="V9871" s="197">
        <v>423.89511868269847</v>
      </c>
    </row>
    <row r="9872" spans="21:22">
      <c r="U9872">
        <v>9830</v>
      </c>
      <c r="V9872" s="197">
        <v>1592.2716900382802</v>
      </c>
    </row>
    <row r="9873" spans="21:22">
      <c r="U9873">
        <v>9831</v>
      </c>
      <c r="V9873" s="197">
        <v>479.55624405480756</v>
      </c>
    </row>
    <row r="9874" spans="21:22">
      <c r="U9874">
        <v>9832</v>
      </c>
      <c r="V9874" s="197">
        <v>840.03483520709847</v>
      </c>
    </row>
    <row r="9875" spans="21:22">
      <c r="U9875">
        <v>9833</v>
      </c>
      <c r="V9875" s="197">
        <v>-616.82538963463094</v>
      </c>
    </row>
    <row r="9876" spans="21:22">
      <c r="U9876">
        <v>9834</v>
      </c>
      <c r="V9876" s="197">
        <v>318.43413104925088</v>
      </c>
    </row>
    <row r="9877" spans="21:22">
      <c r="U9877">
        <v>9835</v>
      </c>
      <c r="V9877" s="197">
        <v>738.35227391899616</v>
      </c>
    </row>
    <row r="9878" spans="21:22">
      <c r="U9878">
        <v>9836</v>
      </c>
      <c r="V9878" s="197">
        <v>192.87394385323421</v>
      </c>
    </row>
    <row r="9879" spans="21:22">
      <c r="U9879">
        <v>9837</v>
      </c>
      <c r="V9879" s="197">
        <v>402.49264264191089</v>
      </c>
    </row>
    <row r="9880" spans="21:22">
      <c r="U9880">
        <v>9838</v>
      </c>
      <c r="V9880" s="197">
        <v>-1441.0731460472177</v>
      </c>
    </row>
    <row r="9881" spans="21:22">
      <c r="U9881">
        <v>9839</v>
      </c>
      <c r="V9881" s="197">
        <v>-1568.136019368018</v>
      </c>
    </row>
    <row r="9882" spans="21:22">
      <c r="U9882">
        <v>9840</v>
      </c>
      <c r="V9882" s="197">
        <v>-873.23205800687947</v>
      </c>
    </row>
    <row r="9883" spans="21:22">
      <c r="U9883">
        <v>9841</v>
      </c>
      <c r="V9883" s="197">
        <v>302.47825782802329</v>
      </c>
    </row>
    <row r="9884" spans="21:22">
      <c r="U9884">
        <v>9842</v>
      </c>
      <c r="V9884" s="197">
        <v>552.65944429516458</v>
      </c>
    </row>
    <row r="9885" spans="21:22">
      <c r="U9885">
        <v>9843</v>
      </c>
      <c r="V9885" s="197">
        <v>-1517.7514787882546</v>
      </c>
    </row>
    <row r="9886" spans="21:22">
      <c r="U9886">
        <v>9844</v>
      </c>
      <c r="V9886" s="197">
        <v>1534.8381371418925</v>
      </c>
    </row>
    <row r="9887" spans="21:22">
      <c r="U9887">
        <v>9845</v>
      </c>
      <c r="V9887" s="197">
        <v>-89.310270055286878</v>
      </c>
    </row>
    <row r="9888" spans="21:22">
      <c r="U9888">
        <v>9846</v>
      </c>
      <c r="V9888" s="197">
        <v>460.70129270680798</v>
      </c>
    </row>
    <row r="9889" spans="21:22">
      <c r="U9889">
        <v>9847</v>
      </c>
      <c r="V9889" s="197">
        <v>-397.96876146165459</v>
      </c>
    </row>
    <row r="9890" spans="21:22">
      <c r="U9890">
        <v>9848</v>
      </c>
      <c r="V9890" s="197">
        <v>-1389.3207652795056</v>
      </c>
    </row>
    <row r="9891" spans="21:22">
      <c r="U9891">
        <v>9849</v>
      </c>
      <c r="V9891" s="197">
        <v>-1126.1511166832074</v>
      </c>
    </row>
    <row r="9892" spans="21:22">
      <c r="U9892">
        <v>9850</v>
      </c>
      <c r="V9892" s="197">
        <v>499.10616857160062</v>
      </c>
    </row>
    <row r="9893" spans="21:22">
      <c r="U9893">
        <v>9851</v>
      </c>
      <c r="V9893" s="197">
        <v>301.11058973610602</v>
      </c>
    </row>
    <row r="9894" spans="21:22">
      <c r="U9894">
        <v>9852</v>
      </c>
      <c r="V9894" s="197">
        <v>39.577660397069614</v>
      </c>
    </row>
    <row r="9895" spans="21:22">
      <c r="U9895">
        <v>9853</v>
      </c>
      <c r="V9895" s="197">
        <v>-1488.0176002398007</v>
      </c>
    </row>
    <row r="9896" spans="21:22">
      <c r="U9896">
        <v>9854</v>
      </c>
      <c r="V9896" s="197">
        <v>-429.56683933165431</v>
      </c>
    </row>
    <row r="9897" spans="21:22">
      <c r="U9897">
        <v>9855</v>
      </c>
      <c r="V9897" s="197">
        <v>846.91646495631016</v>
      </c>
    </row>
    <row r="9898" spans="21:22">
      <c r="U9898">
        <v>9856</v>
      </c>
      <c r="V9898" s="197">
        <v>-756.22957645066981</v>
      </c>
    </row>
    <row r="9899" spans="21:22">
      <c r="U9899">
        <v>9857</v>
      </c>
      <c r="V9899" s="197">
        <v>1173.2211083933873</v>
      </c>
    </row>
    <row r="9900" spans="21:22">
      <c r="U9900">
        <v>9858</v>
      </c>
      <c r="V9900" s="197">
        <v>-1066.8722881175418</v>
      </c>
    </row>
    <row r="9901" spans="21:22">
      <c r="U9901">
        <v>9859</v>
      </c>
      <c r="V9901" s="197">
        <v>1529.9770581200773</v>
      </c>
    </row>
    <row r="9902" spans="21:22">
      <c r="U9902">
        <v>9860</v>
      </c>
      <c r="V9902" s="197">
        <v>981.9275816945426</v>
      </c>
    </row>
    <row r="9903" spans="21:22">
      <c r="U9903">
        <v>9861</v>
      </c>
      <c r="V9903" s="197">
        <v>1042.3587405449603</v>
      </c>
    </row>
    <row r="9904" spans="21:22">
      <c r="U9904">
        <v>9862</v>
      </c>
      <c r="V9904" s="197">
        <v>-421.48846999202027</v>
      </c>
    </row>
    <row r="9905" spans="21:22">
      <c r="U9905">
        <v>9863</v>
      </c>
      <c r="V9905" s="197">
        <v>1254.3713764541656</v>
      </c>
    </row>
    <row r="9906" spans="21:22">
      <c r="U9906">
        <v>9864</v>
      </c>
      <c r="V9906" s="197">
        <v>637.74730179560765</v>
      </c>
    </row>
    <row r="9907" spans="21:22">
      <c r="U9907">
        <v>9865</v>
      </c>
      <c r="V9907" s="197">
        <v>-355.50645860289052</v>
      </c>
    </row>
    <row r="9908" spans="21:22">
      <c r="U9908">
        <v>9866</v>
      </c>
      <c r="V9908" s="197">
        <v>620.98624214668962</v>
      </c>
    </row>
    <row r="9909" spans="21:22">
      <c r="U9909">
        <v>9867</v>
      </c>
      <c r="V9909" s="197">
        <v>-1815.129970219115</v>
      </c>
    </row>
    <row r="9910" spans="21:22">
      <c r="U9910">
        <v>9868</v>
      </c>
      <c r="V9910" s="197">
        <v>1360.191218172668</v>
      </c>
    </row>
    <row r="9911" spans="21:22">
      <c r="U9911">
        <v>9869</v>
      </c>
      <c r="V9911" s="197">
        <v>-313.82294194780059</v>
      </c>
    </row>
    <row r="9912" spans="21:22">
      <c r="U9912">
        <v>9870</v>
      </c>
      <c r="V9912" s="197">
        <v>1137.7126094122609</v>
      </c>
    </row>
    <row r="9913" spans="21:22">
      <c r="U9913">
        <v>9871</v>
      </c>
      <c r="V9913" s="197">
        <v>232.49263513831528</v>
      </c>
    </row>
    <row r="9914" spans="21:22">
      <c r="U9914">
        <v>9872</v>
      </c>
      <c r="V9914" s="197">
        <v>526.98237010521484</v>
      </c>
    </row>
    <row r="9915" spans="21:22">
      <c r="U9915">
        <v>9873</v>
      </c>
      <c r="V9915" s="197">
        <v>538.25163045734143</v>
      </c>
    </row>
    <row r="9916" spans="21:22">
      <c r="U9916">
        <v>9874</v>
      </c>
      <c r="V9916" s="197">
        <v>490.32769489883964</v>
      </c>
    </row>
    <row r="9917" spans="21:22">
      <c r="U9917">
        <v>9875</v>
      </c>
      <c r="V9917" s="197">
        <v>-529.07705529923032</v>
      </c>
    </row>
    <row r="9918" spans="21:22">
      <c r="U9918">
        <v>9876</v>
      </c>
      <c r="V9918" s="197">
        <v>407.39543605761196</v>
      </c>
    </row>
    <row r="9919" spans="21:22">
      <c r="U9919">
        <v>9877</v>
      </c>
      <c r="V9919" s="197">
        <v>-26.940637470073838</v>
      </c>
    </row>
    <row r="9920" spans="21:22">
      <c r="U9920">
        <v>9878</v>
      </c>
      <c r="V9920" s="197">
        <v>-718.6808198212816</v>
      </c>
    </row>
    <row r="9921" spans="21:22">
      <c r="U9921">
        <v>9879</v>
      </c>
      <c r="V9921" s="197">
        <v>92.433446453363942</v>
      </c>
    </row>
    <row r="9922" spans="21:22">
      <c r="U9922">
        <v>9880</v>
      </c>
      <c r="V9922" s="197">
        <v>1771.3800195847593</v>
      </c>
    </row>
    <row r="9923" spans="21:22">
      <c r="U9923">
        <v>9881</v>
      </c>
      <c r="V9923" s="197">
        <v>1079.2809718153212</v>
      </c>
    </row>
    <row r="9924" spans="21:22">
      <c r="U9924">
        <v>9882</v>
      </c>
      <c r="V9924" s="197">
        <v>279.51822823297232</v>
      </c>
    </row>
    <row r="9925" spans="21:22">
      <c r="U9925">
        <v>9883</v>
      </c>
      <c r="V9925" s="197">
        <v>968.36081993416906</v>
      </c>
    </row>
    <row r="9926" spans="21:22">
      <c r="U9926">
        <v>9884</v>
      </c>
      <c r="V9926" s="197">
        <v>-280.27767284185069</v>
      </c>
    </row>
    <row r="9927" spans="21:22">
      <c r="U9927">
        <v>9885</v>
      </c>
      <c r="V9927" s="197">
        <v>1434.6005898793346</v>
      </c>
    </row>
    <row r="9928" spans="21:22">
      <c r="U9928">
        <v>9886</v>
      </c>
      <c r="V9928" s="197">
        <v>944.62265206335405</v>
      </c>
    </row>
    <row r="9929" spans="21:22">
      <c r="U9929">
        <v>9887</v>
      </c>
      <c r="V9929" s="197">
        <v>-527.14555983707146</v>
      </c>
    </row>
    <row r="9930" spans="21:22">
      <c r="U9930">
        <v>9888</v>
      </c>
      <c r="V9930" s="197">
        <v>-795.04474484373304</v>
      </c>
    </row>
    <row r="9931" spans="21:22">
      <c r="U9931">
        <v>9889</v>
      </c>
      <c r="V9931" s="197">
        <v>-54.204895450272545</v>
      </c>
    </row>
    <row r="9932" spans="21:22">
      <c r="U9932">
        <v>9890</v>
      </c>
      <c r="V9932" s="197">
        <v>210.91048950585127</v>
      </c>
    </row>
    <row r="9933" spans="21:22">
      <c r="U9933">
        <v>9891</v>
      </c>
      <c r="V9933" s="197">
        <v>463.15003659292483</v>
      </c>
    </row>
    <row r="9934" spans="21:22">
      <c r="U9934">
        <v>9892</v>
      </c>
      <c r="V9934" s="197">
        <v>-1157.5148300786448</v>
      </c>
    </row>
    <row r="9935" spans="21:22">
      <c r="U9935">
        <v>9893</v>
      </c>
      <c r="V9935" s="197">
        <v>-2013.0016009325848</v>
      </c>
    </row>
    <row r="9936" spans="21:22">
      <c r="U9936">
        <v>9894</v>
      </c>
      <c r="V9936" s="197">
        <v>-9.8211587388860266E-2</v>
      </c>
    </row>
    <row r="9937" spans="21:22">
      <c r="U9937">
        <v>9895</v>
      </c>
      <c r="V9937" s="197">
        <v>-784.6508038209704</v>
      </c>
    </row>
    <row r="9938" spans="21:22">
      <c r="U9938">
        <v>9896</v>
      </c>
      <c r="V9938" s="197">
        <v>1379.9001897382484</v>
      </c>
    </row>
    <row r="9939" spans="21:22">
      <c r="U9939">
        <v>9897</v>
      </c>
      <c r="V9939" s="197">
        <v>-636.18085180362414</v>
      </c>
    </row>
    <row r="9940" spans="21:22">
      <c r="U9940">
        <v>9898</v>
      </c>
      <c r="V9940" s="197">
        <v>-121.16303970306066</v>
      </c>
    </row>
    <row r="9941" spans="21:22">
      <c r="U9941">
        <v>9899</v>
      </c>
      <c r="V9941" s="197">
        <v>52.7768960964559</v>
      </c>
    </row>
    <row r="9942" spans="21:22">
      <c r="U9942">
        <v>9900</v>
      </c>
      <c r="V9942" s="197">
        <v>-387.33623456474186</v>
      </c>
    </row>
    <row r="9943" spans="21:22">
      <c r="U9943">
        <v>9901</v>
      </c>
      <c r="V9943" s="197">
        <v>80.461309065002467</v>
      </c>
    </row>
    <row r="9944" spans="21:22">
      <c r="U9944">
        <v>9902</v>
      </c>
      <c r="V9944" s="197">
        <v>-664.04614440086789</v>
      </c>
    </row>
    <row r="9945" spans="21:22">
      <c r="U9945">
        <v>9903</v>
      </c>
      <c r="V9945" s="197">
        <v>1790.2326503278844</v>
      </c>
    </row>
    <row r="9946" spans="21:22">
      <c r="U9946">
        <v>9904</v>
      </c>
      <c r="V9946" s="197">
        <v>292.27103497038786</v>
      </c>
    </row>
    <row r="9947" spans="21:22">
      <c r="U9947">
        <v>9905</v>
      </c>
      <c r="V9947" s="197">
        <v>-461.30167404173659</v>
      </c>
    </row>
    <row r="9948" spans="21:22">
      <c r="U9948">
        <v>9906</v>
      </c>
      <c r="V9948" s="197">
        <v>-1588.0751588453654</v>
      </c>
    </row>
    <row r="9949" spans="21:22">
      <c r="U9949">
        <v>9907</v>
      </c>
      <c r="V9949" s="197">
        <v>-1530.6000256742566</v>
      </c>
    </row>
    <row r="9950" spans="21:22">
      <c r="U9950">
        <v>9908</v>
      </c>
      <c r="V9950" s="197">
        <v>269.26453722438652</v>
      </c>
    </row>
    <row r="9951" spans="21:22">
      <c r="U9951">
        <v>9909</v>
      </c>
      <c r="V9951" s="197">
        <v>1269.5219515171821</v>
      </c>
    </row>
    <row r="9952" spans="21:22">
      <c r="U9952">
        <v>9910</v>
      </c>
      <c r="V9952" s="197">
        <v>773.77116012656234</v>
      </c>
    </row>
    <row r="9953" spans="21:22">
      <c r="U9953">
        <v>9911</v>
      </c>
      <c r="V9953" s="197">
        <v>-1531.8677685151033</v>
      </c>
    </row>
    <row r="9954" spans="21:22">
      <c r="U9954">
        <v>9912</v>
      </c>
      <c r="V9954" s="197">
        <v>924.35184168833098</v>
      </c>
    </row>
    <row r="9955" spans="21:22">
      <c r="U9955">
        <v>9913</v>
      </c>
      <c r="V9955" s="197">
        <v>2416.9601923596611</v>
      </c>
    </row>
    <row r="9956" spans="21:22">
      <c r="U9956">
        <v>9914</v>
      </c>
      <c r="V9956" s="197">
        <v>328.77262294565537</v>
      </c>
    </row>
    <row r="9957" spans="21:22">
      <c r="U9957">
        <v>9915</v>
      </c>
      <c r="V9957" s="197">
        <v>718.9753693257951</v>
      </c>
    </row>
    <row r="9958" spans="21:22">
      <c r="U9958">
        <v>9916</v>
      </c>
      <c r="V9958" s="197">
        <v>-1720.2744229786654</v>
      </c>
    </row>
    <row r="9959" spans="21:22">
      <c r="U9959">
        <v>9917</v>
      </c>
      <c r="V9959" s="197">
        <v>-617.82937360706046</v>
      </c>
    </row>
    <row r="9960" spans="21:22">
      <c r="U9960">
        <v>9918</v>
      </c>
      <c r="V9960" s="197">
        <v>713.73487188503782</v>
      </c>
    </row>
    <row r="9961" spans="21:22">
      <c r="U9961">
        <v>9919</v>
      </c>
      <c r="V9961" s="197">
        <v>1119.1661203605161</v>
      </c>
    </row>
    <row r="9962" spans="21:22">
      <c r="U9962">
        <v>9920</v>
      </c>
      <c r="V9962" s="197">
        <v>-1659.2146362988265</v>
      </c>
    </row>
    <row r="9963" spans="21:22">
      <c r="U9963">
        <v>9921</v>
      </c>
      <c r="V9963" s="197">
        <v>1645.3099634100254</v>
      </c>
    </row>
    <row r="9964" spans="21:22">
      <c r="U9964">
        <v>9922</v>
      </c>
      <c r="V9964" s="197">
        <v>1624.3582855745449</v>
      </c>
    </row>
    <row r="9965" spans="21:22">
      <c r="U9965">
        <v>9923</v>
      </c>
      <c r="V9965" s="197">
        <v>-1751.4290477178592</v>
      </c>
    </row>
    <row r="9966" spans="21:22">
      <c r="U9966">
        <v>9924</v>
      </c>
      <c r="V9966" s="197">
        <v>-243.07677259056862</v>
      </c>
    </row>
    <row r="9967" spans="21:22">
      <c r="U9967">
        <v>9925</v>
      </c>
      <c r="V9967" s="197">
        <v>-309.64171406823351</v>
      </c>
    </row>
    <row r="9968" spans="21:22">
      <c r="U9968">
        <v>9926</v>
      </c>
      <c r="V9968" s="197">
        <v>-252.59831613521044</v>
      </c>
    </row>
    <row r="9969" spans="21:22">
      <c r="U9969">
        <v>9927</v>
      </c>
      <c r="V9969" s="197">
        <v>-518.93468089897465</v>
      </c>
    </row>
    <row r="9970" spans="21:22">
      <c r="U9970">
        <v>9928</v>
      </c>
      <c r="V9970" s="197">
        <v>-461.81138684992635</v>
      </c>
    </row>
    <row r="9971" spans="21:22">
      <c r="U9971">
        <v>9929</v>
      </c>
      <c r="V9971" s="197">
        <v>-2136.0551848053778</v>
      </c>
    </row>
    <row r="9972" spans="21:22">
      <c r="U9972">
        <v>9930</v>
      </c>
      <c r="V9972" s="197">
        <v>-206.62814544346082</v>
      </c>
    </row>
    <row r="9973" spans="21:22">
      <c r="U9973">
        <v>9931</v>
      </c>
      <c r="V9973" s="197">
        <v>-1845.6425729764587</v>
      </c>
    </row>
    <row r="9974" spans="21:22">
      <c r="U9974">
        <v>9932</v>
      </c>
      <c r="V9974" s="197">
        <v>775.51061315024867</v>
      </c>
    </row>
    <row r="9975" spans="21:22">
      <c r="U9975">
        <v>9933</v>
      </c>
      <c r="V9975" s="197">
        <v>-360.45513414674139</v>
      </c>
    </row>
    <row r="9976" spans="21:22">
      <c r="U9976">
        <v>9934</v>
      </c>
      <c r="V9976" s="197">
        <v>-1560.5831493300307</v>
      </c>
    </row>
    <row r="9977" spans="21:22">
      <c r="U9977">
        <v>9935</v>
      </c>
      <c r="V9977" s="197">
        <v>-3.2483985078441577</v>
      </c>
    </row>
    <row r="9978" spans="21:22">
      <c r="U9978">
        <v>9936</v>
      </c>
      <c r="V9978" s="197">
        <v>-739.80743828701407</v>
      </c>
    </row>
    <row r="9979" spans="21:22">
      <c r="U9979">
        <v>9937</v>
      </c>
      <c r="V9979" s="197">
        <v>-461.33697097637111</v>
      </c>
    </row>
    <row r="9980" spans="21:22">
      <c r="U9980">
        <v>9938</v>
      </c>
      <c r="V9980" s="197">
        <v>-1685.2960366818224</v>
      </c>
    </row>
    <row r="9981" spans="21:22">
      <c r="U9981">
        <v>9939</v>
      </c>
      <c r="V9981" s="197">
        <v>186.67389802742727</v>
      </c>
    </row>
    <row r="9982" spans="21:22">
      <c r="U9982">
        <v>9940</v>
      </c>
      <c r="V9982" s="197">
        <v>1401.2383767036911</v>
      </c>
    </row>
    <row r="9983" spans="21:22">
      <c r="U9983">
        <v>9941</v>
      </c>
      <c r="V9983" s="197">
        <v>400.42532635576788</v>
      </c>
    </row>
    <row r="9984" spans="21:22">
      <c r="U9984">
        <v>9942</v>
      </c>
      <c r="V9984" s="197">
        <v>668.04504230716429</v>
      </c>
    </row>
    <row r="9985" spans="21:22">
      <c r="U9985">
        <v>9943</v>
      </c>
      <c r="V9985" s="197">
        <v>221.68736547503212</v>
      </c>
    </row>
    <row r="9986" spans="21:22">
      <c r="U9986">
        <v>9944</v>
      </c>
      <c r="V9986" s="197">
        <v>1531.633589498334</v>
      </c>
    </row>
    <row r="9987" spans="21:22">
      <c r="U9987">
        <v>9945</v>
      </c>
      <c r="V9987" s="197">
        <v>-3009.7687832528695</v>
      </c>
    </row>
    <row r="9988" spans="21:22">
      <c r="U9988">
        <v>9946</v>
      </c>
      <c r="V9988" s="197">
        <v>460.55831064871114</v>
      </c>
    </row>
    <row r="9989" spans="21:22">
      <c r="U9989">
        <v>9947</v>
      </c>
      <c r="V9989" s="197">
        <v>3.1847499897700686</v>
      </c>
    </row>
    <row r="9990" spans="21:22">
      <c r="U9990">
        <v>9948</v>
      </c>
      <c r="V9990" s="197">
        <v>1787.6006077837249</v>
      </c>
    </row>
    <row r="9991" spans="21:22">
      <c r="U9991">
        <v>9949</v>
      </c>
      <c r="V9991" s="197">
        <v>-95.325931853151246</v>
      </c>
    </row>
    <row r="9992" spans="21:22">
      <c r="U9992">
        <v>9950</v>
      </c>
      <c r="V9992" s="197">
        <v>388.84115353724849</v>
      </c>
    </row>
    <row r="9993" spans="21:22">
      <c r="U9993">
        <v>9951</v>
      </c>
      <c r="V9993" s="197">
        <v>-521.60755568933519</v>
      </c>
    </row>
    <row r="9994" spans="21:22">
      <c r="U9994">
        <v>9952</v>
      </c>
      <c r="V9994" s="197">
        <v>-1320.8217241915888</v>
      </c>
    </row>
    <row r="9995" spans="21:22">
      <c r="U9995">
        <v>9953</v>
      </c>
      <c r="V9995" s="197">
        <v>-1894.4796302776144</v>
      </c>
    </row>
    <row r="9996" spans="21:22">
      <c r="U9996">
        <v>9954</v>
      </c>
      <c r="V9996" s="197">
        <v>-889.20484570268991</v>
      </c>
    </row>
    <row r="9997" spans="21:22">
      <c r="U9997">
        <v>9955</v>
      </c>
      <c r="V9997" s="197">
        <v>-2413.4899355709581</v>
      </c>
    </row>
    <row r="9998" spans="21:22">
      <c r="U9998">
        <v>9956</v>
      </c>
      <c r="V9998" s="197">
        <v>-37.967017550336067</v>
      </c>
    </row>
    <row r="9999" spans="21:22">
      <c r="U9999">
        <v>9957</v>
      </c>
      <c r="V9999" s="197">
        <v>-857.48691112674373</v>
      </c>
    </row>
    <row r="10000" spans="21:22">
      <c r="U10000">
        <v>9958</v>
      </c>
      <c r="V10000" s="197">
        <v>-451.69854263502003</v>
      </c>
    </row>
    <row r="10001" spans="21:22">
      <c r="U10001">
        <v>9959</v>
      </c>
      <c r="V10001" s="197">
        <v>-77.568056290648315</v>
      </c>
    </row>
    <row r="10002" spans="21:22">
      <c r="U10002">
        <v>9960</v>
      </c>
      <c r="V10002" s="197">
        <v>-80.543208266501779</v>
      </c>
    </row>
    <row r="10003" spans="21:22">
      <c r="U10003">
        <v>9961</v>
      </c>
      <c r="V10003" s="197">
        <v>-236.83235087051236</v>
      </c>
    </row>
    <row r="10004" spans="21:22">
      <c r="U10004">
        <v>9962</v>
      </c>
      <c r="V10004" s="197">
        <v>-177.43063145333321</v>
      </c>
    </row>
    <row r="10005" spans="21:22">
      <c r="U10005">
        <v>9963</v>
      </c>
      <c r="V10005" s="197">
        <v>-418.99358485044667</v>
      </c>
    </row>
    <row r="10006" spans="21:22">
      <c r="U10006">
        <v>9964</v>
      </c>
      <c r="V10006" s="197">
        <v>-132.02369622003607</v>
      </c>
    </row>
    <row r="10007" spans="21:22">
      <c r="U10007">
        <v>9965</v>
      </c>
      <c r="V10007" s="197">
        <v>1431.5286729263905</v>
      </c>
    </row>
    <row r="10008" spans="21:22">
      <c r="U10008">
        <v>9966</v>
      </c>
      <c r="V10008" s="197">
        <v>485.81208836123903</v>
      </c>
    </row>
    <row r="10009" spans="21:22">
      <c r="U10009">
        <v>9967</v>
      </c>
      <c r="V10009" s="197">
        <v>602.83891661825737</v>
      </c>
    </row>
    <row r="10010" spans="21:22">
      <c r="U10010">
        <v>9968</v>
      </c>
      <c r="V10010" s="197">
        <v>1269.2637565763098</v>
      </c>
    </row>
    <row r="10011" spans="21:22">
      <c r="U10011">
        <v>9969</v>
      </c>
      <c r="V10011" s="197">
        <v>527.34840247578495</v>
      </c>
    </row>
    <row r="10012" spans="21:22">
      <c r="U10012">
        <v>9970</v>
      </c>
      <c r="V10012" s="197">
        <v>671.05668074190089</v>
      </c>
    </row>
    <row r="10013" spans="21:22">
      <c r="U10013">
        <v>9971</v>
      </c>
      <c r="V10013" s="197">
        <v>-237.74211182913325</v>
      </c>
    </row>
    <row r="10014" spans="21:22">
      <c r="U10014">
        <v>9972</v>
      </c>
      <c r="V10014" s="197">
        <v>-1176.1031651461908</v>
      </c>
    </row>
    <row r="10015" spans="21:22">
      <c r="U10015">
        <v>9973</v>
      </c>
      <c r="V10015" s="197">
        <v>-1759.2926262329995</v>
      </c>
    </row>
    <row r="10016" spans="21:22">
      <c r="U10016">
        <v>9974</v>
      </c>
      <c r="V10016" s="197">
        <v>796.08200475831291</v>
      </c>
    </row>
    <row r="10017" spans="21:22">
      <c r="U10017">
        <v>9975</v>
      </c>
      <c r="V10017" s="197">
        <v>226.02006906547311</v>
      </c>
    </row>
    <row r="10018" spans="21:22">
      <c r="U10018">
        <v>9976</v>
      </c>
      <c r="V10018" s="197">
        <v>743.31098029828354</v>
      </c>
    </row>
    <row r="10019" spans="21:22">
      <c r="U10019">
        <v>9977</v>
      </c>
      <c r="V10019" s="197">
        <v>-160.0108312061484</v>
      </c>
    </row>
    <row r="10020" spans="21:22">
      <c r="U10020">
        <v>9978</v>
      </c>
      <c r="V10020" s="197">
        <v>-701.88038185748678</v>
      </c>
    </row>
    <row r="10021" spans="21:22">
      <c r="U10021">
        <v>9979</v>
      </c>
      <c r="V10021" s="197">
        <v>1178.2710802643701</v>
      </c>
    </row>
    <row r="10022" spans="21:22">
      <c r="U10022">
        <v>9980</v>
      </c>
      <c r="V10022" s="197">
        <v>744.9397964470827</v>
      </c>
    </row>
    <row r="10023" spans="21:22">
      <c r="U10023">
        <v>9981</v>
      </c>
      <c r="V10023" s="197">
        <v>-858.62746288832705</v>
      </c>
    </row>
    <row r="10024" spans="21:22">
      <c r="U10024">
        <v>9982</v>
      </c>
      <c r="V10024" s="197">
        <v>-845.34948839709091</v>
      </c>
    </row>
    <row r="10025" spans="21:22">
      <c r="U10025">
        <v>9983</v>
      </c>
      <c r="V10025" s="197">
        <v>-1181.8190855729163</v>
      </c>
    </row>
    <row r="10026" spans="21:22">
      <c r="U10026">
        <v>9984</v>
      </c>
      <c r="V10026" s="197">
        <v>918.66736117194841</v>
      </c>
    </row>
    <row r="10027" spans="21:22">
      <c r="U10027">
        <v>9985</v>
      </c>
      <c r="V10027" s="197">
        <v>-2541.2410460087708</v>
      </c>
    </row>
    <row r="10028" spans="21:22">
      <c r="U10028">
        <v>9986</v>
      </c>
      <c r="V10028" s="197">
        <v>-295.35594556430686</v>
      </c>
    </row>
    <row r="10029" spans="21:22">
      <c r="U10029">
        <v>9987</v>
      </c>
      <c r="V10029" s="197">
        <v>-1819.488740909846</v>
      </c>
    </row>
    <row r="10030" spans="21:22">
      <c r="U10030">
        <v>9988</v>
      </c>
      <c r="V10030" s="197">
        <v>-859.94616837142576</v>
      </c>
    </row>
    <row r="10031" spans="21:22">
      <c r="U10031">
        <v>9989</v>
      </c>
      <c r="V10031" s="197">
        <v>358.93862811168651</v>
      </c>
    </row>
    <row r="10032" spans="21:22">
      <c r="U10032">
        <v>9990</v>
      </c>
      <c r="V10032" s="197">
        <v>-371.03578665260596</v>
      </c>
    </row>
    <row r="10033" spans="21:22">
      <c r="U10033">
        <v>9991</v>
      </c>
      <c r="V10033" s="197">
        <v>1115.3291868405013</v>
      </c>
    </row>
    <row r="10034" spans="21:22">
      <c r="U10034">
        <v>9992</v>
      </c>
      <c r="V10034" s="197">
        <v>992.38803089027851</v>
      </c>
    </row>
    <row r="10035" spans="21:22">
      <c r="U10035">
        <v>9993</v>
      </c>
      <c r="V10035" s="197">
        <v>1080.0885718226109</v>
      </c>
    </row>
    <row r="10036" spans="21:22">
      <c r="U10036">
        <v>9994</v>
      </c>
      <c r="V10036" s="197">
        <v>-471.25736791892808</v>
      </c>
    </row>
    <row r="10037" spans="21:22">
      <c r="U10037">
        <v>9995</v>
      </c>
      <c r="V10037" s="197">
        <v>-573.9883174554941</v>
      </c>
    </row>
    <row r="10038" spans="21:22">
      <c r="U10038">
        <v>9996</v>
      </c>
      <c r="V10038" s="197">
        <v>-10.337278265133762</v>
      </c>
    </row>
    <row r="10039" spans="21:22">
      <c r="U10039">
        <v>9997</v>
      </c>
      <c r="V10039" s="197">
        <v>-33.266939117330651</v>
      </c>
    </row>
    <row r="10040" spans="21:22">
      <c r="U10040">
        <v>9998</v>
      </c>
      <c r="V10040" s="197">
        <v>363.65831564857734</v>
      </c>
    </row>
    <row r="10041" spans="21:22">
      <c r="U10041">
        <v>9999</v>
      </c>
      <c r="V10041" s="197">
        <v>-441.65965735641197</v>
      </c>
    </row>
    <row r="10042" spans="21:22">
      <c r="U10042">
        <v>10000</v>
      </c>
      <c r="V10042" s="197">
        <v>1689.515853260468</v>
      </c>
    </row>
  </sheetData>
  <mergeCells count="14">
    <mergeCell ref="B3:S3"/>
    <mergeCell ref="U13:U14"/>
    <mergeCell ref="U41:V41"/>
    <mergeCell ref="AA20:AB20"/>
    <mergeCell ref="U32:V32"/>
    <mergeCell ref="X32:Y32"/>
    <mergeCell ref="AA32:AB32"/>
    <mergeCell ref="U36:V36"/>
    <mergeCell ref="X20:Y20"/>
    <mergeCell ref="B5:H5"/>
    <mergeCell ref="K5:Q5"/>
    <mergeCell ref="U20:V20"/>
    <mergeCell ref="U24:V24"/>
    <mergeCell ref="U7:V7"/>
  </mergeCells>
  <pageMargins left="0.70866141732283472" right="0.70866141732283472" top="0.74803149606299213" bottom="0.74803149606299213" header="0.31496062992125984" footer="0.31496062992125984"/>
  <pageSetup paperSize="9" scale="44"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002060"/>
  </sheetPr>
  <dimension ref="B21:J35"/>
  <sheetViews>
    <sheetView showGridLines="0" workbookViewId="0">
      <selection activeCell="C32" sqref="C32"/>
    </sheetView>
  </sheetViews>
  <sheetFormatPr defaultRowHeight="15"/>
  <cols>
    <col min="1" max="1" width="1.5703125" customWidth="1"/>
    <col min="2" max="2" width="20.5703125" bestFit="1" customWidth="1"/>
    <col min="3" max="3" width="12" bestFit="1" customWidth="1"/>
    <col min="4" max="4" width="15.140625" bestFit="1" customWidth="1"/>
    <col min="5" max="5" width="17.5703125" bestFit="1" customWidth="1"/>
    <col min="6" max="6" width="16.140625" bestFit="1" customWidth="1"/>
    <col min="7" max="8" width="15.28515625" bestFit="1" customWidth="1"/>
    <col min="9" max="9" width="27" bestFit="1" customWidth="1"/>
  </cols>
  <sheetData>
    <row r="21" spans="2:9">
      <c r="B21" t="s">
        <v>506</v>
      </c>
      <c r="C21" s="175" t="s">
        <v>507</v>
      </c>
    </row>
    <row r="22" spans="2:9">
      <c r="B22" s="167" t="s">
        <v>190</v>
      </c>
      <c r="C22" s="168" t="s">
        <v>499</v>
      </c>
      <c r="D22" s="168" t="s">
        <v>500</v>
      </c>
      <c r="E22" s="168" t="s">
        <v>501</v>
      </c>
      <c r="F22" s="168" t="s">
        <v>203</v>
      </c>
      <c r="G22" s="168" t="s">
        <v>502</v>
      </c>
      <c r="H22" s="169" t="s">
        <v>8954</v>
      </c>
      <c r="I22" s="170" t="s">
        <v>8955</v>
      </c>
    </row>
    <row r="23" spans="2:9">
      <c r="B23" s="171" t="s">
        <v>198</v>
      </c>
      <c r="C23" s="172" t="s">
        <v>503</v>
      </c>
      <c r="D23" s="173">
        <v>1.8700000000000001E-2</v>
      </c>
      <c r="E23" s="173">
        <v>2.8500000000000001E-2</v>
      </c>
      <c r="F23" s="173">
        <v>7.0800000000000002E-2</v>
      </c>
      <c r="G23" s="173">
        <v>0.3</v>
      </c>
      <c r="H23" s="174">
        <v>6.6E-3</v>
      </c>
      <c r="I23" s="174">
        <v>5.2299999999999999E-2</v>
      </c>
    </row>
    <row r="24" spans="2:9">
      <c r="B24" s="171" t="s">
        <v>505</v>
      </c>
      <c r="C24" s="172" t="s">
        <v>504</v>
      </c>
      <c r="D24" s="173">
        <v>2.3E-3</v>
      </c>
      <c r="E24" s="173">
        <v>2.3E-3</v>
      </c>
      <c r="F24" s="173">
        <v>4.4600000000000001E-2</v>
      </c>
      <c r="G24" s="173">
        <v>0.25</v>
      </c>
      <c r="H24" s="174">
        <v>3.0000000000000001E-3</v>
      </c>
      <c r="I24" s="174">
        <v>4.6899999999999997E-2</v>
      </c>
    </row>
    <row r="25" spans="2:9">
      <c r="F25" s="5"/>
    </row>
    <row r="26" spans="2:9">
      <c r="B26" t="s">
        <v>202</v>
      </c>
      <c r="C26" s="176">
        <v>6.8000000000000005E-2</v>
      </c>
    </row>
    <row r="27" spans="2:9">
      <c r="B27" t="s">
        <v>508</v>
      </c>
      <c r="C27" s="178">
        <f>'Beta Regression Historical Data'!$H$108</f>
        <v>3.8899999999999962E-2</v>
      </c>
    </row>
    <row r="28" spans="2:9">
      <c r="B28" t="s">
        <v>8956</v>
      </c>
      <c r="C28" s="176">
        <v>4.4999999999999998E-2</v>
      </c>
    </row>
    <row r="29" spans="2:9">
      <c r="B29" t="s">
        <v>497</v>
      </c>
      <c r="C29" s="179">
        <f>'Beta Regression Historical Data'!T7</f>
        <v>1.2649327086733677</v>
      </c>
    </row>
    <row r="30" spans="2:9">
      <c r="B30" t="s">
        <v>13</v>
      </c>
      <c r="C30" s="177">
        <f>G23</f>
        <v>0.3</v>
      </c>
    </row>
    <row r="31" spans="2:9">
      <c r="B31" t="s">
        <v>509</v>
      </c>
      <c r="C31" s="5">
        <f>F23</f>
        <v>7.0800000000000002E-2</v>
      </c>
    </row>
    <row r="32" spans="2:9">
      <c r="B32" t="s">
        <v>510</v>
      </c>
      <c r="C32" s="5">
        <f>C27-C26</f>
        <v>-2.9100000000000042E-2</v>
      </c>
    </row>
    <row r="34" spans="2:10">
      <c r="B34" s="379" t="s">
        <v>8985</v>
      </c>
      <c r="C34" s="379"/>
      <c r="D34" s="379"/>
      <c r="E34" s="379"/>
      <c r="F34" s="379"/>
      <c r="G34" s="379"/>
      <c r="H34" s="379"/>
      <c r="I34" s="379"/>
      <c r="J34" s="379"/>
    </row>
    <row r="35" spans="2:10" ht="43.5" customHeight="1">
      <c r="B35" s="434" t="s">
        <v>8987</v>
      </c>
      <c r="C35" s="434"/>
      <c r="D35" s="434"/>
      <c r="E35" s="434"/>
      <c r="F35" s="434"/>
      <c r="G35" s="434"/>
      <c r="H35" s="434"/>
      <c r="I35" s="434"/>
      <c r="J35" s="434"/>
    </row>
  </sheetData>
  <mergeCells count="1">
    <mergeCell ref="B35:J35"/>
  </mergeCells>
  <hyperlinks>
    <hyperlink ref="C21" r:id="rId1" xr:uid="{00000000-0004-0000-0C00-000000000000}"/>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002060"/>
  </sheetPr>
  <dimension ref="B3:P1003"/>
  <sheetViews>
    <sheetView showGridLines="0" topLeftCell="A4" zoomScale="85" zoomScaleNormal="85" workbookViewId="0">
      <selection activeCell="P47" sqref="P47"/>
    </sheetView>
  </sheetViews>
  <sheetFormatPr defaultColWidth="14.42578125" defaultRowHeight="15" customHeight="1"/>
  <cols>
    <col min="1" max="1" width="1.85546875" customWidth="1"/>
    <col min="2" max="2" width="39" customWidth="1"/>
    <col min="3" max="3" width="15.42578125" customWidth="1"/>
    <col min="4" max="4" width="9.7109375" customWidth="1"/>
    <col min="5" max="5" width="8.7109375" customWidth="1"/>
    <col min="6" max="6" width="15" bestFit="1" customWidth="1"/>
    <col min="7" max="7" width="16.5703125" customWidth="1"/>
    <col min="8" max="8" width="11.42578125" customWidth="1"/>
    <col min="9" max="9" width="14.5703125" customWidth="1"/>
    <col min="10" max="10" width="9.5703125" customWidth="1"/>
    <col min="11" max="11" width="13" customWidth="1"/>
    <col min="12" max="12" width="15.7109375" customWidth="1"/>
    <col min="13" max="24" width="8.7109375" customWidth="1"/>
  </cols>
  <sheetData>
    <row r="3" spans="2:12">
      <c r="B3" s="180" t="s">
        <v>8948</v>
      </c>
      <c r="C3" s="180"/>
      <c r="D3" s="180"/>
      <c r="E3" s="180"/>
      <c r="F3" s="180"/>
      <c r="G3" s="180"/>
      <c r="H3" s="180"/>
      <c r="I3" s="180"/>
      <c r="J3" s="180"/>
      <c r="K3" s="180"/>
      <c r="L3" s="180"/>
    </row>
    <row r="4" spans="2:12"/>
    <row r="5" spans="2:12">
      <c r="B5" s="72"/>
      <c r="C5" s="72"/>
      <c r="D5" s="72"/>
      <c r="E5" s="72"/>
      <c r="F5" s="188"/>
      <c r="G5" s="188"/>
      <c r="H5" s="188"/>
      <c r="I5" s="188" t="s">
        <v>188</v>
      </c>
      <c r="J5" s="188" t="s">
        <v>188</v>
      </c>
      <c r="K5" s="188" t="s">
        <v>8953</v>
      </c>
      <c r="L5" s="188" t="s">
        <v>8952</v>
      </c>
    </row>
    <row r="6" spans="2:12" ht="17.25">
      <c r="B6" s="73" t="s">
        <v>8974</v>
      </c>
      <c r="C6" s="73"/>
      <c r="D6" s="73"/>
      <c r="E6" s="73"/>
      <c r="F6" s="189" t="s">
        <v>191</v>
      </c>
      <c r="G6" s="189" t="s">
        <v>192</v>
      </c>
      <c r="H6" s="189" t="s">
        <v>193</v>
      </c>
      <c r="I6" s="189" t="s">
        <v>194</v>
      </c>
      <c r="J6" s="189" t="s">
        <v>195</v>
      </c>
      <c r="K6" s="189" t="s">
        <v>196</v>
      </c>
      <c r="L6" s="189" t="s">
        <v>197</v>
      </c>
    </row>
    <row r="7" spans="2:12">
      <c r="B7" s="146" t="s">
        <v>545</v>
      </c>
      <c r="C7" s="247"/>
      <c r="D7" s="247"/>
      <c r="E7" s="247"/>
      <c r="F7" s="353">
        <v>54670.29</v>
      </c>
      <c r="G7" s="353">
        <v>4421403.1690000007</v>
      </c>
      <c r="H7" s="351">
        <f>$L$37</f>
        <v>0.3</v>
      </c>
      <c r="I7" s="408">
        <f>F7/G7</f>
        <v>1.2364918536113708E-2</v>
      </c>
      <c r="J7" s="408">
        <f>F7/(F7+G7)</f>
        <v>1.2213894722856914E-2</v>
      </c>
      <c r="K7" s="247">
        <v>0.16</v>
      </c>
      <c r="L7" s="79">
        <f t="shared" ref="L7:L11" si="0">K7/(1+(1-H7)*I7)</f>
        <v>0.15862701293520043</v>
      </c>
    </row>
    <row r="8" spans="2:12">
      <c r="B8" s="146" t="s">
        <v>546</v>
      </c>
      <c r="C8" s="247"/>
      <c r="D8" s="247"/>
      <c r="E8" s="247"/>
      <c r="F8" s="353">
        <v>271004.58</v>
      </c>
      <c r="G8" s="353">
        <v>341372.3235</v>
      </c>
      <c r="H8" s="351">
        <f t="shared" ref="H8:H11" si="1">$L$37</f>
        <v>0.3</v>
      </c>
      <c r="I8" s="408">
        <f t="shared" ref="I8:I11" si="2">F8/G8</f>
        <v>0.79386804771242692</v>
      </c>
      <c r="J8" s="408">
        <f t="shared" ref="J8:J11" si="3">F8/(F8+G8)</f>
        <v>0.44254539720732627</v>
      </c>
      <c r="K8" s="247">
        <v>0.46</v>
      </c>
      <c r="L8" s="352">
        <f t="shared" si="0"/>
        <v>0.29568537823206181</v>
      </c>
    </row>
    <row r="9" spans="2:12">
      <c r="B9" s="146" t="s">
        <v>547</v>
      </c>
      <c r="C9" s="247"/>
      <c r="D9" s="247"/>
      <c r="E9" s="247"/>
      <c r="F9" s="353">
        <v>148070.6</v>
      </c>
      <c r="G9" s="353">
        <v>264044.03399999999</v>
      </c>
      <c r="H9" s="351">
        <f t="shared" si="1"/>
        <v>0.3</v>
      </c>
      <c r="I9" s="408">
        <f t="shared" si="2"/>
        <v>0.56077994930194108</v>
      </c>
      <c r="J9" s="408">
        <f t="shared" si="3"/>
        <v>0.35929469080683024</v>
      </c>
      <c r="K9" s="247">
        <v>0.39</v>
      </c>
      <c r="L9" s="352">
        <f t="shared" si="0"/>
        <v>0.28006256880493718</v>
      </c>
    </row>
    <row r="10" spans="2:12">
      <c r="B10" s="146" t="s">
        <v>548</v>
      </c>
      <c r="C10" s="247"/>
      <c r="D10" s="247"/>
      <c r="E10" s="247"/>
      <c r="F10" s="353">
        <v>103545</v>
      </c>
      <c r="G10" s="353">
        <v>251379.19199999998</v>
      </c>
      <c r="H10" s="351">
        <f t="shared" si="1"/>
        <v>0.3</v>
      </c>
      <c r="I10" s="408">
        <f t="shared" si="2"/>
        <v>0.41190760132604776</v>
      </c>
      <c r="J10" s="408">
        <f t="shared" si="3"/>
        <v>0.2917383552147384</v>
      </c>
      <c r="K10" s="247">
        <v>0.78</v>
      </c>
      <c r="L10" s="352">
        <f t="shared" si="0"/>
        <v>0.60543244241570393</v>
      </c>
    </row>
    <row r="11" spans="2:12">
      <c r="B11" s="146" t="s">
        <v>549</v>
      </c>
      <c r="C11" s="247"/>
      <c r="D11" s="247"/>
      <c r="E11" s="247"/>
      <c r="F11" s="353">
        <v>49176.43</v>
      </c>
      <c r="G11" s="353">
        <v>181132.014</v>
      </c>
      <c r="H11" s="351">
        <f t="shared" si="1"/>
        <v>0.3</v>
      </c>
      <c r="I11" s="408">
        <f t="shared" si="2"/>
        <v>0.27149496609693746</v>
      </c>
      <c r="J11" s="408">
        <f t="shared" si="3"/>
        <v>0.21352421624627885</v>
      </c>
      <c r="K11" s="247">
        <v>1.32</v>
      </c>
      <c r="L11" s="352">
        <f t="shared" si="0"/>
        <v>1.1092003768959473</v>
      </c>
    </row>
    <row r="12" spans="2:12">
      <c r="B12" s="88"/>
      <c r="C12" s="354"/>
      <c r="D12" s="354"/>
      <c r="E12" s="354"/>
      <c r="F12" s="355"/>
      <c r="G12" s="355"/>
      <c r="H12" s="356"/>
      <c r="I12" s="409"/>
      <c r="J12" s="409"/>
      <c r="K12" s="354"/>
      <c r="L12" s="357"/>
    </row>
    <row r="13" spans="2:12">
      <c r="B13" s="88"/>
      <c r="C13" s="354"/>
      <c r="D13" s="354"/>
      <c r="E13" s="354"/>
      <c r="G13" s="358" t="s">
        <v>285</v>
      </c>
      <c r="H13" s="359">
        <f>AVERAGE(H7:H11)</f>
        <v>0.3</v>
      </c>
      <c r="I13" s="410">
        <f t="shared" ref="I13:L13" si="4">AVERAGE(I7:I11)</f>
        <v>0.41008309659469333</v>
      </c>
      <c r="J13" s="410">
        <f t="shared" si="4"/>
        <v>0.26386331083960612</v>
      </c>
      <c r="K13" s="360">
        <f t="shared" si="4"/>
        <v>0.62200000000000011</v>
      </c>
      <c r="L13" s="361">
        <f t="shared" si="4"/>
        <v>0.48980155585677015</v>
      </c>
    </row>
    <row r="14" spans="2:12">
      <c r="B14" s="88"/>
      <c r="C14" s="354"/>
      <c r="D14" s="354"/>
      <c r="E14" s="354"/>
      <c r="G14" s="362" t="s">
        <v>154</v>
      </c>
      <c r="H14" s="363">
        <f>MEDIAN(H7:H11)</f>
        <v>0.3</v>
      </c>
      <c r="I14" s="411">
        <f t="shared" ref="I14:L14" si="5">MEDIAN(I7:I11)</f>
        <v>0.41190760132604776</v>
      </c>
      <c r="J14" s="411">
        <f t="shared" si="5"/>
        <v>0.2917383552147384</v>
      </c>
      <c r="K14" s="364">
        <f t="shared" si="5"/>
        <v>0.46</v>
      </c>
      <c r="L14" s="365">
        <f t="shared" si="5"/>
        <v>0.29568537823206181</v>
      </c>
    </row>
    <row r="15" spans="2:12">
      <c r="B15" s="88"/>
      <c r="C15" s="354"/>
      <c r="D15" s="354"/>
      <c r="E15" s="354"/>
      <c r="F15" s="355"/>
      <c r="G15" s="358" t="s">
        <v>8976</v>
      </c>
      <c r="H15" s="359">
        <f>MAX(H7:H11)</f>
        <v>0.3</v>
      </c>
      <c r="I15" s="410">
        <f t="shared" ref="I15:L15" si="6">MAX(I7:I11)</f>
        <v>0.79386804771242692</v>
      </c>
      <c r="J15" s="410">
        <f t="shared" si="6"/>
        <v>0.44254539720732627</v>
      </c>
      <c r="K15" s="360">
        <f t="shared" si="6"/>
        <v>1.32</v>
      </c>
      <c r="L15" s="361">
        <f t="shared" si="6"/>
        <v>1.1092003768959473</v>
      </c>
    </row>
    <row r="16" spans="2:12">
      <c r="B16" s="88"/>
      <c r="C16" s="354"/>
      <c r="D16" s="354"/>
      <c r="E16" s="354"/>
      <c r="F16" s="355"/>
      <c r="G16" s="362" t="s">
        <v>8977</v>
      </c>
      <c r="H16" s="363">
        <f>MIN(H7:H11)</f>
        <v>0.3</v>
      </c>
      <c r="I16" s="411">
        <f t="shared" ref="I16:L16" si="7">MIN(I7:I11)</f>
        <v>1.2364918536113708E-2</v>
      </c>
      <c r="J16" s="411">
        <f t="shared" si="7"/>
        <v>1.2213894722856914E-2</v>
      </c>
      <c r="K16" s="364">
        <f t="shared" si="7"/>
        <v>0.16</v>
      </c>
      <c r="L16" s="365">
        <f t="shared" si="7"/>
        <v>0.15862701293520043</v>
      </c>
    </row>
    <row r="18" spans="2:16" ht="15" customHeight="1">
      <c r="B18" s="72"/>
      <c r="C18" s="72"/>
      <c r="D18" s="72"/>
      <c r="E18" s="72"/>
      <c r="F18" s="188"/>
      <c r="G18" s="188"/>
      <c r="H18" s="188"/>
      <c r="I18" s="188" t="s">
        <v>188</v>
      </c>
      <c r="J18" s="188" t="s">
        <v>188</v>
      </c>
      <c r="K18" s="188" t="s">
        <v>8953</v>
      </c>
      <c r="L18" s="188" t="s">
        <v>8952</v>
      </c>
    </row>
    <row r="19" spans="2:16" ht="15" customHeight="1">
      <c r="B19" s="73" t="s">
        <v>189</v>
      </c>
      <c r="C19" s="73"/>
      <c r="D19" s="73"/>
      <c r="E19" s="73"/>
      <c r="F19" s="189" t="s">
        <v>191</v>
      </c>
      <c r="G19" s="189" t="s">
        <v>192</v>
      </c>
      <c r="H19" s="189" t="s">
        <v>193</v>
      </c>
      <c r="I19" s="189" t="s">
        <v>194</v>
      </c>
      <c r="J19" s="189" t="s">
        <v>195</v>
      </c>
      <c r="K19" s="189" t="s">
        <v>196</v>
      </c>
      <c r="L19" s="189" t="s">
        <v>197</v>
      </c>
    </row>
    <row r="20" spans="2:16" ht="15" customHeight="1">
      <c r="B20" s="82"/>
      <c r="C20" s="82"/>
      <c r="D20" s="82"/>
      <c r="E20" s="82"/>
      <c r="F20" s="82"/>
      <c r="G20" s="82"/>
      <c r="H20" s="82"/>
      <c r="I20" s="82"/>
      <c r="J20" s="82"/>
      <c r="K20" s="82"/>
      <c r="L20" s="82"/>
    </row>
    <row r="21" spans="2:16" ht="15" customHeight="1">
      <c r="B21" s="181" t="s">
        <v>511</v>
      </c>
      <c r="C21" s="182"/>
      <c r="D21" s="182"/>
      <c r="E21" s="182"/>
      <c r="F21" s="334">
        <v>76141.27</v>
      </c>
      <c r="G21" s="334">
        <v>128564.49</v>
      </c>
      <c r="H21" s="184">
        <f>L37</f>
        <v>0.3</v>
      </c>
      <c r="I21" s="183">
        <f>F21/G21</f>
        <v>0.59224183909569428</v>
      </c>
      <c r="J21" s="183">
        <f>F21/(G21+F21)</f>
        <v>0.37195470220281052</v>
      </c>
      <c r="K21" s="185">
        <f>L33</f>
        <v>1.2649327086733677</v>
      </c>
      <c r="L21" s="79">
        <f>K21/(1+(1-H21)*I21)</f>
        <v>0.89421756853484013</v>
      </c>
    </row>
    <row r="22" spans="2:16" ht="15" customHeight="1">
      <c r="B22" s="82"/>
      <c r="C22" s="82"/>
      <c r="D22" s="82"/>
      <c r="E22" s="82"/>
      <c r="F22" s="82"/>
      <c r="G22" s="82"/>
      <c r="H22" s="82"/>
      <c r="I22" s="82"/>
      <c r="J22" s="82"/>
      <c r="K22" s="82"/>
      <c r="L22" s="82"/>
    </row>
    <row r="24" spans="2:16" ht="15.75" customHeight="1">
      <c r="B24" s="76" t="s">
        <v>199</v>
      </c>
      <c r="C24" s="73"/>
      <c r="D24" s="73"/>
      <c r="E24" s="73"/>
      <c r="G24" s="76" t="s">
        <v>200</v>
      </c>
      <c r="H24" s="76"/>
      <c r="I24" s="76"/>
      <c r="J24" s="76"/>
      <c r="K24" s="76"/>
      <c r="L24" s="76"/>
    </row>
    <row r="25" spans="2:16" ht="15.75" customHeight="1"/>
    <row r="26" spans="2:16" ht="15.75" customHeight="1">
      <c r="B26" s="25" t="s">
        <v>201</v>
      </c>
      <c r="E26" s="77">
        <f>'Historical Financial Statements'!$L$30/'Historical Financial Statements'!$L$61</f>
        <v>6.9040201730999062E-2</v>
      </c>
      <c r="G26" s="25" t="s">
        <v>202</v>
      </c>
      <c r="L26" s="186">
        <f>'Valuation Drivers'!C26</f>
        <v>6.8000000000000005E-2</v>
      </c>
    </row>
    <row r="27" spans="2:16" ht="15.75" customHeight="1">
      <c r="B27" s="25" t="s">
        <v>13</v>
      </c>
      <c r="E27" s="78">
        <v>0.3</v>
      </c>
      <c r="G27" s="25" t="s">
        <v>203</v>
      </c>
      <c r="L27" s="186">
        <f>'Valuation Drivers'!C31</f>
        <v>7.0800000000000002E-2</v>
      </c>
      <c r="P27" s="25"/>
    </row>
    <row r="28" spans="2:16" ht="15.75" customHeight="1">
      <c r="B28" s="72" t="s">
        <v>204</v>
      </c>
      <c r="C28" s="72"/>
      <c r="D28" s="72"/>
      <c r="E28" s="74">
        <f>E26*(1-E27)</f>
        <v>4.8328141211699344E-2</v>
      </c>
      <c r="G28" s="82" t="s">
        <v>8951</v>
      </c>
      <c r="L28" s="185">
        <f>L38</f>
        <v>1.2312688059056645</v>
      </c>
    </row>
    <row r="29" spans="2:16" ht="15.75" customHeight="1">
      <c r="G29" s="80" t="s">
        <v>200</v>
      </c>
      <c r="H29" s="72"/>
      <c r="I29" s="72"/>
      <c r="J29" s="72"/>
      <c r="K29" s="72"/>
      <c r="L29" s="81">
        <f>L26+(L27*L28)</f>
        <v>0.15517383145812105</v>
      </c>
    </row>
    <row r="30" spans="2:16" ht="15.75" customHeight="1">
      <c r="G30" s="82"/>
      <c r="H30" s="82"/>
      <c r="I30" s="82"/>
      <c r="J30" s="82"/>
      <c r="K30" s="82"/>
      <c r="L30" s="82"/>
    </row>
    <row r="31" spans="2:16" ht="15.75" customHeight="1"/>
    <row r="32" spans="2:16" ht="15.75" customHeight="1">
      <c r="B32" s="76" t="s">
        <v>205</v>
      </c>
      <c r="C32" s="73"/>
      <c r="D32" s="73"/>
      <c r="E32" s="73"/>
      <c r="G32" s="76" t="s">
        <v>8950</v>
      </c>
      <c r="H32" s="76"/>
      <c r="I32" s="73"/>
      <c r="J32" s="73"/>
      <c r="K32" s="73"/>
      <c r="L32" s="73"/>
    </row>
    <row r="33" spans="2:12" ht="15.75" customHeight="1">
      <c r="B33" s="82"/>
      <c r="C33" s="82"/>
      <c r="D33" s="82"/>
      <c r="E33" s="82"/>
      <c r="G33" t="s">
        <v>537</v>
      </c>
      <c r="L33" s="179">
        <f>'Valuation Drivers'!C29</f>
        <v>1.2649327086733677</v>
      </c>
    </row>
    <row r="34" spans="2:12" ht="15.75" customHeight="1">
      <c r="D34" s="25" t="s">
        <v>206</v>
      </c>
      <c r="E34" s="25" t="s">
        <v>207</v>
      </c>
      <c r="G34" s="25" t="s">
        <v>512</v>
      </c>
      <c r="L34" s="184">
        <f>I21</f>
        <v>0.59224183909569428</v>
      </c>
    </row>
    <row r="35" spans="2:12" ht="15.75" customHeight="1">
      <c r="B35" s="25" t="s">
        <v>208</v>
      </c>
      <c r="C35" s="333">
        <f>F21</f>
        <v>76141.27</v>
      </c>
      <c r="D35" s="83">
        <f>C35/C37</f>
        <v>0.37195470220281052</v>
      </c>
      <c r="E35" s="413">
        <f>E37-E36</f>
        <v>0.35</v>
      </c>
      <c r="G35" s="25" t="s">
        <v>8949</v>
      </c>
      <c r="L35" s="185">
        <f>L21</f>
        <v>0.89421756853484013</v>
      </c>
    </row>
    <row r="36" spans="2:12" ht="15.75" customHeight="1">
      <c r="B36" s="25" t="s">
        <v>79</v>
      </c>
      <c r="C36" s="333">
        <f>G21</f>
        <v>128564.49</v>
      </c>
      <c r="D36" s="83">
        <f>C36/C37</f>
        <v>0.62804529779718954</v>
      </c>
      <c r="E36" s="83">
        <v>0.65</v>
      </c>
      <c r="G36" s="25" t="s">
        <v>209</v>
      </c>
      <c r="L36" s="186">
        <f>E39</f>
        <v>0.53846153846153844</v>
      </c>
    </row>
    <row r="37" spans="2:12" ht="15.75" customHeight="1">
      <c r="B37" s="72" t="s">
        <v>211</v>
      </c>
      <c r="C37" s="84">
        <f>C36+C35</f>
        <v>204705.76</v>
      </c>
      <c r="D37" s="85">
        <f>SUM(D35:D36)</f>
        <v>1</v>
      </c>
      <c r="E37" s="85">
        <f>D37</f>
        <v>1</v>
      </c>
      <c r="G37" s="25" t="s">
        <v>210</v>
      </c>
      <c r="L37" s="187">
        <f>'Valuation Drivers'!C30</f>
        <v>0.3</v>
      </c>
    </row>
    <row r="38" spans="2:12" ht="15.75" customHeight="1">
      <c r="G38" s="80" t="s">
        <v>8950</v>
      </c>
      <c r="H38" s="72"/>
      <c r="I38" s="72"/>
      <c r="J38" s="72"/>
      <c r="K38" s="72"/>
      <c r="L38" s="75">
        <f>L35*(1+(1-L37)*L36)</f>
        <v>1.2312688059056645</v>
      </c>
    </row>
    <row r="39" spans="2:12" ht="15.75" customHeight="1">
      <c r="B39" s="25" t="s">
        <v>212</v>
      </c>
      <c r="D39" s="412">
        <f>D35/D36</f>
        <v>0.59224183909569428</v>
      </c>
      <c r="E39" s="412">
        <f>E35/E36</f>
        <v>0.53846153846153844</v>
      </c>
    </row>
    <row r="40" spans="2:12" ht="15.75" customHeight="1">
      <c r="G40" s="76" t="s">
        <v>8948</v>
      </c>
      <c r="H40" s="76"/>
      <c r="I40" s="76"/>
      <c r="J40" s="76"/>
      <c r="K40" s="76"/>
      <c r="L40" s="76"/>
    </row>
    <row r="41" spans="2:12" ht="15.75" customHeight="1">
      <c r="D41" s="369"/>
    </row>
    <row r="42" spans="2:12" ht="15.75" customHeight="1">
      <c r="K42" s="25" t="s">
        <v>213</v>
      </c>
      <c r="L42" s="25" t="s">
        <v>214</v>
      </c>
    </row>
    <row r="43" spans="2:12" ht="15.75" customHeight="1">
      <c r="G43" s="25" t="s">
        <v>215</v>
      </c>
      <c r="K43" s="83">
        <f>E28</f>
        <v>4.8328141211699344E-2</v>
      </c>
      <c r="L43" s="83">
        <f t="shared" ref="L43:L44" si="8">E35</f>
        <v>0.35</v>
      </c>
    </row>
    <row r="44" spans="2:12" ht="15.75" customHeight="1">
      <c r="G44" s="25" t="s">
        <v>194</v>
      </c>
      <c r="K44" s="83">
        <f>L29</f>
        <v>0.15517383145812105</v>
      </c>
      <c r="L44" s="83">
        <f t="shared" si="8"/>
        <v>0.65</v>
      </c>
    </row>
    <row r="45" spans="2:12" ht="15.75" customHeight="1">
      <c r="G45" s="80" t="s">
        <v>216</v>
      </c>
      <c r="H45" s="80"/>
      <c r="I45" s="80"/>
      <c r="J45" s="80"/>
      <c r="K45" s="80"/>
      <c r="L45" s="86">
        <f>SUMPRODUCT(K43:K44,L43:L44)</f>
        <v>0.11777783987187346</v>
      </c>
    </row>
    <row r="46" spans="2:12" ht="15.75" customHeight="1"/>
    <row r="47" spans="2:12" ht="15.75" customHeight="1"/>
    <row r="48" spans="2:12" ht="15.75" customHeight="1"/>
    <row r="49" spans="2:5" ht="15.75" customHeight="1"/>
    <row r="50" spans="2:5" ht="30" customHeight="1">
      <c r="B50" s="435" t="s">
        <v>8981</v>
      </c>
      <c r="C50" s="435"/>
      <c r="D50" s="435"/>
      <c r="E50" s="435"/>
    </row>
    <row r="51" spans="2:5" ht="15.75" customHeight="1"/>
    <row r="52" spans="2:5" ht="15.75" customHeight="1"/>
    <row r="53" spans="2:5" ht="15.75" customHeight="1"/>
    <row r="54" spans="2:5" ht="15.75" customHeight="1"/>
    <row r="55" spans="2:5" ht="15.75" customHeight="1"/>
    <row r="56" spans="2:5" ht="15.75" customHeight="1"/>
    <row r="57" spans="2:5" ht="15.75" customHeight="1"/>
    <row r="58" spans="2:5" ht="15.75" customHeight="1"/>
    <row r="59" spans="2:5" ht="15.75" customHeight="1"/>
    <row r="60" spans="2:5" ht="15.75" customHeight="1"/>
    <row r="61" spans="2:5" ht="15.75" customHeight="1"/>
    <row r="62" spans="2:5" ht="15.75" customHeight="1"/>
    <row r="63" spans="2:5" ht="15.75" customHeight="1"/>
    <row r="64" spans="2: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B50:E50"/>
  </mergeCells>
  <hyperlinks>
    <hyperlink ref="B21" r:id="rId1" display="https://www.screener.in/company/TATAPOWER/consolidated/" xr:uid="{00000000-0004-0000-0D00-000000000000}"/>
  </hyperlinks>
  <pageMargins left="0.7" right="0.7" top="0.75" bottom="0.75" header="0" footer="0"/>
  <pageSetup paperSize="9" orientation="portrait"/>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002060"/>
  </sheetPr>
  <dimension ref="A2:P62"/>
  <sheetViews>
    <sheetView showGridLines="0" topLeftCell="A21" workbookViewId="0">
      <selection activeCell="B62" sqref="B62:M62"/>
    </sheetView>
  </sheetViews>
  <sheetFormatPr defaultRowHeight="15"/>
  <cols>
    <col min="1" max="1" width="2" style="88" bestFit="1" customWidth="1"/>
    <col min="2" max="2" width="35.7109375" style="88" bestFit="1" customWidth="1"/>
    <col min="3" max="3" width="9.140625" style="88"/>
    <col min="4" max="5" width="13.28515625" style="88" bestFit="1" customWidth="1"/>
    <col min="6" max="7" width="13.140625" style="88" bestFit="1" customWidth="1"/>
    <col min="8" max="11" width="13.28515625" style="88" bestFit="1" customWidth="1"/>
    <col min="12" max="12" width="14.28515625" style="88" bestFit="1" customWidth="1"/>
    <col min="13" max="13" width="13.42578125" style="88" bestFit="1" customWidth="1"/>
    <col min="14" max="15" width="9.140625" style="88"/>
    <col min="16" max="16" width="1.42578125" style="88" bestFit="1" customWidth="1"/>
    <col min="17" max="16384" width="9.140625" style="88"/>
  </cols>
  <sheetData>
    <row r="2" spans="2:13">
      <c r="B2" s="87" t="s">
        <v>8986</v>
      </c>
      <c r="C2" s="87"/>
      <c r="D2" s="87"/>
      <c r="E2" s="87"/>
      <c r="F2" s="87"/>
      <c r="G2" s="87"/>
      <c r="H2" s="87"/>
      <c r="I2" s="87"/>
      <c r="J2" s="87"/>
      <c r="K2" s="87"/>
      <c r="L2" s="87"/>
      <c r="M2" s="87"/>
    </row>
    <row r="4" spans="2:13">
      <c r="B4" s="119" t="s">
        <v>217</v>
      </c>
      <c r="C4" s="90"/>
      <c r="D4" s="90">
        <f>'Historical Financial Statements'!C3</f>
        <v>42825</v>
      </c>
      <c r="E4" s="90">
        <f>'Historical Financial Statements'!D3</f>
        <v>43190</v>
      </c>
      <c r="F4" s="90">
        <f>'Historical Financial Statements'!E3</f>
        <v>43555</v>
      </c>
      <c r="G4" s="90">
        <f>'Historical Financial Statements'!F3</f>
        <v>43921</v>
      </c>
      <c r="H4" s="90">
        <f>'Historical Financial Statements'!G3</f>
        <v>44286</v>
      </c>
      <c r="I4" s="90">
        <f>'Historical Financial Statements'!H3</f>
        <v>44651</v>
      </c>
      <c r="J4" s="90">
        <f>'Historical Financial Statements'!I3</f>
        <v>45016</v>
      </c>
      <c r="K4" s="90">
        <f>'Historical Financial Statements'!J3</f>
        <v>45382</v>
      </c>
      <c r="L4" s="90">
        <f>'Historical Financial Statements'!K3</f>
        <v>45747</v>
      </c>
      <c r="M4" s="90">
        <f>'Historical Financial Statements'!L3</f>
        <v>46112</v>
      </c>
    </row>
    <row r="6" spans="2:13">
      <c r="B6" s="91" t="s">
        <v>218</v>
      </c>
    </row>
    <row r="7" spans="2:13">
      <c r="B7" s="92" t="s">
        <v>525</v>
      </c>
      <c r="D7" s="335">
        <f>'Historical Financial Statements'!C74</f>
        <v>1600</v>
      </c>
      <c r="E7" s="335">
        <f>'Historical Financial Statements'!D74</f>
        <v>1623</v>
      </c>
      <c r="F7" s="335">
        <f>'Historical Financial Statements'!E74</f>
        <v>1706</v>
      </c>
      <c r="G7" s="335">
        <f>'Historical Financial Statements'!F74</f>
        <v>1752</v>
      </c>
      <c r="H7" s="335">
        <f>'Historical Financial Statements'!G74</f>
        <v>1886</v>
      </c>
      <c r="I7" s="335">
        <f>'Historical Financial Statements'!H74</f>
        <v>4232</v>
      </c>
      <c r="J7" s="335">
        <f>'Historical Financial Statements'!I74</f>
        <v>3943</v>
      </c>
      <c r="K7" s="335">
        <f>'Historical Financial Statements'!J74</f>
        <v>4420</v>
      </c>
      <c r="L7" s="335">
        <f>'Historical Financial Statements'!K74</f>
        <v>4572</v>
      </c>
      <c r="M7" s="335">
        <f>'Historical Financial Statements'!L74</f>
        <v>5108</v>
      </c>
    </row>
    <row r="8" spans="2:13">
      <c r="B8" s="92" t="s">
        <v>529</v>
      </c>
      <c r="D8" s="335">
        <f>'Historical Financial Statements'!C75</f>
        <v>3832</v>
      </c>
      <c r="E8" s="335">
        <f>'Historical Financial Statements'!D75</f>
        <v>2789</v>
      </c>
      <c r="F8" s="335">
        <f>'Historical Financial Statements'!E75</f>
        <v>4445</v>
      </c>
      <c r="G8" s="335">
        <f>'Historical Financial Statements'!F75</f>
        <v>4426</v>
      </c>
      <c r="H8" s="335">
        <f>'Historical Financial Statements'!G75</f>
        <v>5200</v>
      </c>
      <c r="I8" s="335">
        <f>'Historical Financial Statements'!H75</f>
        <v>5980</v>
      </c>
      <c r="J8" s="335">
        <f>'Historical Financial Statements'!I75</f>
        <v>6952</v>
      </c>
      <c r="K8" s="335">
        <f>'Historical Financial Statements'!J75</f>
        <v>7402</v>
      </c>
      <c r="L8" s="335">
        <f>'Historical Financial Statements'!K75</f>
        <v>5710</v>
      </c>
      <c r="M8" s="335">
        <f>'Historical Financial Statements'!L75</f>
        <v>4424</v>
      </c>
    </row>
    <row r="9" spans="2:13">
      <c r="B9" s="92" t="s">
        <v>527</v>
      </c>
      <c r="D9" s="335">
        <f>'Historical Financial Statements'!C76</f>
        <v>395</v>
      </c>
      <c r="E9" s="335">
        <f>'Historical Financial Statements'!D76</f>
        <v>490</v>
      </c>
      <c r="F9" s="335">
        <f>'Historical Financial Statements'!E76</f>
        <v>501</v>
      </c>
      <c r="G9" s="335">
        <f>'Historical Financial Statements'!F76</f>
        <v>552</v>
      </c>
      <c r="H9" s="335">
        <f>'Historical Financial Statements'!G76</f>
        <v>609</v>
      </c>
      <c r="I9" s="335">
        <f>'Historical Financial Statements'!H76</f>
        <v>887</v>
      </c>
      <c r="J9" s="335">
        <f>'Historical Financial Statements'!I76</f>
        <v>1079</v>
      </c>
      <c r="K9" s="335">
        <f>'Historical Financial Statements'!J76</f>
        <v>1134</v>
      </c>
      <c r="L9" s="335">
        <f>'Historical Financial Statements'!K76</f>
        <v>994</v>
      </c>
      <c r="M9" s="335">
        <f>'Historical Financial Statements'!L76</f>
        <v>461</v>
      </c>
    </row>
    <row r="10" spans="2:13">
      <c r="B10" s="92" t="s">
        <v>528</v>
      </c>
      <c r="D10" s="335">
        <f>'Historical Financial Statements'!C77</f>
        <v>15402</v>
      </c>
      <c r="E10" s="335">
        <f>'Historical Financial Statements'!D77</f>
        <v>17066</v>
      </c>
      <c r="F10" s="335">
        <f>'Historical Financial Statements'!E77</f>
        <v>16211</v>
      </c>
      <c r="G10" s="335">
        <f>'Historical Financial Statements'!F77</f>
        <v>17037</v>
      </c>
      <c r="H10" s="335">
        <f>'Historical Financial Statements'!G77</f>
        <v>16491</v>
      </c>
      <c r="I10" s="335">
        <f>'Historical Financial Statements'!H77</f>
        <v>18627</v>
      </c>
      <c r="J10" s="335">
        <f>'Historical Financial Statements'!I77</f>
        <v>21123</v>
      </c>
      <c r="K10" s="335">
        <f>'Historical Financial Statements'!J77</f>
        <v>21861</v>
      </c>
      <c r="L10" s="335">
        <f>'Historical Financial Statements'!K77</f>
        <v>25797</v>
      </c>
      <c r="M10" s="335">
        <f>'Historical Financial Statements'!L77</f>
        <v>32465</v>
      </c>
    </row>
    <row r="11" spans="2:13">
      <c r="B11" s="95" t="s">
        <v>219</v>
      </c>
      <c r="C11" s="95"/>
      <c r="D11" s="341">
        <f t="shared" ref="D11:M11" si="0">SUM(D7:D10)</f>
        <v>21229</v>
      </c>
      <c r="E11" s="341">
        <f t="shared" si="0"/>
        <v>21968</v>
      </c>
      <c r="F11" s="341">
        <f t="shared" si="0"/>
        <v>22863</v>
      </c>
      <c r="G11" s="341">
        <f t="shared" si="0"/>
        <v>23767</v>
      </c>
      <c r="H11" s="341">
        <f t="shared" si="0"/>
        <v>24186</v>
      </c>
      <c r="I11" s="341">
        <f t="shared" si="0"/>
        <v>29726</v>
      </c>
      <c r="J11" s="341">
        <f t="shared" si="0"/>
        <v>33097</v>
      </c>
      <c r="K11" s="341">
        <f t="shared" si="0"/>
        <v>34817</v>
      </c>
      <c r="L11" s="341">
        <f t="shared" si="0"/>
        <v>37073</v>
      </c>
      <c r="M11" s="341">
        <f t="shared" si="0"/>
        <v>42458</v>
      </c>
    </row>
    <row r="12" spans="2:13">
      <c r="D12" s="335"/>
      <c r="E12" s="335"/>
      <c r="F12" s="335"/>
      <c r="G12" s="335"/>
      <c r="H12" s="335"/>
      <c r="I12" s="335"/>
      <c r="J12" s="335"/>
      <c r="K12" s="335"/>
      <c r="L12" s="335"/>
      <c r="M12" s="335"/>
    </row>
    <row r="13" spans="2:13">
      <c r="B13" s="91" t="s">
        <v>220</v>
      </c>
      <c r="D13" s="335"/>
      <c r="E13" s="335"/>
      <c r="F13" s="335"/>
      <c r="G13" s="335"/>
      <c r="H13" s="335"/>
      <c r="I13" s="335"/>
      <c r="J13" s="335"/>
      <c r="K13" s="335"/>
      <c r="L13" s="335"/>
      <c r="M13" s="335"/>
    </row>
    <row r="14" spans="2:13">
      <c r="B14" s="98" t="s">
        <v>221</v>
      </c>
      <c r="D14" s="335">
        <f>'Historical Financial Statements'!C66</f>
        <v>5529</v>
      </c>
      <c r="E14" s="335">
        <f>'Historical Financial Statements'!D66</f>
        <v>5610</v>
      </c>
      <c r="F14" s="335">
        <f>'Historical Financial Statements'!E66</f>
        <v>5481</v>
      </c>
      <c r="G14" s="335">
        <f>'Historical Financial Statements'!F66</f>
        <v>5095</v>
      </c>
      <c r="H14" s="335">
        <f>'Historical Financial Statements'!G66</f>
        <v>7146</v>
      </c>
      <c r="I14" s="335">
        <f>'Historical Financial Statements'!H66</f>
        <v>10460</v>
      </c>
      <c r="J14" s="335">
        <f>'Historical Financial Statements'!I66</f>
        <v>7407</v>
      </c>
      <c r="K14" s="335">
        <f>'Historical Financial Statements'!J66</f>
        <v>14093</v>
      </c>
      <c r="L14" s="335">
        <f>'Historical Financial Statements'!K66</f>
        <v>13984</v>
      </c>
      <c r="M14" s="335">
        <f>'Historical Financial Statements'!L66</f>
        <v>10786</v>
      </c>
    </row>
    <row r="15" spans="2:13">
      <c r="B15" s="98" t="s">
        <v>222</v>
      </c>
      <c r="D15" s="335">
        <f>'Historical Financial Statements'!C67</f>
        <v>413</v>
      </c>
      <c r="E15" s="335">
        <f>'Historical Financial Statements'!D67</f>
        <v>559</v>
      </c>
      <c r="F15" s="335">
        <f>'Historical Financial Statements'!E67</f>
        <v>485</v>
      </c>
      <c r="G15" s="335">
        <f>'Historical Financial Statements'!F67</f>
        <v>782</v>
      </c>
      <c r="H15" s="335">
        <f>'Historical Financial Statements'!G67</f>
        <v>1209</v>
      </c>
      <c r="I15" s="335">
        <f>'Historical Financial Statements'!H67</f>
        <v>1180</v>
      </c>
      <c r="J15" s="335">
        <f>'Historical Financial Statements'!I67</f>
        <v>2458</v>
      </c>
      <c r="K15" s="335">
        <f>'Historical Financial Statements'!J67</f>
        <v>2197</v>
      </c>
      <c r="L15" s="335">
        <f>'Historical Financial Statements'!K67</f>
        <v>1579</v>
      </c>
      <c r="M15" s="335">
        <f>'Historical Financial Statements'!L67</f>
        <v>1580</v>
      </c>
    </row>
    <row r="16" spans="2:13">
      <c r="B16" s="98" t="s">
        <v>223</v>
      </c>
      <c r="D16" s="335">
        <f>'Historical Financial Statements'!C68</f>
        <v>12989</v>
      </c>
      <c r="E16" s="335">
        <f>'Historical Financial Statements'!D68</f>
        <v>8718</v>
      </c>
      <c r="F16" s="335">
        <f>'Historical Financial Statements'!E68</f>
        <v>9129</v>
      </c>
      <c r="G16" s="335">
        <f>'Historical Financial Statements'!F68</f>
        <v>9962</v>
      </c>
      <c r="H16" s="335">
        <f>'Historical Financial Statements'!G68</f>
        <v>18342</v>
      </c>
      <c r="I16" s="335">
        <f>'Historical Financial Statements'!H68</f>
        <v>23687</v>
      </c>
      <c r="J16" s="335">
        <f>'Historical Financial Statements'!I68</f>
        <v>31104</v>
      </c>
      <c r="K16" s="335">
        <f>'Historical Financial Statements'!J68</f>
        <v>30742</v>
      </c>
      <c r="L16" s="335">
        <f>'Historical Financial Statements'!K68</f>
        <v>35158</v>
      </c>
      <c r="M16" s="335">
        <f>'Historical Financial Statements'!L68</f>
        <v>38518</v>
      </c>
    </row>
    <row r="17" spans="1:14">
      <c r="B17" s="95" t="s">
        <v>224</v>
      </c>
      <c r="C17" s="95"/>
      <c r="D17" s="341">
        <f t="shared" ref="D17:M17" si="1">SUM(D14:D16)</f>
        <v>18931</v>
      </c>
      <c r="E17" s="341">
        <f t="shared" si="1"/>
        <v>14887</v>
      </c>
      <c r="F17" s="341">
        <f t="shared" si="1"/>
        <v>15095</v>
      </c>
      <c r="G17" s="341">
        <f t="shared" si="1"/>
        <v>15839</v>
      </c>
      <c r="H17" s="341">
        <f t="shared" si="1"/>
        <v>26697</v>
      </c>
      <c r="I17" s="341">
        <f t="shared" si="1"/>
        <v>35327</v>
      </c>
      <c r="J17" s="341">
        <f t="shared" si="1"/>
        <v>40969</v>
      </c>
      <c r="K17" s="341">
        <f t="shared" si="1"/>
        <v>47032</v>
      </c>
      <c r="L17" s="341">
        <f t="shared" si="1"/>
        <v>50721</v>
      </c>
      <c r="M17" s="341">
        <f t="shared" si="1"/>
        <v>50884</v>
      </c>
    </row>
    <row r="18" spans="1:14">
      <c r="D18" s="335"/>
      <c r="E18" s="335"/>
      <c r="F18" s="335"/>
      <c r="G18" s="335"/>
      <c r="H18" s="335"/>
      <c r="I18" s="335"/>
      <c r="J18" s="335"/>
      <c r="K18" s="335"/>
      <c r="L18" s="335"/>
      <c r="M18" s="335"/>
    </row>
    <row r="19" spans="1:14" s="91" customFormat="1">
      <c r="A19" s="91" t="s">
        <v>96</v>
      </c>
      <c r="B19" s="91" t="s">
        <v>225</v>
      </c>
      <c r="D19" s="343">
        <f t="shared" ref="D19:M19" si="2">D11-D17</f>
        <v>2298</v>
      </c>
      <c r="E19" s="343">
        <f t="shared" si="2"/>
        <v>7081</v>
      </c>
      <c r="F19" s="343">
        <f t="shared" si="2"/>
        <v>7768</v>
      </c>
      <c r="G19" s="343">
        <f t="shared" si="2"/>
        <v>7928</v>
      </c>
      <c r="H19" s="343">
        <f t="shared" si="2"/>
        <v>-2511</v>
      </c>
      <c r="I19" s="343">
        <f t="shared" si="2"/>
        <v>-5601</v>
      </c>
      <c r="J19" s="343">
        <f t="shared" si="2"/>
        <v>-7872</v>
      </c>
      <c r="K19" s="343">
        <f t="shared" si="2"/>
        <v>-12215</v>
      </c>
      <c r="L19" s="343">
        <f t="shared" si="2"/>
        <v>-13648</v>
      </c>
      <c r="M19" s="343">
        <f t="shared" si="2"/>
        <v>-8426</v>
      </c>
    </row>
    <row r="20" spans="1:14">
      <c r="D20" s="335"/>
      <c r="E20" s="335"/>
      <c r="F20" s="335"/>
      <c r="G20" s="335"/>
      <c r="H20" s="335"/>
      <c r="I20" s="335"/>
      <c r="J20" s="335"/>
      <c r="K20" s="335"/>
      <c r="L20" s="335"/>
      <c r="M20" s="335"/>
    </row>
    <row r="21" spans="1:14">
      <c r="D21" s="335"/>
      <c r="E21" s="335"/>
      <c r="F21" s="335"/>
      <c r="G21" s="335"/>
      <c r="H21" s="335"/>
      <c r="I21" s="335"/>
      <c r="J21" s="335"/>
      <c r="K21" s="335"/>
      <c r="L21" s="335"/>
      <c r="M21" s="335"/>
    </row>
    <row r="22" spans="1:14">
      <c r="B22" s="91" t="s">
        <v>226</v>
      </c>
      <c r="D22" s="335"/>
      <c r="E22" s="335"/>
      <c r="F22" s="335"/>
      <c r="G22" s="335"/>
      <c r="H22" s="335"/>
      <c r="I22" s="335"/>
      <c r="J22" s="335"/>
      <c r="K22" s="335"/>
      <c r="L22" s="335"/>
      <c r="M22" s="335"/>
    </row>
    <row r="23" spans="1:14">
      <c r="B23" s="93" t="s">
        <v>513</v>
      </c>
      <c r="C23" s="93"/>
      <c r="D23" s="347">
        <f>'Historical Financial Statements'!C82</f>
        <v>1079</v>
      </c>
      <c r="E23" s="347">
        <f>'Historical Financial Statements'!D82</f>
        <v>974</v>
      </c>
      <c r="F23" s="347">
        <f>'Historical Financial Statements'!E82</f>
        <v>1032</v>
      </c>
      <c r="G23" s="347">
        <f>'Historical Financial Statements'!F82</f>
        <v>2071</v>
      </c>
      <c r="H23" s="347">
        <f>'Historical Financial Statements'!G82</f>
        <v>2186</v>
      </c>
      <c r="I23" s="347">
        <f>'Historical Financial Statements'!H82</f>
        <v>2284</v>
      </c>
      <c r="J23" s="347">
        <f>'Historical Financial Statements'!I82</f>
        <v>2672</v>
      </c>
      <c r="K23" s="347">
        <f>'Historical Financial Statements'!J82</f>
        <v>3352</v>
      </c>
      <c r="L23" s="347">
        <f>'Historical Financial Statements'!K82</f>
        <v>4087</v>
      </c>
      <c r="M23" s="347">
        <f>'Historical Financial Statements'!L82</f>
        <v>4798</v>
      </c>
    </row>
    <row r="24" spans="1:14">
      <c r="B24" s="93" t="s">
        <v>514</v>
      </c>
      <c r="C24" s="93"/>
      <c r="D24" s="347">
        <f>'Historical Financial Statements'!C83</f>
        <v>2792</v>
      </c>
      <c r="E24" s="347">
        <f>'Historical Financial Statements'!D83</f>
        <v>2906</v>
      </c>
      <c r="F24" s="347">
        <f>'Historical Financial Statements'!E83</f>
        <v>2938</v>
      </c>
      <c r="G24" s="347">
        <f>'Historical Financial Statements'!F83</f>
        <v>3058</v>
      </c>
      <c r="H24" s="347">
        <f>'Historical Financial Statements'!G83</f>
        <v>3826</v>
      </c>
      <c r="I24" s="347">
        <f>'Historical Financial Statements'!H83</f>
        <v>4043</v>
      </c>
      <c r="J24" s="347">
        <f>'Historical Financial Statements'!I83</f>
        <v>4432</v>
      </c>
      <c r="K24" s="347">
        <f>'Historical Financial Statements'!J83</f>
        <v>4503</v>
      </c>
      <c r="L24" s="347">
        <f>'Historical Financial Statements'!K83</f>
        <v>5615</v>
      </c>
      <c r="M24" s="347">
        <f>'Historical Financial Statements'!L83</f>
        <v>6228</v>
      </c>
    </row>
    <row r="25" spans="1:14">
      <c r="B25" s="93" t="s">
        <v>515</v>
      </c>
      <c r="C25" s="93"/>
      <c r="D25" s="347">
        <f>'Historical Financial Statements'!C84</f>
        <v>44014</v>
      </c>
      <c r="E25" s="347">
        <f>'Historical Financial Statements'!D84</f>
        <v>43914</v>
      </c>
      <c r="F25" s="347">
        <f>'Historical Financial Statements'!E84</f>
        <v>44924</v>
      </c>
      <c r="G25" s="347">
        <f>'Historical Financial Statements'!F84</f>
        <v>47425</v>
      </c>
      <c r="H25" s="347">
        <f>'Historical Financial Statements'!G84</f>
        <v>48607</v>
      </c>
      <c r="I25" s="347">
        <f>'Historical Financial Statements'!H84</f>
        <v>52664</v>
      </c>
      <c r="J25" s="347">
        <f>'Historical Financial Statements'!I84</f>
        <v>55799</v>
      </c>
      <c r="K25" s="347">
        <f>'Historical Financial Statements'!J84</f>
        <v>59919</v>
      </c>
      <c r="L25" s="347">
        <f>'Historical Financial Statements'!K84</f>
        <v>68397</v>
      </c>
      <c r="M25" s="347">
        <f>'Historical Financial Statements'!L84</f>
        <v>74140</v>
      </c>
    </row>
    <row r="26" spans="1:14">
      <c r="B26" s="93" t="s">
        <v>516</v>
      </c>
      <c r="C26" s="93"/>
      <c r="D26" s="347">
        <f>'Historical Financial Statements'!C85</f>
        <v>5317</v>
      </c>
      <c r="E26" s="347">
        <f>'Historical Financial Statements'!D85</f>
        <v>5812</v>
      </c>
      <c r="F26" s="347">
        <f>'Historical Financial Statements'!E85</f>
        <v>6364</v>
      </c>
      <c r="G26" s="347">
        <f>'Historical Financial Statements'!F85</f>
        <v>6967</v>
      </c>
      <c r="H26" s="347">
        <f>'Historical Financial Statements'!G85</f>
        <v>11790</v>
      </c>
      <c r="I26" s="347">
        <f>'Historical Financial Statements'!H85</f>
        <v>15200</v>
      </c>
      <c r="J26" s="347">
        <f>'Historical Financial Statements'!I85</f>
        <v>18485</v>
      </c>
      <c r="K26" s="347">
        <f>'Historical Financial Statements'!J85</f>
        <v>22097</v>
      </c>
      <c r="L26" s="347">
        <f>'Historical Financial Statements'!K85</f>
        <v>26523</v>
      </c>
      <c r="M26" s="347">
        <f>'Historical Financial Statements'!L85</f>
        <v>32524</v>
      </c>
    </row>
    <row r="27" spans="1:14">
      <c r="B27" s="93" t="s">
        <v>517</v>
      </c>
      <c r="C27" s="93"/>
      <c r="D27" s="347">
        <f>'Historical Financial Statements'!C86</f>
        <v>137</v>
      </c>
      <c r="E27" s="347">
        <f>'Historical Financial Statements'!D86</f>
        <v>122</v>
      </c>
      <c r="F27" s="347">
        <f>'Historical Financial Statements'!E86</f>
        <v>120</v>
      </c>
      <c r="G27" s="347">
        <f>'Historical Financial Statements'!F86</f>
        <v>118</v>
      </c>
      <c r="H27" s="347">
        <f>'Historical Financial Statements'!G86</f>
        <v>134</v>
      </c>
      <c r="I27" s="347">
        <f>'Historical Financial Statements'!H86</f>
        <v>144</v>
      </c>
      <c r="J27" s="347">
        <f>'Historical Financial Statements'!I86</f>
        <v>167</v>
      </c>
      <c r="K27" s="347">
        <f>'Historical Financial Statements'!J86</f>
        <v>187</v>
      </c>
      <c r="L27" s="347">
        <f>'Historical Financial Statements'!K86</f>
        <v>207</v>
      </c>
      <c r="M27" s="347">
        <f>'Historical Financial Statements'!L86</f>
        <v>212</v>
      </c>
      <c r="N27" s="131"/>
    </row>
    <row r="28" spans="1:14">
      <c r="B28" s="93" t="s">
        <v>518</v>
      </c>
      <c r="C28" s="93"/>
      <c r="D28" s="347">
        <f>'Historical Financial Statements'!C87</f>
        <v>96</v>
      </c>
      <c r="E28" s="347">
        <f>'Historical Financial Statements'!D87</f>
        <v>99</v>
      </c>
      <c r="F28" s="347">
        <f>'Historical Financial Statements'!E87</f>
        <v>103</v>
      </c>
      <c r="G28" s="347">
        <f>'Historical Financial Statements'!F87</f>
        <v>104</v>
      </c>
      <c r="H28" s="347">
        <f>'Historical Financial Statements'!G87</f>
        <v>0</v>
      </c>
      <c r="I28" s="347">
        <f>'Historical Financial Statements'!H87</f>
        <v>0</v>
      </c>
      <c r="J28" s="347">
        <f>'Historical Financial Statements'!I87</f>
        <v>0</v>
      </c>
      <c r="K28" s="347">
        <f>'Historical Financial Statements'!J87</f>
        <v>0</v>
      </c>
      <c r="L28" s="347">
        <f>'Historical Financial Statements'!K87</f>
        <v>0</v>
      </c>
      <c r="M28" s="347">
        <f>'Historical Financial Statements'!L87</f>
        <v>0</v>
      </c>
    </row>
    <row r="29" spans="1:14">
      <c r="B29" s="93" t="s">
        <v>519</v>
      </c>
      <c r="C29" s="93"/>
      <c r="D29" s="347">
        <f>'Historical Financial Statements'!C88</f>
        <v>220</v>
      </c>
      <c r="E29" s="347">
        <f>'Historical Financial Statements'!D88</f>
        <v>250</v>
      </c>
      <c r="F29" s="347">
        <f>'Historical Financial Statements'!E88</f>
        <v>245</v>
      </c>
      <c r="G29" s="347">
        <f>'Historical Financial Statements'!F88</f>
        <v>235</v>
      </c>
      <c r="H29" s="347">
        <f>'Historical Financial Statements'!G88</f>
        <v>228</v>
      </c>
      <c r="I29" s="347">
        <f>'Historical Financial Statements'!H88</f>
        <v>225</v>
      </c>
      <c r="J29" s="347">
        <f>'Historical Financial Statements'!I88</f>
        <v>247</v>
      </c>
      <c r="K29" s="347">
        <f>'Historical Financial Statements'!J88</f>
        <v>300</v>
      </c>
      <c r="L29" s="347">
        <f>'Historical Financial Statements'!K88</f>
        <v>327</v>
      </c>
      <c r="M29" s="347">
        <f>'Historical Financial Statements'!L88</f>
        <v>353</v>
      </c>
    </row>
    <row r="30" spans="1:14">
      <c r="B30" s="93" t="s">
        <v>520</v>
      </c>
      <c r="C30" s="93"/>
      <c r="D30" s="347">
        <f>'Historical Financial Statements'!C89</f>
        <v>1768</v>
      </c>
      <c r="E30" s="347">
        <f>'Historical Financial Statements'!D89</f>
        <v>1666</v>
      </c>
      <c r="F30" s="347">
        <f>'Historical Financial Statements'!E89</f>
        <v>1654</v>
      </c>
      <c r="G30" s="347">
        <f>'Historical Financial Statements'!F89</f>
        <v>1646</v>
      </c>
      <c r="H30" s="347">
        <f>'Historical Financial Statements'!G89</f>
        <v>1800</v>
      </c>
      <c r="I30" s="347">
        <f>'Historical Financial Statements'!H89</f>
        <v>1864</v>
      </c>
      <c r="J30" s="347">
        <f>'Historical Financial Statements'!I89</f>
        <v>1865</v>
      </c>
      <c r="K30" s="347">
        <f>'Historical Financial Statements'!J89</f>
        <v>1903</v>
      </c>
      <c r="L30" s="347">
        <f>'Historical Financial Statements'!K89</f>
        <v>1807</v>
      </c>
      <c r="M30" s="347">
        <f>'Historical Financial Statements'!L89</f>
        <v>1698</v>
      </c>
    </row>
    <row r="31" spans="1:14">
      <c r="B31" s="94" t="s">
        <v>521</v>
      </c>
      <c r="C31" s="97"/>
      <c r="D31" s="335">
        <f>'Historical Financial Statements'!C90</f>
        <v>4211</v>
      </c>
      <c r="E31" s="335">
        <f>'Historical Financial Statements'!D90</f>
        <v>4265</v>
      </c>
      <c r="F31" s="335">
        <f>'Historical Financial Statements'!E90</f>
        <v>4233</v>
      </c>
      <c r="G31" s="335">
        <f>'Historical Financial Statements'!F90</f>
        <v>5441</v>
      </c>
      <c r="H31" s="335">
        <f>'Historical Financial Statements'!G90</f>
        <v>5584</v>
      </c>
      <c r="I31" s="335">
        <f>'Historical Financial Statements'!H90</f>
        <v>5876</v>
      </c>
      <c r="J31" s="335">
        <f>'Historical Financial Statements'!I90</f>
        <v>6229</v>
      </c>
      <c r="K31" s="335">
        <f>'Historical Financial Statements'!J90</f>
        <v>6519</v>
      </c>
      <c r="L31" s="335">
        <f>'Historical Financial Statements'!K90</f>
        <v>6722</v>
      </c>
      <c r="M31" s="335">
        <f>'Historical Financial Statements'!L90</f>
        <v>6959</v>
      </c>
    </row>
    <row r="32" spans="1:14">
      <c r="B32" s="96" t="s">
        <v>522</v>
      </c>
      <c r="C32" s="95"/>
      <c r="D32" s="341">
        <f t="shared" ref="D32:M32" si="3">SUM(D23:D31)</f>
        <v>59634</v>
      </c>
      <c r="E32" s="341">
        <f t="shared" si="3"/>
        <v>60008</v>
      </c>
      <c r="F32" s="341">
        <f t="shared" si="3"/>
        <v>61613</v>
      </c>
      <c r="G32" s="341">
        <f t="shared" si="3"/>
        <v>67065</v>
      </c>
      <c r="H32" s="341">
        <f t="shared" si="3"/>
        <v>74155</v>
      </c>
      <c r="I32" s="341">
        <f t="shared" si="3"/>
        <v>82300</v>
      </c>
      <c r="J32" s="341">
        <f t="shared" si="3"/>
        <v>89896</v>
      </c>
      <c r="K32" s="341">
        <f t="shared" si="3"/>
        <v>98780</v>
      </c>
      <c r="L32" s="341">
        <f t="shared" si="3"/>
        <v>113685</v>
      </c>
      <c r="M32" s="341">
        <f t="shared" si="3"/>
        <v>126912</v>
      </c>
    </row>
    <row r="33" spans="1:13">
      <c r="B33" s="97" t="s">
        <v>523</v>
      </c>
      <c r="D33" s="335">
        <f>-'Historical Financial Statements'!C92</f>
        <v>-13040</v>
      </c>
      <c r="E33" s="335">
        <f>-'Historical Financial Statements'!D92</f>
        <v>-15352</v>
      </c>
      <c r="F33" s="335">
        <f>-'Historical Financial Statements'!E92</f>
        <v>-17308</v>
      </c>
      <c r="G33" s="335">
        <f>-'Historical Financial Statements'!F92</f>
        <v>-19398</v>
      </c>
      <c r="H33" s="335">
        <f>-'Historical Financial Statements'!G92</f>
        <v>-21976</v>
      </c>
      <c r="I33" s="335">
        <f>-'Historical Financial Statements'!H92</f>
        <v>-24911</v>
      </c>
      <c r="J33" s="335">
        <f>-'Historical Financial Statements'!I92</f>
        <v>-28150</v>
      </c>
      <c r="K33" s="335">
        <f>-'Historical Financial Statements'!J92</f>
        <v>-31571</v>
      </c>
      <c r="L33" s="335">
        <f>-'Historical Financial Statements'!K92</f>
        <v>-35311</v>
      </c>
      <c r="M33" s="335">
        <f>-'Historical Financial Statements'!L92</f>
        <v>-39620</v>
      </c>
    </row>
    <row r="34" spans="1:13">
      <c r="A34" s="101" t="s">
        <v>96</v>
      </c>
      <c r="B34" s="102" t="s">
        <v>539</v>
      </c>
      <c r="C34" s="102"/>
      <c r="D34" s="342">
        <f t="shared" ref="D34:M34" si="4">SUM(D32:D33)</f>
        <v>46594</v>
      </c>
      <c r="E34" s="342">
        <f t="shared" si="4"/>
        <v>44656</v>
      </c>
      <c r="F34" s="342">
        <f t="shared" si="4"/>
        <v>44305</v>
      </c>
      <c r="G34" s="342">
        <f t="shared" si="4"/>
        <v>47667</v>
      </c>
      <c r="H34" s="342">
        <f t="shared" si="4"/>
        <v>52179</v>
      </c>
      <c r="I34" s="342">
        <f t="shared" si="4"/>
        <v>57389</v>
      </c>
      <c r="J34" s="342">
        <f t="shared" si="4"/>
        <v>61746</v>
      </c>
      <c r="K34" s="342">
        <f t="shared" si="4"/>
        <v>67209</v>
      </c>
      <c r="L34" s="342">
        <f t="shared" si="4"/>
        <v>78374</v>
      </c>
      <c r="M34" s="342">
        <f t="shared" si="4"/>
        <v>87292</v>
      </c>
    </row>
    <row r="35" spans="1:13">
      <c r="B35" s="97"/>
      <c r="D35" s="335"/>
      <c r="E35" s="335"/>
      <c r="F35" s="335"/>
      <c r="G35" s="335"/>
      <c r="H35" s="335"/>
      <c r="I35" s="335"/>
      <c r="J35" s="335"/>
      <c r="K35" s="335"/>
      <c r="L35" s="335"/>
      <c r="M35" s="335"/>
    </row>
    <row r="36" spans="1:13">
      <c r="A36" s="101" t="s">
        <v>96</v>
      </c>
      <c r="B36" s="99" t="s">
        <v>227</v>
      </c>
      <c r="C36" s="91"/>
      <c r="D36" s="343">
        <f>D34+D19</f>
        <v>48892</v>
      </c>
      <c r="E36" s="343">
        <f t="shared" ref="E36:M36" si="5">E34+E19</f>
        <v>51737</v>
      </c>
      <c r="F36" s="343">
        <f t="shared" si="5"/>
        <v>52073</v>
      </c>
      <c r="G36" s="343">
        <f t="shared" si="5"/>
        <v>55595</v>
      </c>
      <c r="H36" s="343">
        <f t="shared" si="5"/>
        <v>49668</v>
      </c>
      <c r="I36" s="343">
        <f t="shared" si="5"/>
        <v>51788</v>
      </c>
      <c r="J36" s="343">
        <f t="shared" si="5"/>
        <v>53874</v>
      </c>
      <c r="K36" s="343">
        <f t="shared" si="5"/>
        <v>54994</v>
      </c>
      <c r="L36" s="343">
        <f t="shared" si="5"/>
        <v>64726</v>
      </c>
      <c r="M36" s="343">
        <f t="shared" si="5"/>
        <v>78866</v>
      </c>
    </row>
    <row r="37" spans="1:13">
      <c r="B37" s="99" t="s">
        <v>540</v>
      </c>
      <c r="D37" s="343">
        <f>D49</f>
        <v>2895.9349999999986</v>
      </c>
      <c r="E37" s="343">
        <f t="shared" ref="E37:M37" si="6">E49</f>
        <v>2882.6000000000004</v>
      </c>
      <c r="F37" s="343">
        <f t="shared" si="6"/>
        <v>3167.1990000000023</v>
      </c>
      <c r="G37" s="343">
        <f t="shared" si="6"/>
        <v>3823.5259999999998</v>
      </c>
      <c r="H37" s="343">
        <f t="shared" si="6"/>
        <v>3114.152999999998</v>
      </c>
      <c r="I37" s="343">
        <f t="shared" si="6"/>
        <v>3306.4640000000022</v>
      </c>
      <c r="J37" s="343">
        <f t="shared" si="6"/>
        <v>3564.9390000000035</v>
      </c>
      <c r="K37" s="343">
        <f t="shared" si="6"/>
        <v>5301.6460000000034</v>
      </c>
      <c r="L37" s="343">
        <f t="shared" si="6"/>
        <v>7299.5859999999966</v>
      </c>
      <c r="M37" s="343">
        <f t="shared" si="6"/>
        <v>6216.8540000000003</v>
      </c>
    </row>
    <row r="39" spans="1:13">
      <c r="A39" s="101" t="s">
        <v>96</v>
      </c>
      <c r="B39" s="103" t="s">
        <v>228</v>
      </c>
      <c r="C39" s="104"/>
      <c r="D39" s="105">
        <f>D37/D36</f>
        <v>5.923126482860179E-2</v>
      </c>
      <c r="E39" s="105">
        <f t="shared" ref="E39:M39" si="7">E37/E36</f>
        <v>5.5716411852252748E-2</v>
      </c>
      <c r="F39" s="105">
        <f t="shared" si="7"/>
        <v>6.0822287941927726E-2</v>
      </c>
      <c r="G39" s="105">
        <f t="shared" si="7"/>
        <v>6.8774638007015013E-2</v>
      </c>
      <c r="H39" s="105">
        <f t="shared" si="7"/>
        <v>6.2699383909156761E-2</v>
      </c>
      <c r="I39" s="105">
        <f t="shared" si="7"/>
        <v>6.3846141963389239E-2</v>
      </c>
      <c r="J39" s="105">
        <f t="shared" si="7"/>
        <v>6.6171789731596015E-2</v>
      </c>
      <c r="K39" s="105">
        <f t="shared" si="7"/>
        <v>9.6404080445139526E-2</v>
      </c>
      <c r="L39" s="105">
        <f t="shared" si="7"/>
        <v>0.11277672032877045</v>
      </c>
      <c r="M39" s="105">
        <f t="shared" si="7"/>
        <v>7.8828062790048947E-2</v>
      </c>
    </row>
    <row r="42" spans="1:13">
      <c r="B42" s="106" t="s">
        <v>229</v>
      </c>
      <c r="C42" s="90"/>
      <c r="D42" s="90">
        <f>D4</f>
        <v>42825</v>
      </c>
      <c r="E42" s="90">
        <f t="shared" ref="E42:M42" si="8">E4</f>
        <v>43190</v>
      </c>
      <c r="F42" s="90">
        <f t="shared" si="8"/>
        <v>43555</v>
      </c>
      <c r="G42" s="90">
        <f t="shared" si="8"/>
        <v>43921</v>
      </c>
      <c r="H42" s="90">
        <f t="shared" si="8"/>
        <v>44286</v>
      </c>
      <c r="I42" s="90">
        <f t="shared" si="8"/>
        <v>44651</v>
      </c>
      <c r="J42" s="90">
        <f t="shared" si="8"/>
        <v>45016</v>
      </c>
      <c r="K42" s="90">
        <f t="shared" si="8"/>
        <v>45382</v>
      </c>
      <c r="L42" s="90">
        <f t="shared" si="8"/>
        <v>45747</v>
      </c>
      <c r="M42" s="90">
        <f t="shared" si="8"/>
        <v>46112</v>
      </c>
    </row>
    <row r="44" spans="1:13">
      <c r="B44" s="101" t="s">
        <v>230</v>
      </c>
      <c r="D44" s="34">
        <f>-SUM('Historical Financial Statements'!C115:C116)</f>
        <v>3306</v>
      </c>
      <c r="E44" s="34">
        <f>-SUM('Historical Financial Statements'!D115:D116)</f>
        <v>3504</v>
      </c>
      <c r="F44" s="34">
        <f>-SUM('Historical Financial Statements'!E115:E116)</f>
        <v>3533</v>
      </c>
      <c r="G44" s="34">
        <f>-SUM('Historical Financial Statements'!F115:F116)</f>
        <v>2190</v>
      </c>
      <c r="H44" s="34">
        <f>-SUM('Historical Financial Statements'!G115:G116)</f>
        <v>1787</v>
      </c>
      <c r="I44" s="34">
        <f>-SUM('Historical Financial Statements'!H115:H116)</f>
        <v>7233</v>
      </c>
      <c r="J44" s="34">
        <f>-SUM('Historical Financial Statements'!I115:I116)</f>
        <v>7606</v>
      </c>
      <c r="K44" s="34">
        <f>-SUM('Historical Financial Statements'!J115:J116)</f>
        <v>13095</v>
      </c>
      <c r="L44" s="34">
        <f>-SUM('Historical Financial Statements'!K115:K116)</f>
        <v>17038</v>
      </c>
      <c r="M44" s="34">
        <f>-SUM('Historical Financial Statements'!L115:L116)</f>
        <v>0</v>
      </c>
    </row>
    <row r="45" spans="1:13">
      <c r="B45" s="101" t="s">
        <v>231</v>
      </c>
      <c r="D45" s="34"/>
      <c r="E45" s="34">
        <f>E19-D19</f>
        <v>4783</v>
      </c>
      <c r="F45" s="34">
        <f t="shared" ref="F45:M45" si="9">F19-E19</f>
        <v>687</v>
      </c>
      <c r="G45" s="34">
        <f t="shared" si="9"/>
        <v>160</v>
      </c>
      <c r="H45" s="34">
        <f t="shared" si="9"/>
        <v>-10439</v>
      </c>
      <c r="I45" s="34">
        <f t="shared" si="9"/>
        <v>-3090</v>
      </c>
      <c r="J45" s="34">
        <f t="shared" si="9"/>
        <v>-2271</v>
      </c>
      <c r="K45" s="34">
        <f t="shared" si="9"/>
        <v>-4343</v>
      </c>
      <c r="L45" s="34">
        <f t="shared" si="9"/>
        <v>-1433</v>
      </c>
      <c r="M45" s="34">
        <f t="shared" si="9"/>
        <v>5222</v>
      </c>
    </row>
    <row r="46" spans="1:13">
      <c r="D46" s="52"/>
      <c r="E46" s="52"/>
      <c r="F46" s="52"/>
      <c r="G46" s="52"/>
      <c r="H46" s="52"/>
      <c r="I46" s="52"/>
      <c r="J46" s="52"/>
      <c r="K46" s="52"/>
      <c r="L46" s="52"/>
      <c r="M46" s="52"/>
    </row>
    <row r="47" spans="1:13">
      <c r="B47" s="101" t="s">
        <v>232</v>
      </c>
      <c r="D47" s="34">
        <f>'Historical Financial Statements'!C24</f>
        <v>4137.0499999999984</v>
      </c>
      <c r="E47" s="34">
        <f>'Historical Financial Statements'!D24</f>
        <v>4118.0000000000009</v>
      </c>
      <c r="F47" s="34">
        <f>'Historical Financial Statements'!E24</f>
        <v>4524.5700000000033</v>
      </c>
      <c r="G47" s="34">
        <f>'Historical Financial Statements'!F24</f>
        <v>5462.18</v>
      </c>
      <c r="H47" s="34">
        <f>'Historical Financial Statements'!G24</f>
        <v>4448.7899999999972</v>
      </c>
      <c r="I47" s="34">
        <f>'Historical Financial Statements'!H24</f>
        <v>4723.5200000000032</v>
      </c>
      <c r="J47" s="34">
        <f>'Historical Financial Statements'!I24</f>
        <v>5092.770000000005</v>
      </c>
      <c r="K47" s="34">
        <f>'Historical Financial Statements'!J24</f>
        <v>7573.7800000000052</v>
      </c>
      <c r="L47" s="34">
        <f>'Historical Financial Statements'!K24</f>
        <v>10427.979999999996</v>
      </c>
      <c r="M47" s="34">
        <f>'Historical Financial Statements'!L24</f>
        <v>8881.2200000000012</v>
      </c>
    </row>
    <row r="48" spans="1:13">
      <c r="B48" s="101" t="s">
        <v>233</v>
      </c>
      <c r="D48" s="198">
        <f>'Valuation Drivers'!$C$30</f>
        <v>0.3</v>
      </c>
      <c r="E48" s="198">
        <f>'Valuation Drivers'!$C$30</f>
        <v>0.3</v>
      </c>
      <c r="F48" s="198">
        <f>'Valuation Drivers'!$C$30</f>
        <v>0.3</v>
      </c>
      <c r="G48" s="198">
        <f>'Valuation Drivers'!$C$30</f>
        <v>0.3</v>
      </c>
      <c r="H48" s="198">
        <f>'Valuation Drivers'!$C$30</f>
        <v>0.3</v>
      </c>
      <c r="I48" s="198">
        <f>'Valuation Drivers'!$C$30</f>
        <v>0.3</v>
      </c>
      <c r="J48" s="198">
        <f>'Valuation Drivers'!$C$30</f>
        <v>0.3</v>
      </c>
      <c r="K48" s="198">
        <f>'Valuation Drivers'!$C$30</f>
        <v>0.3</v>
      </c>
      <c r="L48" s="198">
        <f>'Valuation Drivers'!$C$30</f>
        <v>0.3</v>
      </c>
      <c r="M48" s="198">
        <f>'Valuation Drivers'!$C$30</f>
        <v>0.3</v>
      </c>
    </row>
    <row r="49" spans="1:16">
      <c r="A49" s="101" t="s">
        <v>96</v>
      </c>
      <c r="B49" s="91" t="s">
        <v>234</v>
      </c>
      <c r="C49" s="91"/>
      <c r="D49" s="38">
        <f t="shared" ref="D49:L49" si="10">D47*(1-D48)</f>
        <v>2895.9349999999986</v>
      </c>
      <c r="E49" s="38">
        <f>E47*(1-E48)</f>
        <v>2882.6000000000004</v>
      </c>
      <c r="F49" s="38">
        <f t="shared" si="10"/>
        <v>3167.1990000000023</v>
      </c>
      <c r="G49" s="38">
        <f t="shared" si="10"/>
        <v>3823.5259999999998</v>
      </c>
      <c r="H49" s="38">
        <f t="shared" si="10"/>
        <v>3114.152999999998</v>
      </c>
      <c r="I49" s="38">
        <f t="shared" si="10"/>
        <v>3306.4640000000022</v>
      </c>
      <c r="J49" s="38">
        <f t="shared" si="10"/>
        <v>3564.9390000000035</v>
      </c>
      <c r="K49" s="38">
        <f t="shared" si="10"/>
        <v>5301.6460000000034</v>
      </c>
      <c r="L49" s="38">
        <f t="shared" si="10"/>
        <v>7299.5859999999966</v>
      </c>
      <c r="M49" s="38">
        <f>M47*(1-M48)</f>
        <v>6216.8540000000003</v>
      </c>
      <c r="P49" s="101" t="s">
        <v>235</v>
      </c>
    </row>
    <row r="51" spans="1:16">
      <c r="B51" s="91" t="s">
        <v>236</v>
      </c>
      <c r="C51" s="91"/>
      <c r="D51" s="91"/>
      <c r="E51" s="38">
        <f>SUM(E44:E45)</f>
        <v>8287</v>
      </c>
      <c r="F51" s="38">
        <f t="shared" ref="F51:L51" si="11">SUM(F44:F45)</f>
        <v>4220</v>
      </c>
      <c r="G51" s="38">
        <f t="shared" si="11"/>
        <v>2350</v>
      </c>
      <c r="H51" s="38">
        <f>SUM(H44:H45)</f>
        <v>-8652</v>
      </c>
      <c r="I51" s="38">
        <f t="shared" si="11"/>
        <v>4143</v>
      </c>
      <c r="J51" s="38">
        <f t="shared" si="11"/>
        <v>5335</v>
      </c>
      <c r="K51" s="38">
        <f t="shared" si="11"/>
        <v>8752</v>
      </c>
      <c r="L51" s="38">
        <f t="shared" si="11"/>
        <v>15605</v>
      </c>
      <c r="M51" s="38">
        <f>SUM(M44:M45)</f>
        <v>5222</v>
      </c>
    </row>
    <row r="52" spans="1:16">
      <c r="A52" s="101" t="s">
        <v>96</v>
      </c>
      <c r="B52" s="91" t="s">
        <v>237</v>
      </c>
      <c r="C52" s="91"/>
      <c r="D52" s="91"/>
      <c r="E52" s="107">
        <f>E51/E49</f>
        <v>2.8748352182057859</v>
      </c>
      <c r="F52" s="107">
        <f t="shared" ref="F52:L52" si="12">F51/F49</f>
        <v>1.3324075942181077</v>
      </c>
      <c r="G52" s="107">
        <f t="shared" si="12"/>
        <v>0.61461593304190953</v>
      </c>
      <c r="H52" s="107">
        <f t="shared" si="12"/>
        <v>-2.7782835332753417</v>
      </c>
      <c r="I52" s="107">
        <f t="shared" si="12"/>
        <v>1.2530001838822371</v>
      </c>
      <c r="J52" s="107">
        <f t="shared" si="12"/>
        <v>1.4965192952810678</v>
      </c>
      <c r="K52" s="107">
        <f t="shared" si="12"/>
        <v>1.6508080697956813</v>
      </c>
      <c r="L52" s="107">
        <f t="shared" si="12"/>
        <v>2.1377924720662249</v>
      </c>
      <c r="M52" s="107">
        <f>M51/M49</f>
        <v>0.83997468816221188</v>
      </c>
    </row>
    <row r="53" spans="1:16">
      <c r="L53" s="108" t="s">
        <v>8957</v>
      </c>
      <c r="M53" s="109">
        <f>AVERAGE(J52:M52)</f>
        <v>1.5312736313262962</v>
      </c>
    </row>
    <row r="54" spans="1:16">
      <c r="L54" s="110" t="s">
        <v>238</v>
      </c>
      <c r="M54" s="111">
        <f>MEDIAN(J52:M52)</f>
        <v>1.5736636825383745</v>
      </c>
    </row>
    <row r="57" spans="1:16">
      <c r="A57" s="101" t="s">
        <v>96</v>
      </c>
      <c r="B57" s="102" t="s">
        <v>239</v>
      </c>
      <c r="C57" s="102"/>
      <c r="D57" s="102"/>
      <c r="E57" s="112">
        <f>E52*E39</f>
        <v>0.16017550302491446</v>
      </c>
      <c r="F57" s="112">
        <f t="shared" ref="F57:M57" si="13">F52*E39</f>
        <v>7.4236970274525346E-2</v>
      </c>
      <c r="G57" s="112">
        <f t="shared" si="13"/>
        <v>3.7382347253171591E-2</v>
      </c>
      <c r="H57" s="112">
        <f t="shared" si="13"/>
        <v>-0.19107544428186227</v>
      </c>
      <c r="I57" s="112">
        <f t="shared" si="13"/>
        <v>7.8562339567476394E-2</v>
      </c>
      <c r="J57" s="112">
        <f t="shared" si="13"/>
        <v>9.5546983377466269E-2</v>
      </c>
      <c r="K57" s="112">
        <f t="shared" si="13"/>
        <v>0.1092369244817417</v>
      </c>
      <c r="L57" s="112">
        <f t="shared" si="13"/>
        <v>0.20609191745208605</v>
      </c>
      <c r="M57" s="112">
        <f t="shared" si="13"/>
        <v>9.4729590490115936E-2</v>
      </c>
    </row>
    <row r="58" spans="1:16">
      <c r="L58" s="108" t="s">
        <v>8957</v>
      </c>
      <c r="M58" s="109">
        <f>AVERAGE(J57:M57)</f>
        <v>0.12640135395035249</v>
      </c>
    </row>
    <row r="59" spans="1:16">
      <c r="E59" s="113"/>
      <c r="F59" s="113"/>
      <c r="G59" s="113"/>
      <c r="H59" s="113"/>
      <c r="I59" s="113"/>
      <c r="J59" s="113"/>
      <c r="K59" s="113"/>
      <c r="L59" s="110" t="s">
        <v>238</v>
      </c>
      <c r="M59" s="111">
        <f>MEDIAN(J57:M57)</f>
        <v>0.10239195392960398</v>
      </c>
    </row>
    <row r="60" spans="1:16">
      <c r="E60" s="113"/>
      <c r="F60" s="113"/>
      <c r="G60" s="113"/>
      <c r="H60" s="113"/>
      <c r="I60" s="113"/>
      <c r="J60" s="113"/>
      <c r="K60" s="113"/>
      <c r="L60" s="113"/>
      <c r="M60" s="113"/>
      <c r="N60" s="113"/>
      <c r="O60" s="113"/>
    </row>
    <row r="61" spans="1:16">
      <c r="B61" s="379" t="s">
        <v>8985</v>
      </c>
      <c r="C61" s="379"/>
      <c r="D61" s="379"/>
      <c r="E61" s="379"/>
      <c r="F61" s="379"/>
      <c r="G61" s="379"/>
      <c r="H61" s="379"/>
      <c r="I61" s="379"/>
      <c r="J61" s="379"/>
      <c r="K61" s="379"/>
      <c r="L61" s="379"/>
      <c r="M61" s="379"/>
    </row>
    <row r="62" spans="1:16" ht="58.5" customHeight="1">
      <c r="B62" s="434" t="s">
        <v>8988</v>
      </c>
      <c r="C62" s="434"/>
      <c r="D62" s="434"/>
      <c r="E62" s="434"/>
      <c r="F62" s="434"/>
      <c r="G62" s="434"/>
      <c r="H62" s="434"/>
      <c r="I62" s="434"/>
      <c r="J62" s="434"/>
      <c r="K62" s="434"/>
      <c r="L62" s="434"/>
      <c r="M62" s="434"/>
    </row>
  </sheetData>
  <mergeCells count="1">
    <mergeCell ref="B62:M62"/>
  </mergeCells>
  <pageMargins left="0.7" right="0.7" top="0.75" bottom="0.75" header="0.3" footer="0.3"/>
  <ignoredErrors>
    <ignoredError sqref="D44:M44"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002060"/>
  </sheetPr>
  <dimension ref="B2:N65"/>
  <sheetViews>
    <sheetView zoomScale="75" zoomScaleNormal="75" workbookViewId="0">
      <selection activeCell="F59" sqref="F59"/>
    </sheetView>
  </sheetViews>
  <sheetFormatPr defaultRowHeight="15" outlineLevelRow="1"/>
  <cols>
    <col min="1" max="1" width="9.140625" style="88"/>
    <col min="2" max="2" width="27.5703125" style="88" bestFit="1" customWidth="1"/>
    <col min="3" max="3" width="9.140625" style="88"/>
    <col min="4" max="4" width="22.28515625" style="88" bestFit="1" customWidth="1"/>
    <col min="5" max="5" width="2" style="88" bestFit="1" customWidth="1"/>
    <col min="6" max="6" width="12.7109375" style="88" bestFit="1" customWidth="1"/>
    <col min="7" max="7" width="13.7109375" style="88" customWidth="1"/>
    <col min="8" max="9" width="12.7109375" style="88" bestFit="1" customWidth="1"/>
    <col min="10" max="11" width="12.7109375" style="88" customWidth="1"/>
    <col min="12" max="16384" width="9.140625" style="88"/>
  </cols>
  <sheetData>
    <row r="2" spans="2:12">
      <c r="B2" s="87"/>
      <c r="C2" s="87"/>
      <c r="D2" s="87"/>
      <c r="F2" s="415" t="s">
        <v>8958</v>
      </c>
      <c r="G2" s="415"/>
      <c r="H2" s="415"/>
      <c r="I2" s="415"/>
      <c r="J2" s="415"/>
      <c r="K2" s="415"/>
    </row>
    <row r="3" spans="2:12" ht="4.5" customHeight="1"/>
    <row r="4" spans="2:12">
      <c r="B4" s="89" t="s">
        <v>240</v>
      </c>
      <c r="C4" s="90"/>
      <c r="D4" s="90">
        <f>'DCF Assumptions'!M4</f>
        <v>46112</v>
      </c>
      <c r="F4" s="90">
        <f>D4+365</f>
        <v>46477</v>
      </c>
      <c r="G4" s="90">
        <f t="shared" ref="G4:K4" si="0">F4+365</f>
        <v>46842</v>
      </c>
      <c r="H4" s="90">
        <f t="shared" si="0"/>
        <v>47207</v>
      </c>
      <c r="I4" s="90">
        <f t="shared" si="0"/>
        <v>47572</v>
      </c>
      <c r="J4" s="90">
        <f t="shared" si="0"/>
        <v>47937</v>
      </c>
      <c r="K4" s="90">
        <f t="shared" si="0"/>
        <v>48302</v>
      </c>
    </row>
    <row r="7" spans="2:12">
      <c r="B7" s="88" t="s">
        <v>108</v>
      </c>
      <c r="D7" s="337">
        <f>'DCF Assumptions'!M47</f>
        <v>8881.2200000000012</v>
      </c>
      <c r="E7" s="335"/>
      <c r="F7" s="335">
        <f>$D$7*(1+$D$33)</f>
        <v>9790.58546907868</v>
      </c>
      <c r="G7" s="335">
        <f>F7*(1+$D$33)</f>
        <v>10793.062645372436</v>
      </c>
      <c r="H7" s="335">
        <f>G7*(1+$D$33)</f>
        <v>11898.185418516741</v>
      </c>
      <c r="I7" s="335">
        <f>H7*(1+$D$33)</f>
        <v>13116.463871735396</v>
      </c>
      <c r="J7" s="335">
        <f>I7*(1+$D$33)</f>
        <v>14459.484236209442</v>
      </c>
      <c r="K7" s="335">
        <f>J7*(1+$D$33)</f>
        <v>15940.019079969235</v>
      </c>
    </row>
    <row r="8" spans="2:12">
      <c r="D8" s="115"/>
    </row>
    <row r="9" spans="2:12">
      <c r="B9" s="88" t="s">
        <v>210</v>
      </c>
      <c r="D9" s="199">
        <f>'DCF Assumptions'!M48</f>
        <v>0.3</v>
      </c>
      <c r="E9" s="200"/>
      <c r="F9" s="198">
        <f>D9</f>
        <v>0.3</v>
      </c>
      <c r="G9" s="198">
        <f>F9</f>
        <v>0.3</v>
      </c>
      <c r="H9" s="198">
        <f t="shared" ref="H9:K9" si="1">G9</f>
        <v>0.3</v>
      </c>
      <c r="I9" s="198">
        <f t="shared" si="1"/>
        <v>0.3</v>
      </c>
      <c r="J9" s="198">
        <f t="shared" si="1"/>
        <v>0.3</v>
      </c>
      <c r="K9" s="198">
        <f t="shared" si="1"/>
        <v>0.3</v>
      </c>
    </row>
    <row r="10" spans="2:12">
      <c r="D10" s="115"/>
    </row>
    <row r="11" spans="2:12">
      <c r="B11" s="91" t="s">
        <v>241</v>
      </c>
      <c r="C11" s="91"/>
      <c r="D11" s="346">
        <f>D7*(1-D9)</f>
        <v>6216.8540000000003</v>
      </c>
      <c r="E11" s="341"/>
      <c r="F11" s="341">
        <f t="shared" ref="F11:K11" si="2">F7*(1-F9)</f>
        <v>6853.4098283550757</v>
      </c>
      <c r="G11" s="341">
        <f t="shared" si="2"/>
        <v>7555.1438517607048</v>
      </c>
      <c r="H11" s="341">
        <f t="shared" si="2"/>
        <v>8328.729792961718</v>
      </c>
      <c r="I11" s="341">
        <f t="shared" si="2"/>
        <v>9181.5247102147769</v>
      </c>
      <c r="J11" s="341">
        <f t="shared" si="2"/>
        <v>10121.638965346609</v>
      </c>
      <c r="K11" s="341">
        <f t="shared" si="2"/>
        <v>11158.013355978464</v>
      </c>
      <c r="L11" s="34"/>
    </row>
    <row r="12" spans="2:12">
      <c r="D12" s="115"/>
    </row>
    <row r="13" spans="2:12">
      <c r="B13" s="88" t="s">
        <v>242</v>
      </c>
      <c r="C13" s="208">
        <v>2</v>
      </c>
      <c r="D13" s="116">
        <f>D21</f>
        <v>0.83997468816221188</v>
      </c>
      <c r="E13" s="116"/>
      <c r="F13" s="199">
        <f t="shared" ref="F13:K13" si="3">F16</f>
        <v>0.79997468816221184</v>
      </c>
      <c r="G13" s="199">
        <f t="shared" si="3"/>
        <v>0.69997468816221187</v>
      </c>
      <c r="H13" s="199">
        <f t="shared" si="3"/>
        <v>0.59997468816221189</v>
      </c>
      <c r="I13" s="199">
        <f t="shared" si="3"/>
        <v>0.55997468816221185</v>
      </c>
      <c r="J13" s="199">
        <f t="shared" si="3"/>
        <v>0.55997468816221185</v>
      </c>
      <c r="K13" s="199">
        <f t="shared" si="3"/>
        <v>0.55997468816221185</v>
      </c>
    </row>
    <row r="14" spans="2:12" hidden="1" outlineLevel="1">
      <c r="B14" s="205" t="s">
        <v>8959</v>
      </c>
      <c r="C14" s="206"/>
      <c r="D14" s="207"/>
      <c r="E14" s="206"/>
      <c r="F14" s="207"/>
      <c r="G14" s="207"/>
      <c r="H14" s="207"/>
      <c r="I14" s="207"/>
      <c r="J14" s="207"/>
      <c r="K14" s="207"/>
    </row>
    <row r="15" spans="2:12" hidden="1" outlineLevel="1">
      <c r="B15" s="202"/>
      <c r="C15" s="202"/>
      <c r="D15" s="203"/>
      <c r="E15" s="202"/>
      <c r="F15" s="204"/>
      <c r="G15" s="204"/>
      <c r="H15" s="204"/>
      <c r="I15" s="204"/>
      <c r="J15" s="204"/>
      <c r="K15" s="204"/>
    </row>
    <row r="16" spans="2:12" hidden="1" outlineLevel="1">
      <c r="B16" s="202" t="s">
        <v>541</v>
      </c>
      <c r="C16" s="202"/>
      <c r="D16" s="203">
        <f>CHOOSE($C$13,D19,D21,D23)</f>
        <v>0.83997468816221188</v>
      </c>
      <c r="E16" s="203"/>
      <c r="F16" s="203">
        <f t="shared" ref="F16:K16" si="4">CHOOSE($C$13,F19,F21,F23)</f>
        <v>0.79997468816221184</v>
      </c>
      <c r="G16" s="203">
        <f t="shared" si="4"/>
        <v>0.69997468816221187</v>
      </c>
      <c r="H16" s="203">
        <f t="shared" si="4"/>
        <v>0.59997468816221189</v>
      </c>
      <c r="I16" s="203">
        <f t="shared" si="4"/>
        <v>0.55997468816221185</v>
      </c>
      <c r="J16" s="203">
        <f t="shared" si="4"/>
        <v>0.55997468816221185</v>
      </c>
      <c r="K16" s="203">
        <f t="shared" si="4"/>
        <v>0.55997468816221185</v>
      </c>
    </row>
    <row r="17" spans="2:11" hidden="1" outlineLevel="1">
      <c r="B17" s="202"/>
      <c r="C17" s="202"/>
      <c r="D17" s="203"/>
      <c r="E17" s="202"/>
      <c r="F17" s="204"/>
      <c r="G17" s="204"/>
      <c r="H17" s="204"/>
      <c r="I17" s="204"/>
      <c r="J17" s="204"/>
      <c r="K17" s="204"/>
    </row>
    <row r="18" spans="2:11" hidden="1" outlineLevel="1">
      <c r="B18" s="202"/>
      <c r="C18" s="202"/>
      <c r="D18" s="203"/>
      <c r="E18" s="202"/>
      <c r="F18" s="204"/>
      <c r="G18" s="204"/>
      <c r="H18" s="204"/>
      <c r="I18" s="204"/>
      <c r="J18" s="204"/>
      <c r="K18" s="204"/>
    </row>
    <row r="19" spans="2:11" hidden="1" outlineLevel="1">
      <c r="B19" s="202" t="s">
        <v>542</v>
      </c>
      <c r="C19" s="202"/>
      <c r="D19" s="203"/>
      <c r="E19" s="202"/>
      <c r="F19" s="204">
        <v>0.4</v>
      </c>
      <c r="G19" s="204">
        <f>F19</f>
        <v>0.4</v>
      </c>
      <c r="H19" s="204">
        <f t="shared" ref="H19:K19" si="5">G19</f>
        <v>0.4</v>
      </c>
      <c r="I19" s="204">
        <f t="shared" si="5"/>
        <v>0.4</v>
      </c>
      <c r="J19" s="204">
        <f t="shared" si="5"/>
        <v>0.4</v>
      </c>
      <c r="K19" s="204">
        <f t="shared" si="5"/>
        <v>0.4</v>
      </c>
    </row>
    <row r="20" spans="2:11" hidden="1" outlineLevel="1">
      <c r="B20" s="202"/>
      <c r="C20" s="202"/>
      <c r="D20" s="203"/>
      <c r="E20" s="202"/>
      <c r="F20" s="204"/>
      <c r="G20" s="204"/>
      <c r="H20" s="204"/>
      <c r="I20" s="204"/>
      <c r="J20" s="204"/>
      <c r="K20" s="204"/>
    </row>
    <row r="21" spans="2:11" hidden="1" outlineLevel="1">
      <c r="B21" s="202" t="s">
        <v>543</v>
      </c>
      <c r="C21" s="202"/>
      <c r="D21" s="203">
        <f>'DCF Assumptions'!M52</f>
        <v>0.83997468816221188</v>
      </c>
      <c r="E21" s="202"/>
      <c r="F21" s="201">
        <f>D21 -0.04</f>
        <v>0.79997468816221184</v>
      </c>
      <c r="G21" s="201">
        <f>F21-0.1</f>
        <v>0.69997468816221187</v>
      </c>
      <c r="H21" s="201">
        <f t="shared" ref="H21" si="6">G21-0.1</f>
        <v>0.59997468816221189</v>
      </c>
      <c r="I21" s="201">
        <f>H21-0.04</f>
        <v>0.55997468816221185</v>
      </c>
      <c r="J21" s="201">
        <f t="shared" ref="J21:K21" si="7">I21</f>
        <v>0.55997468816221185</v>
      </c>
      <c r="K21" s="201">
        <f t="shared" si="7"/>
        <v>0.55997468816221185</v>
      </c>
    </row>
    <row r="22" spans="2:11" hidden="1" outlineLevel="1">
      <c r="B22" s="202"/>
      <c r="C22" s="202"/>
      <c r="D22" s="203"/>
      <c r="E22" s="202"/>
      <c r="F22" s="204"/>
      <c r="G22" s="204"/>
      <c r="H22" s="204"/>
      <c r="I22" s="204"/>
      <c r="J22" s="204"/>
      <c r="K22" s="204"/>
    </row>
    <row r="23" spans="2:11" hidden="1" outlineLevel="1">
      <c r="B23" s="202" t="s">
        <v>544</v>
      </c>
      <c r="C23" s="202"/>
      <c r="D23" s="203"/>
      <c r="E23" s="202"/>
      <c r="F23" s="204">
        <f>F21+0.15</f>
        <v>0.94997468816221187</v>
      </c>
      <c r="G23" s="204">
        <f t="shared" ref="G23" si="8">G21+0.15</f>
        <v>0.84997468816221189</v>
      </c>
      <c r="H23" s="204">
        <f>H21+0.2</f>
        <v>0.79997468816221184</v>
      </c>
      <c r="I23" s="204">
        <f t="shared" ref="I23:K23" si="9">I21+0.2</f>
        <v>0.75997468816221181</v>
      </c>
      <c r="J23" s="204">
        <f t="shared" si="9"/>
        <v>0.75997468816221181</v>
      </c>
      <c r="K23" s="204">
        <f t="shared" si="9"/>
        <v>0.75997468816221181</v>
      </c>
    </row>
    <row r="24" spans="2:11" hidden="1" outlineLevel="1">
      <c r="B24" s="202"/>
      <c r="C24" s="202"/>
      <c r="D24" s="203"/>
      <c r="E24" s="202"/>
      <c r="F24" s="204"/>
      <c r="G24" s="204"/>
      <c r="H24" s="204"/>
      <c r="I24" s="204"/>
      <c r="J24" s="204"/>
      <c r="K24" s="204"/>
    </row>
    <row r="25" spans="2:11" collapsed="1">
      <c r="D25" s="116"/>
      <c r="F25" s="117"/>
      <c r="G25" s="117"/>
      <c r="H25" s="117"/>
      <c r="I25" s="117"/>
      <c r="J25" s="117"/>
      <c r="K25" s="117"/>
    </row>
    <row r="26" spans="2:11">
      <c r="B26" s="91" t="s">
        <v>243</v>
      </c>
      <c r="C26" s="91"/>
      <c r="D26" s="346">
        <f>D11*(1-D13)</f>
        <v>994.8540000000005</v>
      </c>
      <c r="E26" s="341"/>
      <c r="F26" s="341">
        <f t="shared" ref="F26:K26" si="10">F11*(1-F13)</f>
        <v>1370.8554380688863</v>
      </c>
      <c r="G26" s="341">
        <f t="shared" si="10"/>
        <v>2266.734390103853</v>
      </c>
      <c r="H26" s="341">
        <f t="shared" si="10"/>
        <v>3331.7027326421876</v>
      </c>
      <c r="I26" s="341">
        <f t="shared" si="10"/>
        <v>4040.1032737586147</v>
      </c>
      <c r="J26" s="341">
        <f t="shared" si="10"/>
        <v>4453.7773420361491</v>
      </c>
      <c r="K26" s="341">
        <f t="shared" si="10"/>
        <v>4909.808306454629</v>
      </c>
    </row>
    <row r="27" spans="2:11">
      <c r="D27" s="115"/>
    </row>
    <row r="28" spans="2:11">
      <c r="B28" s="88" t="s">
        <v>244</v>
      </c>
      <c r="D28" s="115"/>
      <c r="F28" s="118">
        <v>0.5</v>
      </c>
      <c r="G28" s="88">
        <f>F28+1</f>
        <v>1.5</v>
      </c>
      <c r="H28" s="88">
        <f t="shared" ref="H28:J28" si="11">G28+1</f>
        <v>2.5</v>
      </c>
      <c r="I28" s="88">
        <f t="shared" si="11"/>
        <v>3.5</v>
      </c>
      <c r="J28" s="88">
        <f t="shared" si="11"/>
        <v>4.5</v>
      </c>
      <c r="K28" s="88">
        <f>J28+1</f>
        <v>5.5</v>
      </c>
    </row>
    <row r="29" spans="2:11">
      <c r="B29" s="88" t="s">
        <v>245</v>
      </c>
      <c r="D29" s="115"/>
      <c r="F29" s="117">
        <f>1/(1+$D$35)^F28</f>
        <v>0.94584996540751332</v>
      </c>
      <c r="G29" s="117">
        <f t="shared" ref="G29:I29" si="12">1/(1+$D$35)^G28</f>
        <v>0.846187794808969</v>
      </c>
      <c r="H29" s="117">
        <f t="shared" si="12"/>
        <v>0.75702681214897261</v>
      </c>
      <c r="I29" s="117">
        <f t="shared" si="12"/>
        <v>0.67726052990614627</v>
      </c>
      <c r="J29" s="117">
        <f>1/(1+$D$35)^J28</f>
        <v>0.60589904876247869</v>
      </c>
      <c r="K29" s="117">
        <f>1/(1+$D$35)^K28</f>
        <v>0.54205677295582333</v>
      </c>
    </row>
    <row r="30" spans="2:11">
      <c r="D30" s="115"/>
    </row>
    <row r="31" spans="2:11">
      <c r="B31" s="102" t="s">
        <v>246</v>
      </c>
      <c r="C31" s="102"/>
      <c r="D31" s="344"/>
      <c r="E31" s="345"/>
      <c r="F31" s="342">
        <f>F26*F29</f>
        <v>1296.6235686761577</v>
      </c>
      <c r="G31" s="342">
        <f t="shared" ref="G31:J31" si="13">G26*G29</f>
        <v>1918.0829749796326</v>
      </c>
      <c r="H31" s="342">
        <f t="shared" si="13"/>
        <v>2522.1882987201361</v>
      </c>
      <c r="I31" s="342">
        <f t="shared" si="13"/>
        <v>2736.2024840613158</v>
      </c>
      <c r="J31" s="342">
        <f t="shared" si="13"/>
        <v>2698.5394549395833</v>
      </c>
      <c r="K31" s="342">
        <f>K26*K29</f>
        <v>2661.3948464284922</v>
      </c>
    </row>
    <row r="32" spans="2:11" ht="18.75" customHeight="1"/>
    <row r="33" spans="2:14" outlineLevel="1">
      <c r="B33" s="115" t="s">
        <v>247</v>
      </c>
      <c r="C33" s="115"/>
      <c r="D33" s="209">
        <f>'DCF Assumptions'!$M$59</f>
        <v>0.10239195392960398</v>
      </c>
    </row>
    <row r="34" spans="2:14" outlineLevel="1">
      <c r="B34" s="115" t="s">
        <v>8960</v>
      </c>
      <c r="C34" s="115"/>
      <c r="D34" s="209">
        <f>'Valuation Drivers'!C28</f>
        <v>4.4999999999999998E-2</v>
      </c>
    </row>
    <row r="35" spans="2:14" outlineLevel="1">
      <c r="B35" s="115" t="s">
        <v>216</v>
      </c>
      <c r="C35" s="115"/>
      <c r="D35" s="210">
        <f>WACC!L45</f>
        <v>0.11777783987187346</v>
      </c>
      <c r="G35" s="101" t="s">
        <v>235</v>
      </c>
    </row>
    <row r="37" spans="2:14">
      <c r="B37" s="119" t="s">
        <v>248</v>
      </c>
      <c r="C37" s="89"/>
      <c r="D37" s="89"/>
      <c r="G37" s="87" t="s">
        <v>8941</v>
      </c>
      <c r="H37" s="140"/>
      <c r="I37" s="140"/>
      <c r="J37" s="140"/>
      <c r="K37" s="140"/>
    </row>
    <row r="38" spans="2:14">
      <c r="G38" s="91"/>
      <c r="N38" s="131"/>
    </row>
    <row r="39" spans="2:14">
      <c r="B39" s="91" t="s">
        <v>249</v>
      </c>
      <c r="C39" s="91"/>
      <c r="D39" s="343">
        <f>K26*(1+D41)</f>
        <v>5130.7496802450869</v>
      </c>
      <c r="G39" s="230">
        <f>D57</f>
        <v>19.169963569606775</v>
      </c>
      <c r="H39" s="228">
        <v>8.5510847860669592E-2</v>
      </c>
      <c r="I39" s="228">
        <v>0.1055108478606696</v>
      </c>
      <c r="J39" s="228">
        <v>0.1255108478606696</v>
      </c>
      <c r="K39" s="228">
        <v>0.14551084786066959</v>
      </c>
    </row>
    <row r="40" spans="2:14">
      <c r="B40" s="101" t="s">
        <v>216</v>
      </c>
      <c r="D40" s="211">
        <f>D35</f>
        <v>0.11777783987187346</v>
      </c>
      <c r="G40" s="228">
        <v>2.4999999999999994E-2</v>
      </c>
      <c r="H40" s="120">
        <f t="dataTable" ref="H40:K44" dt2D="1" dtr="1" r1="D40" r2="D41"/>
        <v>40.661896305887744</v>
      </c>
      <c r="I40" s="120">
        <v>5.6138434758644253</v>
      </c>
      <c r="J40" s="120">
        <v>-15.486241119483251</v>
      </c>
      <c r="K40" s="120">
        <v>-29.582778741286148</v>
      </c>
    </row>
    <row r="41" spans="2:14">
      <c r="B41" s="101" t="s">
        <v>250</v>
      </c>
      <c r="D41" s="211">
        <f>D34</f>
        <v>4.4999999999999998E-2</v>
      </c>
      <c r="G41" s="228">
        <v>3.4999999999999996E-2</v>
      </c>
      <c r="H41" s="120">
        <v>70.242970676688302</v>
      </c>
      <c r="I41" s="120">
        <v>21.83382456385765</v>
      </c>
      <c r="J41" s="120">
        <v>-5.1815782543126225</v>
      </c>
      <c r="K41" s="120">
        <v>-22.418609685003915</v>
      </c>
    </row>
    <row r="42" spans="2:14">
      <c r="B42" s="102" t="s">
        <v>251</v>
      </c>
      <c r="C42" s="102"/>
      <c r="D42" s="342">
        <f>D39/(D40-D41)</f>
        <v>70498.790418592427</v>
      </c>
      <c r="G42" s="228">
        <v>4.4999999999999998E-2</v>
      </c>
      <c r="H42" s="120">
        <v>114.42807134313188</v>
      </c>
      <c r="I42" s="120">
        <v>43.414821622190857</v>
      </c>
      <c r="J42" s="229">
        <v>7.6829043467036886</v>
      </c>
      <c r="K42" s="120">
        <v>-13.828889216358061</v>
      </c>
    </row>
    <row r="43" spans="2:14">
      <c r="G43" s="228">
        <v>5.5E-2</v>
      </c>
      <c r="H43" s="120">
        <v>187.57670712221392</v>
      </c>
      <c r="I43" s="120">
        <v>73.54091264444358</v>
      </c>
      <c r="J43" s="120">
        <v>24.196324094650027</v>
      </c>
      <c r="K43" s="120">
        <v>-3.341115492953461</v>
      </c>
    </row>
    <row r="44" spans="2:14">
      <c r="G44" s="228">
        <v>6.5000000000000002E-2</v>
      </c>
      <c r="H44" s="120">
        <v>332.05212205346095</v>
      </c>
      <c r="I44" s="120">
        <v>118.54010191725209</v>
      </c>
      <c r="J44" s="120">
        <v>46.16774693849402</v>
      </c>
      <c r="K44" s="120">
        <v>9.7519652175429989</v>
      </c>
    </row>
    <row r="45" spans="2:14">
      <c r="G45" s="211"/>
      <c r="H45" s="120"/>
      <c r="I45" s="120"/>
      <c r="J45" s="120"/>
      <c r="K45" s="120"/>
    </row>
    <row r="46" spans="2:14">
      <c r="B46" s="119" t="s">
        <v>252</v>
      </c>
      <c r="C46" s="89"/>
      <c r="D46" s="89"/>
    </row>
    <row r="48" spans="2:14">
      <c r="B48" s="101" t="s">
        <v>253</v>
      </c>
      <c r="D48" s="335">
        <f>SUM(F31:K31)</f>
        <v>13833.031627805318</v>
      </c>
      <c r="F48" s="100"/>
    </row>
    <row r="49" spans="2:11" ht="14.25" customHeight="1">
      <c r="B49" s="101" t="s">
        <v>254</v>
      </c>
      <c r="D49" s="335">
        <f>D42*K29</f>
        <v>38214.34683159113</v>
      </c>
    </row>
    <row r="50" spans="2:11" ht="14.25" customHeight="1">
      <c r="B50" s="95" t="s">
        <v>8961</v>
      </c>
      <c r="C50" s="95"/>
      <c r="D50" s="341">
        <f>SUM(D48:D49)</f>
        <v>52047.378459396452</v>
      </c>
    </row>
    <row r="51" spans="2:11">
      <c r="B51" s="101"/>
      <c r="D51" s="335"/>
    </row>
    <row r="52" spans="2:11">
      <c r="B52" s="101" t="s">
        <v>255</v>
      </c>
      <c r="D52" s="335">
        <f>'Historical Financial Statements'!L78</f>
        <v>13644</v>
      </c>
    </row>
    <row r="53" spans="2:11">
      <c r="B53" s="101" t="s">
        <v>256</v>
      </c>
      <c r="D53" s="335">
        <f>'Historical Financial Statements'!L61</f>
        <v>76141</v>
      </c>
    </row>
    <row r="54" spans="2:11">
      <c r="B54" s="101" t="s">
        <v>8947</v>
      </c>
      <c r="D54" s="335">
        <f>'Historical Financial Statements'!L95</f>
        <v>16575</v>
      </c>
    </row>
    <row r="55" spans="2:11">
      <c r="B55" s="95" t="s">
        <v>257</v>
      </c>
      <c r="C55" s="95"/>
      <c r="D55" s="341">
        <f>D50+D52-D53+D54</f>
        <v>6125.3784593964519</v>
      </c>
    </row>
    <row r="56" spans="2:11">
      <c r="B56" s="101" t="s">
        <v>258</v>
      </c>
      <c r="D56" s="335">
        <f>'Historical Financial Statements'!L42</f>
        <v>319.52999999999997</v>
      </c>
    </row>
    <row r="57" spans="2:11">
      <c r="B57" s="102" t="s">
        <v>8939</v>
      </c>
      <c r="C57" s="102"/>
      <c r="D57" s="342">
        <f>D55/D56</f>
        <v>19.169963569606775</v>
      </c>
    </row>
    <row r="58" spans="2:11">
      <c r="D58" s="336"/>
    </row>
    <row r="59" spans="2:11">
      <c r="B59" s="91" t="s">
        <v>8940</v>
      </c>
      <c r="C59" s="91"/>
      <c r="D59" s="343">
        <f>'Beta Regression Historical Data'!$L$4</f>
        <v>402.35</v>
      </c>
      <c r="F59" s="372"/>
    </row>
    <row r="60" spans="2:11">
      <c r="F60" s="121"/>
    </row>
    <row r="61" spans="2:11" ht="15.75" thickBot="1">
      <c r="B61" s="366" t="s">
        <v>8979</v>
      </c>
      <c r="C61" s="366"/>
      <c r="D61" s="407">
        <f>-(D59-D57)/D59</f>
        <v>-0.95235500541914564</v>
      </c>
      <c r="F61" s="121"/>
    </row>
    <row r="62" spans="2:11" ht="15.75" thickTop="1">
      <c r="B62" s="91"/>
      <c r="C62" s="91"/>
      <c r="D62" s="370"/>
      <c r="F62" s="121"/>
    </row>
    <row r="63" spans="2:11">
      <c r="B63" s="371" t="s">
        <v>8982</v>
      </c>
      <c r="C63" s="371"/>
      <c r="D63" s="371"/>
      <c r="E63" s="371"/>
      <c r="F63" s="371"/>
      <c r="G63" s="371"/>
      <c r="H63" s="371"/>
      <c r="I63" s="371"/>
      <c r="J63" s="371"/>
      <c r="K63" s="371"/>
    </row>
    <row r="64" spans="2:11" ht="57" customHeight="1">
      <c r="B64" s="416" t="str">
        <f>"DCF-derived equity value (₹"&amp;ROUND(D57,2)&amp;"/share) is materially below market price (₹"&amp;D59&amp;"/share, "&amp;ROUND(D61*100,2)&amp;"% discount). Primary driver: reinvestment rate assumption ("&amp;ROUND(D13*100,2)&amp;"%→"&amp;ROUND(K13*100,2)&amp;"%of NOPAT) suppresses near-term FCFF."&amp;" Secondary factor: as a consolidated single entity model, this DCF does not separately value Tata Power Renewable Energy Ltd (TPREL), which is not separately listed "&amp;"the market may be pricing in growth-option value not captured here. A sum of the parts valuation was outside this project's scope."</f>
        <v>DCF-derived equity value (₹19.17/share) is materially below market price (₹402.35/share, -95.24% discount). Primary driver: reinvestment rate assumption (84%→56%of NOPAT) suppresses near-term FCFF. Secondary factor: as a consolidated single entity model, this DCF does not separately value Tata Power Renewable Energy Ltd (TPREL), which is not separately listed the market may be pricing in growth-option value not captured here. A sum of the parts valuation was outside this project's scope.</v>
      </c>
      <c r="C64" s="416"/>
      <c r="D64" s="416"/>
      <c r="E64" s="416"/>
      <c r="F64" s="416"/>
      <c r="G64" s="416"/>
      <c r="H64" s="416"/>
      <c r="I64" s="416"/>
      <c r="J64" s="416"/>
      <c r="K64" s="416"/>
    </row>
    <row r="65" spans="2:2">
      <c r="B65" s="372"/>
    </row>
  </sheetData>
  <mergeCells count="2">
    <mergeCell ref="F2:K2"/>
    <mergeCell ref="B64:K64"/>
  </mergeCells>
  <dataValidations count="1">
    <dataValidation type="list" allowBlank="1" showErrorMessage="1" sqref="C13" xr:uid="{00000000-0002-0000-0F00-000000000000}">
      <formula1>"1,2,3"</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002060"/>
  </sheetPr>
  <dimension ref="B2:U49"/>
  <sheetViews>
    <sheetView showGridLines="0" topLeftCell="A7" zoomScale="75" zoomScaleNormal="75" workbookViewId="0">
      <selection activeCell="AB49" sqref="AB49"/>
    </sheetView>
  </sheetViews>
  <sheetFormatPr defaultRowHeight="15"/>
  <cols>
    <col min="3" max="3" width="19.85546875" customWidth="1"/>
    <col min="4" max="4" width="6.28515625" bestFit="1" customWidth="1"/>
    <col min="5" max="5" width="18.7109375" bestFit="1" customWidth="1"/>
    <col min="6" max="6" width="12.28515625" customWidth="1"/>
    <col min="7" max="7" width="13.140625" customWidth="1"/>
    <col min="8" max="8" width="15.28515625" bestFit="1" customWidth="1"/>
    <col min="9" max="9" width="13.42578125" customWidth="1"/>
    <col min="10" max="10" width="16.140625" customWidth="1"/>
    <col min="11" max="11" width="2.42578125" customWidth="1"/>
    <col min="12" max="12" width="4.28515625" customWidth="1"/>
    <col min="13" max="13" width="12" bestFit="1" customWidth="1"/>
    <col min="14" max="15" width="13.28515625" customWidth="1"/>
    <col min="16" max="16" width="13.28515625" bestFit="1" customWidth="1"/>
    <col min="17" max="17" width="13.140625" customWidth="1"/>
    <col min="18" max="19" width="13.28515625" bestFit="1" customWidth="1"/>
    <col min="20" max="20" width="15.140625" customWidth="1"/>
    <col min="21" max="21" width="21.140625" customWidth="1"/>
  </cols>
  <sheetData>
    <row r="2" spans="2:21">
      <c r="B2" s="140"/>
      <c r="C2" s="140"/>
      <c r="D2" s="140"/>
      <c r="E2" s="140"/>
      <c r="F2" s="140"/>
      <c r="G2" s="140"/>
      <c r="H2" s="140"/>
      <c r="I2" s="140"/>
      <c r="J2" s="140"/>
      <c r="K2" s="140"/>
      <c r="L2" s="140"/>
      <c r="M2" s="140"/>
      <c r="N2" s="140"/>
      <c r="O2" s="140"/>
      <c r="P2" s="140"/>
      <c r="Q2" s="140"/>
      <c r="R2" s="140"/>
      <c r="S2" s="140"/>
    </row>
    <row r="3" spans="2:21">
      <c r="C3" s="88"/>
      <c r="D3" s="88"/>
      <c r="E3" s="88"/>
      <c r="F3" s="88"/>
      <c r="G3" s="88"/>
      <c r="H3" s="88"/>
      <c r="I3" s="88"/>
      <c r="J3" s="88"/>
      <c r="K3" s="88"/>
      <c r="L3" s="88"/>
      <c r="M3" s="88"/>
      <c r="N3" s="88"/>
      <c r="O3" s="88"/>
      <c r="P3" s="88"/>
      <c r="Q3" s="88"/>
      <c r="R3" s="88"/>
      <c r="S3" s="88"/>
    </row>
    <row r="4" spans="2:21">
      <c r="C4" s="88"/>
      <c r="D4" s="88"/>
      <c r="E4" s="88"/>
      <c r="F4" s="88"/>
      <c r="G4" s="88"/>
      <c r="H4" s="88"/>
      <c r="I4" s="88"/>
      <c r="J4" s="88"/>
      <c r="K4" s="88"/>
      <c r="L4" s="88"/>
      <c r="M4" s="88"/>
      <c r="N4" s="88"/>
      <c r="O4" s="88"/>
      <c r="P4" s="88"/>
      <c r="Q4" s="88"/>
      <c r="R4" s="88"/>
      <c r="S4" s="88"/>
    </row>
    <row r="5" spans="2:21">
      <c r="B5" s="141" t="s">
        <v>8975</v>
      </c>
      <c r="C5" s="141"/>
      <c r="D5" s="142"/>
      <c r="E5" s="142"/>
      <c r="F5" s="142"/>
      <c r="G5" s="142"/>
      <c r="H5" s="142"/>
      <c r="I5" s="142"/>
      <c r="J5" s="142"/>
      <c r="K5" s="142"/>
      <c r="L5" s="142"/>
      <c r="M5" s="142"/>
      <c r="N5" s="142"/>
      <c r="O5" s="142"/>
      <c r="P5" s="142"/>
      <c r="Q5" s="142"/>
      <c r="R5" s="142"/>
      <c r="S5" s="142"/>
    </row>
    <row r="6" spans="2:21">
      <c r="C6" s="88"/>
      <c r="D6" s="88"/>
      <c r="E6" s="88"/>
      <c r="F6" s="88"/>
      <c r="G6" s="88"/>
      <c r="H6" s="88"/>
      <c r="I6" s="88"/>
      <c r="J6" s="88"/>
      <c r="K6" s="88"/>
      <c r="L6" s="88"/>
      <c r="M6" s="88"/>
      <c r="N6" s="88"/>
      <c r="O6" s="88"/>
      <c r="P6" s="88"/>
      <c r="Q6" s="88"/>
      <c r="R6" s="88"/>
      <c r="S6" s="88"/>
    </row>
    <row r="7" spans="2:21">
      <c r="B7" s="87"/>
      <c r="C7" s="87"/>
      <c r="D7" s="87"/>
      <c r="E7" s="436" t="s">
        <v>269</v>
      </c>
      <c r="F7" s="436"/>
      <c r="G7" s="436"/>
      <c r="H7" s="436"/>
      <c r="I7" s="436"/>
      <c r="J7" s="436"/>
      <c r="K7" s="436"/>
      <c r="L7" s="114"/>
      <c r="M7" s="436" t="s">
        <v>270</v>
      </c>
      <c r="N7" s="436"/>
      <c r="O7" s="436"/>
      <c r="P7" s="114"/>
      <c r="Q7" s="436" t="s">
        <v>271</v>
      </c>
      <c r="R7" s="436"/>
      <c r="S7" s="436"/>
    </row>
    <row r="8" spans="2:21" ht="30">
      <c r="B8" s="87" t="s">
        <v>559</v>
      </c>
      <c r="C8" s="87" t="s">
        <v>272</v>
      </c>
      <c r="D8" s="87" t="s">
        <v>273</v>
      </c>
      <c r="E8" s="143" t="s">
        <v>8940</v>
      </c>
      <c r="F8" s="143" t="s">
        <v>275</v>
      </c>
      <c r="G8" s="143" t="s">
        <v>276</v>
      </c>
      <c r="H8" s="144" t="s">
        <v>277</v>
      </c>
      <c r="I8" s="143" t="s">
        <v>569</v>
      </c>
      <c r="J8" s="143" t="s">
        <v>8903</v>
      </c>
      <c r="K8" s="87"/>
      <c r="L8" s="87"/>
      <c r="M8" s="145" t="s">
        <v>278</v>
      </c>
      <c r="N8" s="145" t="s">
        <v>279</v>
      </c>
      <c r="O8" s="145" t="s">
        <v>280</v>
      </c>
      <c r="P8" s="145"/>
      <c r="Q8" s="145" t="s">
        <v>281</v>
      </c>
      <c r="R8" s="145" t="s">
        <v>282</v>
      </c>
      <c r="S8" s="145" t="s">
        <v>283</v>
      </c>
    </row>
    <row r="9" spans="2:21">
      <c r="C9" s="88"/>
      <c r="D9" s="88"/>
      <c r="E9" s="88"/>
      <c r="F9" s="88"/>
      <c r="G9" s="88"/>
      <c r="H9" s="88"/>
      <c r="I9" s="88"/>
      <c r="J9" s="88"/>
      <c r="K9" s="88"/>
      <c r="L9" s="88"/>
      <c r="M9" s="88"/>
      <c r="N9" s="88"/>
      <c r="O9" s="88"/>
      <c r="P9" s="88"/>
      <c r="Q9" s="88"/>
      <c r="R9" s="88"/>
      <c r="S9" s="88"/>
    </row>
    <row r="10" spans="2:21">
      <c r="B10" s="218">
        <v>1</v>
      </c>
      <c r="C10" s="146" t="s">
        <v>545</v>
      </c>
      <c r="D10" s="146"/>
      <c r="E10" s="247">
        <v>229.27</v>
      </c>
      <c r="F10" s="247">
        <v>1928.47</v>
      </c>
      <c r="G10" s="247">
        <f>F10*E10*10</f>
        <v>4421403.1690000007</v>
      </c>
      <c r="H10" s="247">
        <v>54670.29</v>
      </c>
      <c r="I10" s="247">
        <v>6926.32</v>
      </c>
      <c r="J10" s="247">
        <f>G10+H10-I10</f>
        <v>4469147.1390000004</v>
      </c>
      <c r="K10" s="247"/>
      <c r="L10" s="247"/>
      <c r="M10" s="247">
        <v>54240.52</v>
      </c>
      <c r="N10" s="247">
        <v>23691.492937529805</v>
      </c>
      <c r="O10" s="247">
        <v>12971.08</v>
      </c>
      <c r="P10" s="146"/>
      <c r="Q10" s="217">
        <f>$J10/M10</f>
        <v>82.39499066380634</v>
      </c>
      <c r="R10" s="217">
        <f>$J10/N10</f>
        <v>188.63932090663664</v>
      </c>
      <c r="S10" s="217">
        <f>G10/O10</f>
        <v>340.8662323414859</v>
      </c>
      <c r="T10" s="212"/>
      <c r="U10" s="216"/>
    </row>
    <row r="11" spans="2:21">
      <c r="B11" s="218">
        <v>2</v>
      </c>
      <c r="C11" s="146" t="s">
        <v>546</v>
      </c>
      <c r="D11" s="146"/>
      <c r="E11" s="247">
        <v>352.05</v>
      </c>
      <c r="F11" s="247">
        <v>969.67</v>
      </c>
      <c r="G11" s="247">
        <f t="shared" ref="G11:G33" si="0">F11*E11</f>
        <v>341372.3235</v>
      </c>
      <c r="H11" s="247">
        <v>271004.58</v>
      </c>
      <c r="I11" s="247">
        <v>8003.78</v>
      </c>
      <c r="J11" s="247">
        <f t="shared" ref="J11:J33" si="1">G11+H11-I11</f>
        <v>604373.12349999999</v>
      </c>
      <c r="K11" s="247"/>
      <c r="L11" s="247"/>
      <c r="M11" s="247">
        <v>187384.63</v>
      </c>
      <c r="N11" s="247">
        <v>58882.394567307689</v>
      </c>
      <c r="O11" s="247">
        <v>27545.759999999998</v>
      </c>
      <c r="P11" s="146"/>
      <c r="Q11" s="217">
        <f>$J11/M11</f>
        <v>3.225307878773195</v>
      </c>
      <c r="R11" s="217">
        <f>$J11/N11</f>
        <v>10.264071764424408</v>
      </c>
      <c r="S11" s="217">
        <f>G11/O11</f>
        <v>12.392917222106053</v>
      </c>
      <c r="T11" s="212"/>
      <c r="U11" s="216"/>
    </row>
    <row r="12" spans="2:21">
      <c r="B12" s="218">
        <v>3</v>
      </c>
      <c r="C12" s="146" t="s">
        <v>547</v>
      </c>
      <c r="D12" s="146"/>
      <c r="E12" s="247">
        <v>283.89999999999998</v>
      </c>
      <c r="F12" s="247">
        <v>930.06</v>
      </c>
      <c r="G12" s="247">
        <f t="shared" si="0"/>
        <v>264044.03399999999</v>
      </c>
      <c r="H12" s="247">
        <v>148070.6</v>
      </c>
      <c r="I12" s="247">
        <v>8920.41</v>
      </c>
      <c r="J12" s="247">
        <f t="shared" si="1"/>
        <v>403194.22399999999</v>
      </c>
      <c r="K12" s="247"/>
      <c r="L12" s="247"/>
      <c r="M12" s="247">
        <v>46732.87</v>
      </c>
      <c r="N12" s="247">
        <v>36828.832350312776</v>
      </c>
      <c r="O12" s="247">
        <v>15927.95</v>
      </c>
      <c r="P12" s="146"/>
      <c r="Q12" s="217">
        <f t="shared" ref="Q12:Q21" si="2">$J12/M12</f>
        <v>8.6276366934023088</v>
      </c>
      <c r="R12" s="217">
        <f t="shared" ref="R12:R21" si="3">$J12/N12</f>
        <v>10.947787325018894</v>
      </c>
      <c r="S12" s="217">
        <f t="shared" ref="S12:S21" si="4">G12/O12</f>
        <v>16.577402239459566</v>
      </c>
      <c r="T12" s="212"/>
      <c r="U12" s="216"/>
    </row>
    <row r="13" spans="2:21">
      <c r="B13" s="218">
        <v>4</v>
      </c>
      <c r="C13" s="146" t="s">
        <v>548</v>
      </c>
      <c r="D13" s="146"/>
      <c r="E13" s="247">
        <v>1526.1</v>
      </c>
      <c r="F13" s="247">
        <v>164.72</v>
      </c>
      <c r="G13" s="247">
        <f t="shared" si="0"/>
        <v>251379.19199999998</v>
      </c>
      <c r="H13" s="247">
        <v>103545</v>
      </c>
      <c r="I13" s="247">
        <v>2766</v>
      </c>
      <c r="J13" s="247">
        <f t="shared" si="1"/>
        <v>352158.19199999998</v>
      </c>
      <c r="K13" s="247"/>
      <c r="L13" s="247"/>
      <c r="M13" s="247">
        <v>12928</v>
      </c>
      <c r="N13" s="247">
        <v>12188.330769230768</v>
      </c>
      <c r="O13" s="247">
        <v>1987</v>
      </c>
      <c r="P13" s="146"/>
      <c r="Q13" s="217">
        <f t="shared" si="2"/>
        <v>27.239959158415839</v>
      </c>
      <c r="R13" s="217">
        <f t="shared" si="3"/>
        <v>28.893061623255033</v>
      </c>
      <c r="S13" s="217">
        <f t="shared" si="4"/>
        <v>126.51192350276798</v>
      </c>
      <c r="T13" s="212"/>
      <c r="U13" s="216"/>
    </row>
    <row r="14" spans="2:21">
      <c r="B14" s="218">
        <v>5</v>
      </c>
      <c r="C14" s="146" t="s">
        <v>549</v>
      </c>
      <c r="D14" s="146"/>
      <c r="E14" s="247">
        <v>1507.8</v>
      </c>
      <c r="F14" s="247">
        <v>120.13</v>
      </c>
      <c r="G14" s="247">
        <f t="shared" si="0"/>
        <v>181132.014</v>
      </c>
      <c r="H14" s="247">
        <v>49176.43</v>
      </c>
      <c r="I14" s="247">
        <v>3947.34</v>
      </c>
      <c r="J14" s="247">
        <f t="shared" si="1"/>
        <v>226361.10399999999</v>
      </c>
      <c r="K14" s="247"/>
      <c r="L14" s="247"/>
      <c r="M14" s="247">
        <v>27588.03</v>
      </c>
      <c r="N14" s="247">
        <v>8820.6987361164302</v>
      </c>
      <c r="O14" s="247">
        <v>2392.75</v>
      </c>
      <c r="P14" s="146"/>
      <c r="Q14" s="217">
        <f t="shared" si="2"/>
        <v>8.2050477689055725</v>
      </c>
      <c r="R14" s="217">
        <f t="shared" si="3"/>
        <v>25.662491234754729</v>
      </c>
      <c r="S14" s="217">
        <f t="shared" si="4"/>
        <v>75.700350642566079</v>
      </c>
      <c r="T14" s="212"/>
      <c r="U14" s="216"/>
    </row>
    <row r="15" spans="2:21">
      <c r="B15" s="219">
        <v>6</v>
      </c>
      <c r="C15" s="220" t="s">
        <v>511</v>
      </c>
      <c r="D15" s="220"/>
      <c r="E15" s="248">
        <f>'Beta Regression Historical Data'!L4</f>
        <v>402.35</v>
      </c>
      <c r="F15" s="248">
        <v>319.52999999999997</v>
      </c>
      <c r="G15" s="248">
        <f t="shared" si="0"/>
        <v>128562.8955</v>
      </c>
      <c r="H15" s="248">
        <v>76141.27</v>
      </c>
      <c r="I15" s="248">
        <v>13644</v>
      </c>
      <c r="J15" s="248">
        <f t="shared" si="1"/>
        <v>191060.1655</v>
      </c>
      <c r="K15" s="248"/>
      <c r="L15" s="248"/>
      <c r="M15" s="248">
        <v>62428.59</v>
      </c>
      <c r="N15" s="248">
        <v>18105.010252935859</v>
      </c>
      <c r="O15" s="248">
        <v>5117.5600000000004</v>
      </c>
      <c r="P15" s="220"/>
      <c r="Q15" s="221">
        <f t="shared" si="2"/>
        <v>3.0604594064994903</v>
      </c>
      <c r="R15" s="221">
        <f t="shared" si="3"/>
        <v>10.552889108086433</v>
      </c>
      <c r="S15" s="221">
        <f t="shared" si="4"/>
        <v>25.121912688859531</v>
      </c>
      <c r="T15" s="212"/>
      <c r="U15" s="216"/>
    </row>
    <row r="16" spans="2:21">
      <c r="B16" s="218">
        <v>7</v>
      </c>
      <c r="C16" s="146" t="s">
        <v>550</v>
      </c>
      <c r="D16" s="146"/>
      <c r="E16" s="247">
        <v>573.5</v>
      </c>
      <c r="F16" s="247">
        <v>183.35</v>
      </c>
      <c r="G16" s="247">
        <f t="shared" si="0"/>
        <v>105151.22499999999</v>
      </c>
      <c r="H16" s="247">
        <v>76945.78</v>
      </c>
      <c r="I16" s="247">
        <v>5765.22</v>
      </c>
      <c r="J16" s="247">
        <f t="shared" si="1"/>
        <v>176331.785</v>
      </c>
      <c r="K16" s="247"/>
      <c r="L16" s="247"/>
      <c r="M16" s="247">
        <v>18901.13</v>
      </c>
      <c r="N16" s="247">
        <v>11282.342317224287</v>
      </c>
      <c r="O16" s="247">
        <v>2762.41</v>
      </c>
      <c r="P16" s="146"/>
      <c r="Q16" s="217">
        <f t="shared" si="2"/>
        <v>9.3291662985228925</v>
      </c>
      <c r="R16" s="217">
        <f t="shared" si="3"/>
        <v>15.629005045415218</v>
      </c>
      <c r="S16" s="217">
        <f t="shared" si="4"/>
        <v>38.065031982942429</v>
      </c>
      <c r="T16" s="212"/>
      <c r="U16" s="216"/>
    </row>
    <row r="17" spans="2:21">
      <c r="B17" s="218">
        <v>8</v>
      </c>
      <c r="C17" s="146" t="s">
        <v>551</v>
      </c>
      <c r="D17" s="146"/>
      <c r="E17" s="247">
        <v>95.72</v>
      </c>
      <c r="F17" s="247">
        <v>842.63</v>
      </c>
      <c r="G17" s="247">
        <f t="shared" si="0"/>
        <v>80656.543600000005</v>
      </c>
      <c r="H17" s="247">
        <v>31716.14</v>
      </c>
      <c r="I17" s="247">
        <v>617.5</v>
      </c>
      <c r="J17" s="247">
        <f t="shared" si="1"/>
        <v>111755.1836</v>
      </c>
      <c r="K17" s="247"/>
      <c r="L17" s="247"/>
      <c r="M17" s="247">
        <v>2858.42</v>
      </c>
      <c r="N17" s="247">
        <v>2686.4136648338517</v>
      </c>
      <c r="O17" s="247">
        <v>521.35</v>
      </c>
      <c r="P17" s="146"/>
      <c r="Q17" s="217">
        <f t="shared" si="2"/>
        <v>39.096837973425878</v>
      </c>
      <c r="R17" s="217">
        <f t="shared" si="3"/>
        <v>41.600139644506982</v>
      </c>
      <c r="S17" s="217">
        <f t="shared" si="4"/>
        <v>154.70709427447972</v>
      </c>
      <c r="T17" s="212"/>
      <c r="U17" s="216"/>
    </row>
    <row r="18" spans="2:21">
      <c r="B18" s="218">
        <v>9</v>
      </c>
      <c r="C18" s="146" t="s">
        <v>552</v>
      </c>
      <c r="D18" s="146"/>
      <c r="E18" s="247">
        <v>79.400000000000006</v>
      </c>
      <c r="F18" s="247">
        <v>1004.5</v>
      </c>
      <c r="G18" s="247">
        <f t="shared" si="0"/>
        <v>79757.3</v>
      </c>
      <c r="H18" s="247">
        <v>52326.69</v>
      </c>
      <c r="I18" s="247">
        <v>3651.04</v>
      </c>
      <c r="J18" s="247">
        <f t="shared" si="1"/>
        <v>128432.95</v>
      </c>
      <c r="K18" s="247"/>
      <c r="L18" s="247"/>
      <c r="M18" s="247">
        <v>11615.29</v>
      </c>
      <c r="N18" s="247">
        <v>7500.5105053946618</v>
      </c>
      <c r="O18" s="247">
        <v>4220.46</v>
      </c>
      <c r="P18" s="146"/>
      <c r="Q18" s="217">
        <f t="shared" si="2"/>
        <v>11.057231459567518</v>
      </c>
      <c r="R18" s="217">
        <f t="shared" si="3"/>
        <v>17.123227799977879</v>
      </c>
      <c r="S18" s="217">
        <f t="shared" si="4"/>
        <v>18.897774176274623</v>
      </c>
      <c r="T18" s="212"/>
      <c r="U18" s="216"/>
    </row>
    <row r="19" spans="2:21">
      <c r="B19" s="218">
        <v>10</v>
      </c>
      <c r="C19" s="146" t="s">
        <v>553</v>
      </c>
      <c r="D19" s="146"/>
      <c r="E19" s="247">
        <v>1413.7</v>
      </c>
      <c r="F19" s="247">
        <v>50.39</v>
      </c>
      <c r="G19" s="247">
        <f t="shared" si="0"/>
        <v>71236.343000000008</v>
      </c>
      <c r="H19" s="247">
        <v>13970.56</v>
      </c>
      <c r="I19" s="247">
        <v>831.43</v>
      </c>
      <c r="J19" s="247">
        <f t="shared" si="1"/>
        <v>84375.473000000013</v>
      </c>
      <c r="K19" s="247"/>
      <c r="L19" s="247"/>
      <c r="M19" s="247">
        <v>28966.31</v>
      </c>
      <c r="N19" s="247">
        <v>5921.2580264072276</v>
      </c>
      <c r="O19" s="247">
        <v>2469.36</v>
      </c>
      <c r="P19" s="146"/>
      <c r="Q19" s="217">
        <f t="shared" si="2"/>
        <v>2.9128830354988264</v>
      </c>
      <c r="R19" s="217">
        <f t="shared" si="3"/>
        <v>14.249585581933427</v>
      </c>
      <c r="S19" s="217">
        <f t="shared" si="4"/>
        <v>28.848099507564715</v>
      </c>
      <c r="T19" s="212"/>
      <c r="U19" s="216"/>
    </row>
    <row r="20" spans="2:21">
      <c r="B20" s="218">
        <v>11</v>
      </c>
      <c r="C20" s="146" t="s">
        <v>554</v>
      </c>
      <c r="D20" s="146"/>
      <c r="E20" s="247">
        <v>320.10000000000002</v>
      </c>
      <c r="F20" s="247">
        <v>138.66</v>
      </c>
      <c r="G20" s="247">
        <f t="shared" si="0"/>
        <v>44385.065999999999</v>
      </c>
      <c r="H20" s="247">
        <v>27891.78</v>
      </c>
      <c r="I20" s="247">
        <v>842.22</v>
      </c>
      <c r="J20" s="247">
        <f t="shared" si="1"/>
        <v>71434.625999999989</v>
      </c>
      <c r="K20" s="247"/>
      <c r="L20" s="247"/>
      <c r="M20" s="247">
        <v>17489.53</v>
      </c>
      <c r="N20" s="247">
        <v>7560.339539748953</v>
      </c>
      <c r="O20" s="247">
        <v>3769.46</v>
      </c>
      <c r="P20" s="146"/>
      <c r="Q20" s="217">
        <f t="shared" si="2"/>
        <v>4.0844222800727064</v>
      </c>
      <c r="R20" s="217">
        <f t="shared" si="3"/>
        <v>9.448600241355301</v>
      </c>
      <c r="S20" s="217">
        <f t="shared" si="4"/>
        <v>11.774913648108747</v>
      </c>
      <c r="T20" s="212"/>
      <c r="U20" s="216"/>
    </row>
    <row r="21" spans="2:21">
      <c r="B21" s="218">
        <v>12</v>
      </c>
      <c r="C21" s="146" t="s">
        <v>555</v>
      </c>
      <c r="D21" s="146"/>
      <c r="E21" s="247">
        <v>72.09</v>
      </c>
      <c r="F21" s="247">
        <v>392.98</v>
      </c>
      <c r="G21" s="247">
        <f t="shared" si="0"/>
        <v>28329.928200000002</v>
      </c>
      <c r="H21" s="247">
        <v>32278.49</v>
      </c>
      <c r="I21" s="247">
        <v>2522.52</v>
      </c>
      <c r="J21" s="247">
        <f t="shared" si="1"/>
        <v>58085.898200000003</v>
      </c>
      <c r="K21" s="247"/>
      <c r="L21" s="247"/>
      <c r="M21" s="247">
        <v>4528.29</v>
      </c>
      <c r="N21" s="247">
        <v>3637.9602761104443</v>
      </c>
      <c r="O21" s="247">
        <v>641.85</v>
      </c>
      <c r="P21" s="146"/>
      <c r="Q21" s="217">
        <f t="shared" si="2"/>
        <v>12.827336190924168</v>
      </c>
      <c r="R21" s="217">
        <f t="shared" si="3"/>
        <v>15.966611450222603</v>
      </c>
      <c r="S21" s="217">
        <f t="shared" si="4"/>
        <v>44.13792661836878</v>
      </c>
      <c r="T21" s="212"/>
      <c r="U21" s="216"/>
    </row>
    <row r="22" spans="2:21">
      <c r="B22" s="218">
        <v>13</v>
      </c>
      <c r="C22" s="146" t="s">
        <v>556</v>
      </c>
      <c r="D22" s="146"/>
      <c r="E22" s="247">
        <v>357.2</v>
      </c>
      <c r="F22" s="247">
        <v>70.69</v>
      </c>
      <c r="G22" s="247">
        <f t="shared" si="0"/>
        <v>25250.467999999997</v>
      </c>
      <c r="H22" s="247">
        <v>19896.29</v>
      </c>
      <c r="I22" s="247">
        <v>6158.09</v>
      </c>
      <c r="J22" s="247">
        <f t="shared" si="1"/>
        <v>38988.668000000005</v>
      </c>
      <c r="K22" s="247"/>
      <c r="L22" s="247"/>
      <c r="M22" s="247">
        <v>2023.38</v>
      </c>
      <c r="N22" s="247">
        <v>2623.2863451481699</v>
      </c>
      <c r="O22" s="247">
        <v>497.89</v>
      </c>
      <c r="P22" s="146"/>
      <c r="Q22" s="217">
        <f t="shared" ref="Q22:Q33" si="5">$J22/M22</f>
        <v>19.26907847265467</v>
      </c>
      <c r="R22" s="217">
        <f t="shared" ref="R22:R33" si="6">$J22/N22</f>
        <v>14.862528473916113</v>
      </c>
      <c r="S22" s="217">
        <f t="shared" ref="S22:S33" si="7">G22/O22</f>
        <v>50.714953102090817</v>
      </c>
      <c r="T22" s="212"/>
      <c r="U22" s="216"/>
    </row>
    <row r="23" spans="2:21">
      <c r="B23" s="218">
        <v>14</v>
      </c>
      <c r="C23" s="146" t="s">
        <v>557</v>
      </c>
      <c r="D23" s="146"/>
      <c r="E23" s="247">
        <v>168.03</v>
      </c>
      <c r="F23" s="247">
        <v>132.56</v>
      </c>
      <c r="G23" s="247">
        <f t="shared" si="0"/>
        <v>22274.056800000002</v>
      </c>
      <c r="H23" s="247">
        <v>21671</v>
      </c>
      <c r="I23" s="247">
        <v>5572</v>
      </c>
      <c r="J23" s="247">
        <f t="shared" si="1"/>
        <v>38373.056800000006</v>
      </c>
      <c r="K23" s="247"/>
      <c r="L23" s="247"/>
      <c r="M23" s="247">
        <v>18570</v>
      </c>
      <c r="N23" s="247">
        <v>5392.0315092024548</v>
      </c>
      <c r="O23" s="247">
        <v>1618</v>
      </c>
      <c r="P23" s="146"/>
      <c r="Q23" s="217">
        <f t="shared" si="5"/>
        <v>2.0664004738826067</v>
      </c>
      <c r="R23" s="217">
        <f t="shared" si="6"/>
        <v>7.1166232494208543</v>
      </c>
      <c r="S23" s="217">
        <f t="shared" si="7"/>
        <v>13.766413349814588</v>
      </c>
      <c r="T23" s="212"/>
      <c r="U23" s="216"/>
    </row>
    <row r="24" spans="2:21">
      <c r="B24" s="218">
        <v>15</v>
      </c>
      <c r="C24" s="146" t="s">
        <v>558</v>
      </c>
      <c r="D24" s="146"/>
      <c r="E24" s="247">
        <v>176.15</v>
      </c>
      <c r="F24" s="247">
        <v>95.26</v>
      </c>
      <c r="G24" s="247">
        <f t="shared" si="0"/>
        <v>16780.049000000003</v>
      </c>
      <c r="H24" s="247">
        <v>21359.14</v>
      </c>
      <c r="I24" s="247">
        <v>350.35</v>
      </c>
      <c r="J24" s="247">
        <f t="shared" si="1"/>
        <v>37788.839</v>
      </c>
      <c r="K24" s="247"/>
      <c r="L24" s="247"/>
      <c r="M24" s="247">
        <v>4768.38</v>
      </c>
      <c r="N24" s="247">
        <v>3014.9556521739128</v>
      </c>
      <c r="O24" s="247">
        <v>399</v>
      </c>
      <c r="P24" s="146"/>
      <c r="Q24" s="217">
        <f t="shared" si="5"/>
        <v>7.924879938259954</v>
      </c>
      <c r="R24" s="217">
        <f t="shared" si="6"/>
        <v>12.533795969022835</v>
      </c>
      <c r="S24" s="217">
        <f t="shared" si="7"/>
        <v>42.055260651629077</v>
      </c>
      <c r="T24" s="212"/>
      <c r="U24" s="216"/>
    </row>
    <row r="25" spans="2:21">
      <c r="B25" s="218">
        <v>16</v>
      </c>
      <c r="C25" s="146" t="s">
        <v>560</v>
      </c>
      <c r="D25" s="146"/>
      <c r="E25" s="247">
        <v>607.15</v>
      </c>
      <c r="F25" s="247">
        <v>28.33</v>
      </c>
      <c r="G25" s="247">
        <f t="shared" si="0"/>
        <v>17200.559499999999</v>
      </c>
      <c r="H25" s="247">
        <v>2226.41</v>
      </c>
      <c r="I25" s="247">
        <v>2114.85</v>
      </c>
      <c r="J25" s="247">
        <f t="shared" si="1"/>
        <v>17312.119500000001</v>
      </c>
      <c r="K25" s="247"/>
      <c r="L25" s="247"/>
      <c r="M25" s="247">
        <v>4290.92</v>
      </c>
      <c r="N25" s="247">
        <v>2137.1803630363038</v>
      </c>
      <c r="O25" s="247">
        <v>1038.52</v>
      </c>
      <c r="P25" s="146"/>
      <c r="Q25" s="217">
        <f t="shared" si="5"/>
        <v>4.0345938633206861</v>
      </c>
      <c r="R25" s="217">
        <f t="shared" si="6"/>
        <v>8.10044851591495</v>
      </c>
      <c r="S25" s="217">
        <f t="shared" si="7"/>
        <v>16.562569329430342</v>
      </c>
      <c r="T25" s="212"/>
      <c r="U25" s="216"/>
    </row>
    <row r="26" spans="2:21">
      <c r="B26" s="218">
        <v>17</v>
      </c>
      <c r="C26" s="146" t="s">
        <v>561</v>
      </c>
      <c r="D26" s="146"/>
      <c r="E26" s="247">
        <v>1352.1</v>
      </c>
      <c r="F26" s="247">
        <v>11.72</v>
      </c>
      <c r="G26" s="247">
        <f t="shared" si="0"/>
        <v>15846.611999999999</v>
      </c>
      <c r="H26" s="247">
        <v>12684.32</v>
      </c>
      <c r="I26" s="247">
        <v>2287.96</v>
      </c>
      <c r="J26" s="247">
        <f t="shared" si="1"/>
        <v>26242.972000000002</v>
      </c>
      <c r="K26" s="247"/>
      <c r="L26" s="247"/>
      <c r="M26" s="247">
        <v>1912.87</v>
      </c>
      <c r="N26" s="247">
        <v>1414.5231531978184</v>
      </c>
      <c r="O26" s="247">
        <v>85.57</v>
      </c>
      <c r="P26" s="146"/>
      <c r="Q26" s="217">
        <f t="shared" si="5"/>
        <v>13.719161260305198</v>
      </c>
      <c r="R26" s="217">
        <f t="shared" si="6"/>
        <v>18.552522057113315</v>
      </c>
      <c r="S26" s="217">
        <f t="shared" si="7"/>
        <v>185.18887460558608</v>
      </c>
      <c r="T26" s="212"/>
      <c r="U26" s="216"/>
    </row>
    <row r="27" spans="2:21">
      <c r="B27" s="218">
        <v>18</v>
      </c>
      <c r="C27" s="146" t="s">
        <v>562</v>
      </c>
      <c r="D27" s="146"/>
      <c r="E27" s="247">
        <v>17.940000000000001</v>
      </c>
      <c r="F27" s="247">
        <v>685.35</v>
      </c>
      <c r="G27" s="247">
        <f t="shared" si="0"/>
        <v>12295.179000000002</v>
      </c>
      <c r="H27" s="247">
        <v>3391.08</v>
      </c>
      <c r="I27" s="247">
        <v>2008.85</v>
      </c>
      <c r="J27" s="247">
        <f t="shared" si="1"/>
        <v>13677.409000000001</v>
      </c>
      <c r="K27" s="247"/>
      <c r="L27" s="247"/>
      <c r="M27" s="247">
        <v>5563.46</v>
      </c>
      <c r="N27" s="247">
        <v>1830.3686114352395</v>
      </c>
      <c r="O27" s="247">
        <v>450.63</v>
      </c>
      <c r="P27" s="146"/>
      <c r="Q27" s="217">
        <f t="shared" si="5"/>
        <v>2.458435757604081</v>
      </c>
      <c r="R27" s="217">
        <f t="shared" si="6"/>
        <v>7.4724888279608281</v>
      </c>
      <c r="S27" s="217">
        <f t="shared" si="7"/>
        <v>27.28442180946675</v>
      </c>
      <c r="T27" s="212"/>
      <c r="U27" s="216"/>
    </row>
    <row r="28" spans="2:21">
      <c r="B28" s="218">
        <v>19</v>
      </c>
      <c r="C28" s="146" t="s">
        <v>563</v>
      </c>
      <c r="D28" s="146"/>
      <c r="E28" s="247">
        <v>93.79</v>
      </c>
      <c r="F28" s="247">
        <v>91</v>
      </c>
      <c r="G28" s="247">
        <f t="shared" si="0"/>
        <v>8534.8900000000012</v>
      </c>
      <c r="H28" s="247">
        <v>1063.56</v>
      </c>
      <c r="I28" s="247">
        <v>1705.16</v>
      </c>
      <c r="J28" s="247">
        <f t="shared" si="1"/>
        <v>7893.2900000000009</v>
      </c>
      <c r="K28" s="247"/>
      <c r="L28" s="247"/>
      <c r="M28" s="247">
        <v>1258.03</v>
      </c>
      <c r="N28" s="247">
        <v>1428.3407738095241</v>
      </c>
      <c r="O28" s="247">
        <v>911.87</v>
      </c>
      <c r="P28" s="146"/>
      <c r="Q28" s="217">
        <f t="shared" si="5"/>
        <v>6.2743257315008396</v>
      </c>
      <c r="R28" s="217">
        <f t="shared" si="6"/>
        <v>5.5261952502747835</v>
      </c>
      <c r="S28" s="217">
        <f t="shared" si="7"/>
        <v>9.3597661947426722</v>
      </c>
      <c r="T28" s="212"/>
      <c r="U28" s="216"/>
    </row>
    <row r="29" spans="2:21">
      <c r="B29" s="218">
        <v>20</v>
      </c>
      <c r="C29" s="146" t="s">
        <v>564</v>
      </c>
      <c r="D29" s="146"/>
      <c r="E29" s="247">
        <v>398.7</v>
      </c>
      <c r="F29" s="247">
        <v>19.77</v>
      </c>
      <c r="G29" s="247">
        <f t="shared" si="0"/>
        <v>7882.299</v>
      </c>
      <c r="H29" s="247">
        <v>5196.95</v>
      </c>
      <c r="I29" s="247">
        <v>653.77</v>
      </c>
      <c r="J29" s="247">
        <f t="shared" si="1"/>
        <v>12425.478999999999</v>
      </c>
      <c r="K29" s="247"/>
      <c r="L29" s="247"/>
      <c r="M29" s="247">
        <v>2695.91</v>
      </c>
      <c r="N29" s="247">
        <v>1048.8571772253408</v>
      </c>
      <c r="O29" s="247">
        <v>509.24</v>
      </c>
      <c r="P29" s="146"/>
      <c r="Q29" s="217">
        <f t="shared" si="5"/>
        <v>4.6090110574907914</v>
      </c>
      <c r="R29" s="217">
        <f t="shared" si="6"/>
        <v>11.846683485420302</v>
      </c>
      <c r="S29" s="217">
        <f t="shared" si="7"/>
        <v>15.478554316235959</v>
      </c>
      <c r="T29" s="212"/>
      <c r="U29" s="216"/>
    </row>
    <row r="30" spans="2:21">
      <c r="B30" s="218">
        <v>21</v>
      </c>
      <c r="C30" s="146" t="s">
        <v>565</v>
      </c>
      <c r="D30" s="146"/>
      <c r="E30" s="247">
        <v>99.6</v>
      </c>
      <c r="F30" s="247">
        <v>78.099999999999994</v>
      </c>
      <c r="G30" s="247">
        <f t="shared" si="0"/>
        <v>7778.7599999999993</v>
      </c>
      <c r="H30" s="247">
        <v>11593.58</v>
      </c>
      <c r="I30" s="247">
        <v>559.15</v>
      </c>
      <c r="J30" s="247">
        <f t="shared" si="1"/>
        <v>18813.189999999999</v>
      </c>
      <c r="K30" s="247"/>
      <c r="L30" s="247"/>
      <c r="M30" s="247">
        <v>7331.86</v>
      </c>
      <c r="N30" s="247">
        <v>2279.0988235294117</v>
      </c>
      <c r="O30" s="247">
        <v>613.69000000000005</v>
      </c>
      <c r="P30" s="146"/>
      <c r="Q30" s="217">
        <f t="shared" si="5"/>
        <v>2.5659505227868507</v>
      </c>
      <c r="R30" s="217">
        <f t="shared" si="6"/>
        <v>8.2546618013105277</v>
      </c>
      <c r="S30" s="217">
        <f t="shared" si="7"/>
        <v>12.675389854812687</v>
      </c>
      <c r="T30" s="212"/>
      <c r="U30" s="216"/>
    </row>
    <row r="31" spans="2:21">
      <c r="B31" s="218">
        <v>22</v>
      </c>
      <c r="C31" s="146" t="s">
        <v>566</v>
      </c>
      <c r="D31" s="146"/>
      <c r="E31" s="247">
        <v>181.8</v>
      </c>
      <c r="F31" s="247">
        <v>29.6</v>
      </c>
      <c r="G31" s="247">
        <f t="shared" si="0"/>
        <v>5381.2800000000007</v>
      </c>
      <c r="H31" s="247">
        <v>1768.82</v>
      </c>
      <c r="I31" s="247">
        <v>1174.3800000000001</v>
      </c>
      <c r="J31" s="247">
        <f t="shared" si="1"/>
        <v>5975.72</v>
      </c>
      <c r="K31" s="247"/>
      <c r="L31" s="247"/>
      <c r="M31" s="247">
        <v>16770.79</v>
      </c>
      <c r="N31" s="247">
        <v>2771.3565891472867</v>
      </c>
      <c r="O31" s="247">
        <v>717.44</v>
      </c>
      <c r="P31" s="146"/>
      <c r="Q31" s="217">
        <f t="shared" si="5"/>
        <v>0.35631714427286965</v>
      </c>
      <c r="R31" s="217">
        <f t="shared" si="6"/>
        <v>2.1562436329561825</v>
      </c>
      <c r="S31" s="217">
        <f t="shared" si="7"/>
        <v>7.5006690454950942</v>
      </c>
      <c r="T31" s="212"/>
      <c r="U31" s="216"/>
    </row>
    <row r="32" spans="2:21">
      <c r="B32" s="218">
        <v>23</v>
      </c>
      <c r="C32" s="146" t="s">
        <v>567</v>
      </c>
      <c r="D32" s="146"/>
      <c r="E32" s="247">
        <v>9.1199999999999992</v>
      </c>
      <c r="F32" s="247">
        <v>537.01</v>
      </c>
      <c r="G32" s="247">
        <f t="shared" si="0"/>
        <v>4897.5311999999994</v>
      </c>
      <c r="H32" s="247">
        <v>3710.71</v>
      </c>
      <c r="I32" s="247">
        <v>3920.73</v>
      </c>
      <c r="J32" s="247">
        <f t="shared" si="1"/>
        <v>4687.5112000000008</v>
      </c>
      <c r="K32" s="247"/>
      <c r="L32" s="247"/>
      <c r="M32" s="247">
        <v>2991.36</v>
      </c>
      <c r="N32" s="247">
        <v>767.22292335115867</v>
      </c>
      <c r="O32" s="247">
        <v>52.44</v>
      </c>
      <c r="P32" s="146"/>
      <c r="Q32" s="217">
        <f t="shared" si="5"/>
        <v>1.5670167415489946</v>
      </c>
      <c r="R32" s="217">
        <f t="shared" si="6"/>
        <v>6.1097121284194511</v>
      </c>
      <c r="S32" s="217">
        <f t="shared" si="7"/>
        <v>93.393043478260864</v>
      </c>
      <c r="T32" s="212"/>
      <c r="U32" s="216"/>
    </row>
    <row r="33" spans="2:21">
      <c r="B33" s="218">
        <v>24</v>
      </c>
      <c r="C33" s="146" t="s">
        <v>568</v>
      </c>
      <c r="D33" s="146"/>
      <c r="E33" s="247">
        <v>123</v>
      </c>
      <c r="F33" s="247">
        <v>32.4</v>
      </c>
      <c r="G33" s="247">
        <f t="shared" si="0"/>
        <v>3985.2</v>
      </c>
      <c r="H33" s="247">
        <v>3281.43</v>
      </c>
      <c r="I33" s="247">
        <v>75.349999999999994</v>
      </c>
      <c r="J33" s="247">
        <f t="shared" si="1"/>
        <v>7191.2799999999988</v>
      </c>
      <c r="K33" s="247"/>
      <c r="L33" s="247"/>
      <c r="M33" s="247">
        <v>728.32</v>
      </c>
      <c r="N33" s="247">
        <v>677.85727611940285</v>
      </c>
      <c r="O33" s="247">
        <v>133.97999999999999</v>
      </c>
      <c r="P33" s="146"/>
      <c r="Q33" s="217">
        <f t="shared" si="5"/>
        <v>9.8737917398945498</v>
      </c>
      <c r="R33" s="217">
        <f t="shared" si="6"/>
        <v>10.608840906995402</v>
      </c>
      <c r="S33" s="217">
        <f t="shared" si="7"/>
        <v>29.744738020600092</v>
      </c>
      <c r="T33" s="212"/>
      <c r="U33" s="216"/>
    </row>
    <row r="34" spans="2:21">
      <c r="C34" s="213"/>
      <c r="D34" s="88"/>
      <c r="E34" s="214"/>
      <c r="F34" s="214"/>
      <c r="G34" s="214"/>
      <c r="H34" s="214"/>
      <c r="I34" s="214"/>
      <c r="J34" s="214"/>
      <c r="K34" s="214"/>
      <c r="L34" s="214"/>
      <c r="M34" s="214"/>
      <c r="N34" s="214"/>
      <c r="O34" s="214"/>
      <c r="P34" s="88"/>
      <c r="Q34" s="215"/>
      <c r="R34" s="215"/>
      <c r="S34" s="215"/>
    </row>
    <row r="35" spans="2:21">
      <c r="C35" s="115" t="s">
        <v>284</v>
      </c>
      <c r="D35" s="115"/>
      <c r="E35" s="147">
        <f t="shared" ref="E35:J35" si="8">MAX(E10:E33)</f>
        <v>1526.1</v>
      </c>
      <c r="F35" s="147">
        <f t="shared" si="8"/>
        <v>1928.47</v>
      </c>
      <c r="G35" s="147">
        <f t="shared" si="8"/>
        <v>4421403.1690000007</v>
      </c>
      <c r="H35" s="147">
        <f t="shared" si="8"/>
        <v>271004.58</v>
      </c>
      <c r="I35" s="147">
        <f t="shared" si="8"/>
        <v>13644</v>
      </c>
      <c r="J35" s="147">
        <f t="shared" si="8"/>
        <v>4469147.1390000004</v>
      </c>
      <c r="K35" s="147"/>
      <c r="L35" s="147"/>
      <c r="M35" s="147">
        <f>MAX(M10:M33)</f>
        <v>187384.63</v>
      </c>
      <c r="N35" s="147">
        <f>MAX(N10:N33)</f>
        <v>58882.394567307689</v>
      </c>
      <c r="O35" s="147">
        <f>MAX(O10:O33)</f>
        <v>27545.759999999998</v>
      </c>
      <c r="P35" s="147"/>
      <c r="Q35" s="148">
        <f>MAX(Q10:Q33)</f>
        <v>82.39499066380634</v>
      </c>
      <c r="R35" s="148">
        <f>MAX(R10:R33)</f>
        <v>188.63932090663664</v>
      </c>
      <c r="S35" s="148">
        <f>MAX(S10:S33)</f>
        <v>340.8662323414859</v>
      </c>
    </row>
    <row r="36" spans="2:21">
      <c r="C36" s="115" t="s">
        <v>8964</v>
      </c>
      <c r="D36" s="115"/>
      <c r="E36" s="147">
        <f t="shared" ref="E36:J36" si="9">QUARTILE(E$11:E$33,3)</f>
        <v>487.92500000000001</v>
      </c>
      <c r="F36" s="147">
        <f t="shared" si="9"/>
        <v>464.995</v>
      </c>
      <c r="G36" s="147">
        <f t="shared" si="9"/>
        <v>92903.884300000005</v>
      </c>
      <c r="H36" s="147">
        <f t="shared" si="9"/>
        <v>50751.56</v>
      </c>
      <c r="I36" s="147">
        <f t="shared" si="9"/>
        <v>4759.67</v>
      </c>
      <c r="J36" s="147">
        <f t="shared" si="9"/>
        <v>152382.36749999999</v>
      </c>
      <c r="K36" s="147"/>
      <c r="L36" s="147"/>
      <c r="M36" s="147">
        <f>QUARTILE(M$11:M$33,3)</f>
        <v>18735.565000000002</v>
      </c>
      <c r="N36" s="147">
        <f>QUARTILE(N$11:N$33,3)</f>
        <v>8190.5191379326916</v>
      </c>
      <c r="O36" s="147">
        <f>QUARTILE(O$11:O$33,3)</f>
        <v>2615.8850000000002</v>
      </c>
      <c r="P36" s="149"/>
      <c r="Q36" s="148">
        <f>QUARTILE(Q$11:Q$33,3)</f>
        <v>10.465511599731034</v>
      </c>
      <c r="R36" s="148">
        <f>QUARTILE(R$11:R$33,3)</f>
        <v>15.79780824781891</v>
      </c>
      <c r="S36" s="148">
        <f>QUARTILE(S$11:S$33,3)</f>
        <v>47.426439860229799</v>
      </c>
    </row>
    <row r="37" spans="2:21">
      <c r="C37" s="150" t="s">
        <v>285</v>
      </c>
      <c r="D37" s="150"/>
      <c r="E37" s="151">
        <f t="shared" ref="E37:J37" si="10">AVERAGE(E10:E33)</f>
        <v>435.02333333333337</v>
      </c>
      <c r="F37" s="151">
        <f t="shared" si="10"/>
        <v>369.03666666666669</v>
      </c>
      <c r="G37" s="151">
        <f t="shared" si="10"/>
        <v>256063.20492916668</v>
      </c>
      <c r="H37" s="151">
        <f t="shared" si="10"/>
        <v>43565.870833333334</v>
      </c>
      <c r="I37" s="151">
        <f t="shared" si="10"/>
        <v>3542.4341666666678</v>
      </c>
      <c r="J37" s="151">
        <f t="shared" si="10"/>
        <v>296086.64159583341</v>
      </c>
      <c r="K37" s="151"/>
      <c r="L37" s="151"/>
      <c r="M37" s="151">
        <f>AVERAGE(M10:M33)</f>
        <v>22690.287083333329</v>
      </c>
      <c r="N37" s="151">
        <f>AVERAGE(N10:N33)</f>
        <v>9270.4442975220318</v>
      </c>
      <c r="O37" s="151">
        <f>AVERAGE(O10:O33)</f>
        <v>3639.8025000000016</v>
      </c>
      <c r="P37" s="151"/>
      <c r="Q37" s="152">
        <f>AVERAGE(Q10:Q33)</f>
        <v>11.949176729639033</v>
      </c>
      <c r="R37" s="152">
        <f>AVERAGE(R10:R33)</f>
        <v>20.921564001013049</v>
      </c>
      <c r="S37" s="152">
        <f>AVERAGE(S10:S33)</f>
        <v>58.221926358464522</v>
      </c>
    </row>
    <row r="38" spans="2:21">
      <c r="C38" s="150" t="s">
        <v>154</v>
      </c>
      <c r="D38" s="150"/>
      <c r="E38" s="151">
        <f t="shared" ref="E38:J38" si="11">MEDIAN(E10:E33)</f>
        <v>256.58499999999998</v>
      </c>
      <c r="F38" s="151">
        <f t="shared" si="11"/>
        <v>135.61000000000001</v>
      </c>
      <c r="G38" s="151">
        <f t="shared" si="11"/>
        <v>26790.198100000001</v>
      </c>
      <c r="H38" s="151">
        <f t="shared" si="11"/>
        <v>21515.07</v>
      </c>
      <c r="I38" s="151">
        <f t="shared" si="11"/>
        <v>2405.2399999999998</v>
      </c>
      <c r="J38" s="151">
        <f t="shared" si="11"/>
        <v>48537.283100000001</v>
      </c>
      <c r="K38" s="151"/>
      <c r="L38" s="151"/>
      <c r="M38" s="151">
        <f>MEDIAN(M10:M33)</f>
        <v>9473.5750000000007</v>
      </c>
      <c r="N38" s="151">
        <f>MEDIAN(N10:N33)</f>
        <v>3326.4579641421788</v>
      </c>
      <c r="O38" s="151">
        <f>MEDIAN(O10:O33)</f>
        <v>975.19499999999994</v>
      </c>
      <c r="P38" s="151"/>
      <c r="Q38" s="152">
        <f>MEDIAN(Q10:Q33)</f>
        <v>7.0996028348803968</v>
      </c>
      <c r="R38" s="152">
        <f>MEDIAN(R10:R33)</f>
        <v>11.397235405219597</v>
      </c>
      <c r="S38" s="152">
        <f>MEDIAN(S10:S33)</f>
        <v>28.066260658515731</v>
      </c>
    </row>
    <row r="39" spans="2:21">
      <c r="C39" s="115" t="s">
        <v>8963</v>
      </c>
      <c r="D39" s="115"/>
      <c r="E39" s="147">
        <f t="shared" ref="E39:J39" si="12">QUARTILE(E$11:E$33,1)</f>
        <v>97.66</v>
      </c>
      <c r="F39" s="147">
        <f t="shared" si="12"/>
        <v>60.54</v>
      </c>
      <c r="G39" s="147">
        <f t="shared" si="12"/>
        <v>10415.034500000002</v>
      </c>
      <c r="H39" s="147">
        <f t="shared" si="12"/>
        <v>4453.83</v>
      </c>
      <c r="I39" s="147">
        <f t="shared" si="12"/>
        <v>836.82500000000005</v>
      </c>
      <c r="J39" s="147">
        <f t="shared" si="12"/>
        <v>15494.76425</v>
      </c>
      <c r="K39" s="147"/>
      <c r="L39" s="147"/>
      <c r="M39" s="147">
        <f>QUARTILE(M$11:M$33,1)</f>
        <v>2924.8900000000003</v>
      </c>
      <c r="N39" s="147">
        <f>QUARTILE(N$11:N$33,1)</f>
        <v>1983.7744872357716</v>
      </c>
      <c r="O39" s="147">
        <f>QUARTILE(O$11:O$33,1)</f>
        <v>503.565</v>
      </c>
      <c r="P39" s="149"/>
      <c r="Q39" s="148">
        <f>QUARTILE(Q$11:Q$33,1)</f>
        <v>2.9866712209991584</v>
      </c>
      <c r="R39" s="148">
        <f>QUARTILE(R$11:R$33,1)</f>
        <v>8.1775551586127389</v>
      </c>
      <c r="S39" s="148">
        <f>QUARTILE(S$11:S$33,1)</f>
        <v>14.622483833025274</v>
      </c>
    </row>
    <row r="40" spans="2:21">
      <c r="C40" s="115" t="s">
        <v>286</v>
      </c>
      <c r="D40" s="115"/>
      <c r="E40" s="147">
        <f t="shared" ref="E40:J40" si="13">MIN(E10:E33)</f>
        <v>9.1199999999999992</v>
      </c>
      <c r="F40" s="147">
        <f t="shared" si="13"/>
        <v>11.72</v>
      </c>
      <c r="G40" s="147">
        <f t="shared" si="13"/>
        <v>3985.2</v>
      </c>
      <c r="H40" s="147">
        <f t="shared" si="13"/>
        <v>1063.56</v>
      </c>
      <c r="I40" s="147">
        <f t="shared" si="13"/>
        <v>75.349999999999994</v>
      </c>
      <c r="J40" s="147">
        <f t="shared" si="13"/>
        <v>4687.5112000000008</v>
      </c>
      <c r="K40" s="147"/>
      <c r="L40" s="147"/>
      <c r="M40" s="147">
        <f>MIN(M10:M33)</f>
        <v>728.32</v>
      </c>
      <c r="N40" s="147">
        <f>MIN(N10:N33)</f>
        <v>677.85727611940285</v>
      </c>
      <c r="O40" s="147">
        <f>MIN(O10:O33)</f>
        <v>52.44</v>
      </c>
      <c r="P40" s="147"/>
      <c r="Q40" s="148">
        <f>MIN(Q10:Q33)</f>
        <v>0.35631714427286965</v>
      </c>
      <c r="R40" s="148">
        <f>MIN(R10:R33)</f>
        <v>2.1562436329561825</v>
      </c>
      <c r="S40" s="148">
        <f>MIN(S10:S33)</f>
        <v>7.5006690454950942</v>
      </c>
    </row>
    <row r="41" spans="2:21">
      <c r="C41" s="88"/>
      <c r="D41" s="88"/>
      <c r="E41" s="88"/>
      <c r="F41" s="88"/>
      <c r="G41" s="88"/>
      <c r="H41" s="88"/>
      <c r="I41" s="88"/>
      <c r="J41" s="88"/>
      <c r="K41" s="88"/>
      <c r="L41" s="88"/>
      <c r="M41" s="88"/>
      <c r="N41" s="88"/>
      <c r="O41" s="88"/>
      <c r="P41" s="88"/>
      <c r="Q41" s="88"/>
      <c r="R41" s="88"/>
      <c r="S41" s="88"/>
    </row>
    <row r="42" spans="2:21" ht="34.5" customHeight="1">
      <c r="B42" s="87" t="str">
        <f>'DuPont ROE Analysis'!B2 &amp; " Comparable Valuation"</f>
        <v>TATA POWER COMPANY LTD Comparable Valuation</v>
      </c>
      <c r="C42" s="87"/>
      <c r="D42" s="87"/>
      <c r="E42" s="87"/>
      <c r="F42" s="87"/>
      <c r="G42" s="87"/>
      <c r="H42" s="87"/>
      <c r="I42" s="87"/>
      <c r="J42" s="87"/>
      <c r="K42" s="87"/>
      <c r="L42" s="87"/>
      <c r="M42" s="87"/>
      <c r="N42" s="87"/>
      <c r="O42" s="87"/>
      <c r="P42" s="145" t="s">
        <v>281</v>
      </c>
      <c r="Q42" s="145" t="s">
        <v>282</v>
      </c>
      <c r="R42" s="145" t="s">
        <v>283</v>
      </c>
      <c r="S42" s="252" t="str">
        <f>'Reg-Based Relative Valuation'!K7</f>
        <v>Regression P/E</v>
      </c>
    </row>
    <row r="43" spans="2:21">
      <c r="B43" s="88"/>
      <c r="C43" s="88"/>
      <c r="D43" s="88"/>
      <c r="E43" s="88"/>
      <c r="F43" s="88"/>
      <c r="G43" s="88"/>
      <c r="H43" s="88"/>
      <c r="I43" s="88"/>
      <c r="J43" s="88"/>
      <c r="K43" s="88"/>
      <c r="L43" s="88"/>
      <c r="M43" s="88"/>
      <c r="N43" s="88"/>
      <c r="O43" s="88"/>
      <c r="P43" s="88"/>
      <c r="Q43" s="88"/>
      <c r="R43" s="88"/>
    </row>
    <row r="44" spans="2:21">
      <c r="B44" s="88" t="s">
        <v>8962</v>
      </c>
      <c r="C44" s="88"/>
      <c r="D44" s="88"/>
      <c r="E44" s="88"/>
      <c r="F44" s="88"/>
      <c r="G44" s="88"/>
      <c r="H44" s="88"/>
      <c r="I44" s="88"/>
      <c r="J44" s="88"/>
      <c r="K44" s="88"/>
      <c r="L44" s="88"/>
      <c r="M44" s="88"/>
      <c r="N44" s="88"/>
      <c r="O44" s="88"/>
      <c r="P44" s="336">
        <f>Q38*M15</f>
        <v>443218.19454158598</v>
      </c>
      <c r="Q44" s="336">
        <f>R38*N15</f>
        <v>206347.06386662438</v>
      </c>
      <c r="R44" s="336">
        <f>R47+R45-R46</f>
        <v>206128.0428955938</v>
      </c>
      <c r="S44" s="336">
        <f>S47+S45-S46</f>
        <v>269114.95170562936</v>
      </c>
    </row>
    <row r="45" spans="2:21">
      <c r="B45" s="88" t="s">
        <v>287</v>
      </c>
      <c r="C45" s="88"/>
      <c r="D45" s="88"/>
      <c r="E45" s="88"/>
      <c r="F45" s="88"/>
      <c r="G45" s="88"/>
      <c r="H45" s="88"/>
      <c r="I45" s="88"/>
      <c r="J45" s="88"/>
      <c r="K45" s="88"/>
      <c r="L45" s="88"/>
      <c r="M45" s="88"/>
      <c r="N45" s="88"/>
      <c r="O45" s="88"/>
      <c r="P45" s="338">
        <f t="shared" ref="P45:Q45" si="14">$H$15</f>
        <v>76141.27</v>
      </c>
      <c r="Q45" s="338">
        <f t="shared" si="14"/>
        <v>76141.27</v>
      </c>
      <c r="R45" s="338">
        <f>$H$15</f>
        <v>76141.27</v>
      </c>
      <c r="S45" s="338">
        <f>$H$15</f>
        <v>76141.27</v>
      </c>
    </row>
    <row r="46" spans="2:21">
      <c r="B46" s="88" t="s">
        <v>570</v>
      </c>
      <c r="C46" s="88"/>
      <c r="D46" s="88"/>
      <c r="E46" s="88"/>
      <c r="F46" s="88"/>
      <c r="G46" s="88"/>
      <c r="H46" s="88"/>
      <c r="I46" s="88"/>
      <c r="J46" s="88"/>
      <c r="K46" s="88"/>
      <c r="L46" s="88"/>
      <c r="M46" s="88"/>
      <c r="N46" s="88"/>
      <c r="O46" s="88"/>
      <c r="P46" s="338">
        <f>$I$15</f>
        <v>13644</v>
      </c>
      <c r="Q46" s="338">
        <f t="shared" ref="Q46:S46" si="15">$I$15</f>
        <v>13644</v>
      </c>
      <c r="R46" s="338">
        <f t="shared" si="15"/>
        <v>13644</v>
      </c>
      <c r="S46" s="338">
        <f t="shared" si="15"/>
        <v>13644</v>
      </c>
    </row>
    <row r="47" spans="2:21">
      <c r="B47" s="88" t="s">
        <v>288</v>
      </c>
      <c r="C47" s="88"/>
      <c r="D47" s="88"/>
      <c r="E47" s="88"/>
      <c r="F47" s="88"/>
      <c r="G47" s="88"/>
      <c r="H47" s="88"/>
      <c r="I47" s="88"/>
      <c r="J47" s="88"/>
      <c r="K47" s="88"/>
      <c r="L47" s="88"/>
      <c r="M47" s="88"/>
      <c r="N47" s="88"/>
      <c r="O47" s="88"/>
      <c r="P47" s="336">
        <f>P44-P45+P46</f>
        <v>380720.92454158596</v>
      </c>
      <c r="Q47" s="336">
        <f>Q44-Q45+Q46</f>
        <v>143849.79386662436</v>
      </c>
      <c r="R47" s="336">
        <f>S38*O15</f>
        <v>143630.77289559378</v>
      </c>
      <c r="S47" s="339">
        <f>'Reg-Based Relative Valuation'!K13*'Peer Multiples Valuation'!O15</f>
        <v>206617.68170562937</v>
      </c>
    </row>
    <row r="48" spans="2:21">
      <c r="B48" s="88" t="s">
        <v>289</v>
      </c>
      <c r="C48" s="88"/>
      <c r="D48" s="88"/>
      <c r="E48" s="88"/>
      <c r="F48" s="88"/>
      <c r="G48" s="88"/>
      <c r="H48" s="88"/>
      <c r="I48" s="88"/>
      <c r="J48" s="88"/>
      <c r="K48" s="88"/>
      <c r="L48" s="88"/>
      <c r="M48" s="88"/>
      <c r="N48" s="88"/>
      <c r="O48" s="88"/>
      <c r="P48" s="338">
        <f>$F$15</f>
        <v>319.52999999999997</v>
      </c>
      <c r="Q48" s="338">
        <f>$F$15</f>
        <v>319.52999999999997</v>
      </c>
      <c r="R48" s="338">
        <f t="shared" ref="R48:S48" si="16">$F$15</f>
        <v>319.52999999999997</v>
      </c>
      <c r="S48" s="338">
        <f t="shared" si="16"/>
        <v>319.52999999999997</v>
      </c>
    </row>
    <row r="49" spans="2:19">
      <c r="B49" s="153" t="s">
        <v>8942</v>
      </c>
      <c r="C49" s="153"/>
      <c r="D49" s="153"/>
      <c r="E49" s="153"/>
      <c r="F49" s="153"/>
      <c r="G49" s="153"/>
      <c r="H49" s="153"/>
      <c r="I49" s="153"/>
      <c r="J49" s="153"/>
      <c r="K49" s="153"/>
      <c r="L49" s="153"/>
      <c r="M49" s="153"/>
      <c r="N49" s="153"/>
      <c r="O49" s="153"/>
      <c r="P49" s="340">
        <f>P47/P48</f>
        <v>1191.5029090901824</v>
      </c>
      <c r="Q49" s="340">
        <f t="shared" ref="Q49:S49" si="17">Q47/Q48</f>
        <v>450.19182507628193</v>
      </c>
      <c r="R49" s="340">
        <f t="shared" si="17"/>
        <v>449.50637779111128</v>
      </c>
      <c r="S49" s="340">
        <f t="shared" si="17"/>
        <v>646.62999313250521</v>
      </c>
    </row>
  </sheetData>
  <mergeCells count="3">
    <mergeCell ref="E7:K7"/>
    <mergeCell ref="M7:O7"/>
    <mergeCell ref="Q7:S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483D6-7221-4A00-AF22-B0EABAC18307}">
  <sheetPr>
    <tabColor rgb="FF002060"/>
  </sheetPr>
  <dimension ref="B2:U60"/>
  <sheetViews>
    <sheetView showGridLines="0" zoomScale="85" zoomScaleNormal="85" workbookViewId="0">
      <selection activeCell="H36" sqref="H36"/>
    </sheetView>
  </sheetViews>
  <sheetFormatPr defaultRowHeight="15"/>
  <cols>
    <col min="3" max="3" width="19.85546875" customWidth="1"/>
    <col min="4" max="4" width="6.28515625" bestFit="1" customWidth="1"/>
    <col min="5" max="5" width="18.7109375" bestFit="1" customWidth="1"/>
    <col min="6" max="6" width="13.140625" customWidth="1"/>
    <col min="7" max="7" width="19.140625" customWidth="1"/>
    <col min="8" max="8" width="15.7109375" customWidth="1"/>
    <col min="9" max="9" width="14.85546875" customWidth="1"/>
    <col min="10" max="10" width="14.42578125" bestFit="1" customWidth="1"/>
    <col min="11" max="11" width="13.7109375" customWidth="1"/>
    <col min="12" max="12" width="13.140625" customWidth="1"/>
    <col min="13" max="13" width="18" bestFit="1" customWidth="1"/>
    <col min="14" max="14" width="12.7109375" bestFit="1" customWidth="1"/>
    <col min="15" max="15" width="14.5703125" bestFit="1" customWidth="1"/>
    <col min="16" max="16" width="12.7109375" bestFit="1" customWidth="1"/>
    <col min="18" max="18" width="13.42578125" bestFit="1" customWidth="1"/>
    <col min="19" max="19" width="12" bestFit="1" customWidth="1"/>
    <col min="20" max="20" width="12.7109375" bestFit="1" customWidth="1"/>
    <col min="21" max="21" width="12.5703125" bestFit="1" customWidth="1"/>
  </cols>
  <sheetData>
    <row r="2" spans="2:14" ht="16.5" customHeight="1">
      <c r="B2" s="140"/>
      <c r="C2" s="140"/>
      <c r="D2" s="140"/>
      <c r="E2" s="140"/>
      <c r="F2" s="140"/>
      <c r="G2" s="140"/>
      <c r="H2" s="140"/>
      <c r="I2" s="140"/>
      <c r="J2" s="140"/>
      <c r="K2" s="140"/>
    </row>
    <row r="3" spans="2:14">
      <c r="C3" s="88"/>
      <c r="D3" s="88"/>
      <c r="E3" s="88"/>
      <c r="F3" s="88"/>
      <c r="G3" s="88"/>
      <c r="H3" s="88"/>
      <c r="I3" s="88"/>
      <c r="J3" s="88"/>
      <c r="K3" s="88"/>
    </row>
    <row r="4" spans="2:14">
      <c r="C4" s="88"/>
      <c r="D4" s="88"/>
      <c r="E4" s="88"/>
      <c r="F4" s="88"/>
      <c r="G4" s="88"/>
      <c r="H4" s="88"/>
      <c r="I4" s="88"/>
      <c r="J4" s="88"/>
      <c r="K4" s="88"/>
    </row>
    <row r="5" spans="2:14">
      <c r="B5" s="141" t="s">
        <v>8983</v>
      </c>
      <c r="C5" s="141"/>
      <c r="D5" s="142"/>
      <c r="E5" s="142"/>
      <c r="F5" s="142"/>
      <c r="G5" s="142"/>
      <c r="H5" s="142"/>
      <c r="I5" s="142"/>
      <c r="J5" s="142"/>
      <c r="K5" s="142"/>
    </row>
    <row r="6" spans="2:14">
      <c r="C6" s="88"/>
      <c r="D6" s="88"/>
      <c r="E6" s="88"/>
      <c r="F6" s="88"/>
      <c r="G6" s="88"/>
      <c r="H6" s="88"/>
      <c r="I6" s="88"/>
      <c r="J6" s="88"/>
    </row>
    <row r="7" spans="2:14" ht="30">
      <c r="B7" s="87" t="s">
        <v>559</v>
      </c>
      <c r="C7" s="87" t="s">
        <v>272</v>
      </c>
      <c r="D7" s="87" t="s">
        <v>273</v>
      </c>
      <c r="E7" s="250" t="s">
        <v>274</v>
      </c>
      <c r="F7" s="145" t="s">
        <v>283</v>
      </c>
      <c r="G7" s="251" t="s">
        <v>8810</v>
      </c>
      <c r="H7" s="250" t="s">
        <v>8811</v>
      </c>
      <c r="I7" s="251" t="s">
        <v>8812</v>
      </c>
      <c r="J7" s="145" t="s">
        <v>8813</v>
      </c>
      <c r="K7" s="252" t="s">
        <v>8965</v>
      </c>
    </row>
    <row r="8" spans="2:14">
      <c r="B8" s="218">
        <v>1</v>
      </c>
      <c r="C8" s="146" t="s">
        <v>545</v>
      </c>
      <c r="D8" s="146"/>
      <c r="E8" s="222">
        <v>229.27</v>
      </c>
      <c r="F8" s="222">
        <v>34.086623234148583</v>
      </c>
      <c r="G8" s="249">
        <v>0.2107</v>
      </c>
      <c r="H8" s="249">
        <v>0</v>
      </c>
      <c r="I8" s="245">
        <f t="shared" ref="I8:I30" si="0">G8*H8</f>
        <v>0</v>
      </c>
      <c r="J8" s="247">
        <v>0.16</v>
      </c>
      <c r="K8" s="253">
        <f t="shared" ref="K8:K30" si="1">$N$26+($N$27*G8)+($N$28*H8)+($N$29*I8)+($N$30*J8)</f>
        <v>46.75602385524391</v>
      </c>
      <c r="L8" s="216"/>
    </row>
    <row r="9" spans="2:14">
      <c r="B9" s="218">
        <v>2</v>
      </c>
      <c r="C9" s="146" t="s">
        <v>546</v>
      </c>
      <c r="D9" s="146"/>
      <c r="E9" s="222">
        <v>352.05</v>
      </c>
      <c r="F9" s="222">
        <v>12.392917222106053</v>
      </c>
      <c r="G9" s="249">
        <v>0.13970000000000002</v>
      </c>
      <c r="H9" s="249">
        <v>0.3226</v>
      </c>
      <c r="I9" s="245">
        <f t="shared" si="0"/>
        <v>4.5067220000000005E-2</v>
      </c>
      <c r="J9" s="247">
        <v>0.46</v>
      </c>
      <c r="K9" s="253">
        <f t="shared" si="1"/>
        <v>35.957473109284393</v>
      </c>
      <c r="L9" s="216"/>
    </row>
    <row r="10" spans="2:14">
      <c r="B10" s="218">
        <v>3</v>
      </c>
      <c r="C10" s="146" t="s">
        <v>547</v>
      </c>
      <c r="D10" s="146"/>
      <c r="E10" s="222">
        <v>283.89999999999998</v>
      </c>
      <c r="F10" s="222">
        <v>16.577402239459566</v>
      </c>
      <c r="G10" s="249">
        <v>0.16489999999999999</v>
      </c>
      <c r="H10" s="249">
        <v>0.7883</v>
      </c>
      <c r="I10" s="245">
        <f t="shared" si="0"/>
        <v>0.12999067</v>
      </c>
      <c r="J10" s="247">
        <v>0.39</v>
      </c>
      <c r="K10" s="253">
        <f t="shared" si="1"/>
        <v>15.056977131949543</v>
      </c>
      <c r="L10" s="216"/>
      <c r="M10" t="s">
        <v>473</v>
      </c>
    </row>
    <row r="11" spans="2:14" ht="15.75" thickBot="1">
      <c r="B11" s="218">
        <v>4</v>
      </c>
      <c r="C11" s="146" t="s">
        <v>548</v>
      </c>
      <c r="D11" s="146"/>
      <c r="E11" s="222">
        <v>1526.1</v>
      </c>
      <c r="F11" s="222">
        <v>126.51192350276798</v>
      </c>
      <c r="G11" s="249">
        <v>0.114</v>
      </c>
      <c r="H11" s="249">
        <v>0</v>
      </c>
      <c r="I11" s="245">
        <f t="shared" si="0"/>
        <v>0</v>
      </c>
      <c r="J11" s="247">
        <v>0.78</v>
      </c>
      <c r="K11" s="253">
        <f t="shared" si="1"/>
        <v>44.920422050930974</v>
      </c>
      <c r="L11" s="216"/>
    </row>
    <row r="12" spans="2:14">
      <c r="B12" s="218">
        <v>5</v>
      </c>
      <c r="C12" s="146" t="s">
        <v>549</v>
      </c>
      <c r="D12" s="146"/>
      <c r="E12" s="222">
        <v>1507.8</v>
      </c>
      <c r="F12" s="222">
        <v>75.700350642566079</v>
      </c>
      <c r="G12" s="249">
        <v>9.4399999999999998E-2</v>
      </c>
      <c r="H12" s="249">
        <v>0</v>
      </c>
      <c r="I12" s="245">
        <f t="shared" si="0"/>
        <v>0</v>
      </c>
      <c r="J12" s="247">
        <v>1.32</v>
      </c>
      <c r="K12" s="253">
        <f t="shared" si="1"/>
        <v>43.772297254530073</v>
      </c>
      <c r="L12" s="216"/>
      <c r="M12" s="166" t="s">
        <v>474</v>
      </c>
      <c r="N12" s="166"/>
    </row>
    <row r="13" spans="2:14">
      <c r="B13" s="218">
        <v>6</v>
      </c>
      <c r="C13" s="220" t="s">
        <v>511</v>
      </c>
      <c r="D13" s="220"/>
      <c r="E13" s="223">
        <f>'Beta Regression Historical Data'!L4</f>
        <v>402.35</v>
      </c>
      <c r="F13" s="223">
        <v>24.285244042082549</v>
      </c>
      <c r="G13" s="246">
        <v>0.10210000000000001</v>
      </c>
      <c r="H13" s="246">
        <v>0.2132</v>
      </c>
      <c r="I13" s="246">
        <f t="shared" si="0"/>
        <v>2.1767720000000001E-2</v>
      </c>
      <c r="J13" s="248">
        <f>WACC!$K$21</f>
        <v>1.2649327086733677</v>
      </c>
      <c r="K13" s="248">
        <f t="shared" si="1"/>
        <v>40.374256814894082</v>
      </c>
      <c r="L13" s="216"/>
      <c r="M13" t="s">
        <v>475</v>
      </c>
      <c r="N13">
        <v>0.24163415413899531</v>
      </c>
    </row>
    <row r="14" spans="2:14">
      <c r="B14" s="218">
        <v>7</v>
      </c>
      <c r="C14" s="146" t="s">
        <v>550</v>
      </c>
      <c r="D14" s="146"/>
      <c r="E14" s="222">
        <v>573.5</v>
      </c>
      <c r="F14" s="222">
        <v>38.065031982942429</v>
      </c>
      <c r="G14" s="249">
        <v>7.51E-2</v>
      </c>
      <c r="H14" s="249">
        <v>0.15689999999999998</v>
      </c>
      <c r="I14" s="245">
        <f t="shared" si="0"/>
        <v>1.1783189999999999E-2</v>
      </c>
      <c r="J14" s="247">
        <v>0.61</v>
      </c>
      <c r="K14" s="253">
        <f t="shared" si="1"/>
        <v>43.875056087631322</v>
      </c>
      <c r="L14" s="216"/>
      <c r="M14" t="s">
        <v>476</v>
      </c>
      <c r="N14">
        <v>5.8387064446467747E-2</v>
      </c>
    </row>
    <row r="15" spans="2:14">
      <c r="B15" s="218">
        <v>8</v>
      </c>
      <c r="C15" s="146" t="s">
        <v>551</v>
      </c>
      <c r="D15" s="146"/>
      <c r="E15" s="222">
        <v>95.72</v>
      </c>
      <c r="F15" s="222">
        <v>154.70709427447972</v>
      </c>
      <c r="G15" s="249">
        <v>9.2899999999999996E-2</v>
      </c>
      <c r="H15" s="249">
        <v>0.42950000000000005</v>
      </c>
      <c r="I15" s="245">
        <f t="shared" si="0"/>
        <v>3.990055E-2</v>
      </c>
      <c r="J15" s="247">
        <v>0.46</v>
      </c>
      <c r="K15" s="253">
        <f t="shared" si="1"/>
        <v>39.632362902340205</v>
      </c>
      <c r="L15" s="216"/>
      <c r="M15" t="s">
        <v>477</v>
      </c>
      <c r="N15">
        <v>-0.15086025456542831</v>
      </c>
    </row>
    <row r="16" spans="2:14">
      <c r="B16" s="218">
        <v>9</v>
      </c>
      <c r="C16" s="146" t="s">
        <v>552</v>
      </c>
      <c r="D16" s="146"/>
      <c r="E16" s="222">
        <v>79.400000000000006</v>
      </c>
      <c r="F16" s="222">
        <v>18.897774176274623</v>
      </c>
      <c r="G16" s="249">
        <v>2.7900000000000001E-2</v>
      </c>
      <c r="H16" s="249">
        <v>0</v>
      </c>
      <c r="I16" s="245">
        <f t="shared" si="0"/>
        <v>0</v>
      </c>
      <c r="J16" s="247">
        <v>0.57999999999999996</v>
      </c>
      <c r="K16" s="253">
        <f t="shared" si="1"/>
        <v>44.694642139815166</v>
      </c>
      <c r="L16" s="216"/>
      <c r="M16" t="s">
        <v>478</v>
      </c>
      <c r="N16">
        <v>41.361384304885668</v>
      </c>
    </row>
    <row r="17" spans="2:21" ht="15.75" thickBot="1">
      <c r="B17" s="218">
        <v>10</v>
      </c>
      <c r="C17" s="146" t="s">
        <v>553</v>
      </c>
      <c r="D17" s="146"/>
      <c r="E17" s="222">
        <v>1413.7</v>
      </c>
      <c r="F17" s="222">
        <v>28.848099507564715</v>
      </c>
      <c r="G17" s="249">
        <v>0.13170000000000001</v>
      </c>
      <c r="H17" s="249">
        <v>0.41710000000000003</v>
      </c>
      <c r="I17" s="245">
        <f t="shared" si="0"/>
        <v>5.4932070000000006E-2</v>
      </c>
      <c r="J17" s="247">
        <v>0.54</v>
      </c>
      <c r="K17" s="253">
        <f t="shared" si="1"/>
        <v>34.098328996630492</v>
      </c>
      <c r="L17" s="216"/>
      <c r="M17" s="164" t="s">
        <v>479</v>
      </c>
      <c r="N17" s="164">
        <v>23</v>
      </c>
    </row>
    <row r="18" spans="2:21">
      <c r="B18" s="218">
        <v>11</v>
      </c>
      <c r="C18" s="146" t="s">
        <v>554</v>
      </c>
      <c r="D18" s="146"/>
      <c r="E18" s="222">
        <v>320.10000000000002</v>
      </c>
      <c r="F18" s="222">
        <v>11.774913648108747</v>
      </c>
      <c r="G18" s="249">
        <v>0.17499999999999999</v>
      </c>
      <c r="H18" s="249">
        <v>0.15160000000000001</v>
      </c>
      <c r="I18" s="245">
        <f t="shared" si="0"/>
        <v>2.6530000000000001E-2</v>
      </c>
      <c r="J18" s="247">
        <v>0.69</v>
      </c>
      <c r="K18" s="253">
        <f t="shared" si="1"/>
        <v>39.011814248407255</v>
      </c>
      <c r="L18" s="216"/>
    </row>
    <row r="19" spans="2:21" ht="15.75" thickBot="1">
      <c r="B19" s="218">
        <v>12</v>
      </c>
      <c r="C19" s="146" t="s">
        <v>555</v>
      </c>
      <c r="D19" s="146"/>
      <c r="E19" s="222">
        <v>72.09</v>
      </c>
      <c r="F19" s="222">
        <v>44.13792661836878</v>
      </c>
      <c r="G19" s="249">
        <v>4.5199999999999997E-2</v>
      </c>
      <c r="H19" s="249">
        <v>0.91810000000000003</v>
      </c>
      <c r="I19" s="245">
        <f t="shared" si="0"/>
        <v>4.1498119999999999E-2</v>
      </c>
      <c r="J19" s="247">
        <v>0.67</v>
      </c>
      <c r="K19" s="253">
        <f t="shared" si="1"/>
        <v>48.126742867321795</v>
      </c>
      <c r="L19" s="216"/>
      <c r="M19" t="s">
        <v>480</v>
      </c>
    </row>
    <row r="20" spans="2:21">
      <c r="B20" s="218">
        <v>13</v>
      </c>
      <c r="C20" s="146" t="s">
        <v>556</v>
      </c>
      <c r="D20" s="146"/>
      <c r="E20" s="222">
        <v>357.2</v>
      </c>
      <c r="F20" s="222">
        <v>50.714953102090817</v>
      </c>
      <c r="G20" s="249">
        <v>0.1038</v>
      </c>
      <c r="H20" s="249">
        <v>2.4300000000000002E-2</v>
      </c>
      <c r="I20" s="245">
        <f t="shared" si="0"/>
        <v>2.5223400000000005E-3</v>
      </c>
      <c r="J20" s="247">
        <v>-0.11</v>
      </c>
      <c r="K20" s="253">
        <f t="shared" si="1"/>
        <v>46.096282217822669</v>
      </c>
      <c r="L20" s="216"/>
      <c r="M20" s="165"/>
      <c r="N20" s="165" t="s">
        <v>484</v>
      </c>
      <c r="O20" s="165" t="s">
        <v>485</v>
      </c>
      <c r="P20" s="165" t="s">
        <v>486</v>
      </c>
      <c r="Q20" s="165" t="s">
        <v>487</v>
      </c>
      <c r="R20" s="165" t="s">
        <v>488</v>
      </c>
    </row>
    <row r="21" spans="2:21">
      <c r="B21" s="218">
        <v>14</v>
      </c>
      <c r="C21" s="146" t="s">
        <v>557</v>
      </c>
      <c r="D21" s="146"/>
      <c r="E21" s="222">
        <v>168.03</v>
      </c>
      <c r="F21" s="222">
        <v>13.766413349814588</v>
      </c>
      <c r="G21" s="249">
        <v>0.12570000000000001</v>
      </c>
      <c r="H21" s="249">
        <v>0.51749999999999996</v>
      </c>
      <c r="I21" s="245">
        <f t="shared" si="0"/>
        <v>6.5049750000000003E-2</v>
      </c>
      <c r="J21" s="247">
        <v>0.51</v>
      </c>
      <c r="K21" s="253">
        <f t="shared" si="1"/>
        <v>32.486512501410878</v>
      </c>
      <c r="L21" s="216"/>
      <c r="M21" t="s">
        <v>481</v>
      </c>
      <c r="N21">
        <v>4</v>
      </c>
      <c r="O21">
        <v>1909.4437130059414</v>
      </c>
      <c r="P21">
        <v>477.36092825148535</v>
      </c>
      <c r="Q21">
        <v>0.27903375164939798</v>
      </c>
      <c r="R21">
        <v>0.8876858189024065</v>
      </c>
    </row>
    <row r="22" spans="2:21">
      <c r="B22" s="218">
        <v>15</v>
      </c>
      <c r="C22" s="146" t="s">
        <v>558</v>
      </c>
      <c r="D22" s="146"/>
      <c r="E22" s="222">
        <v>176.15</v>
      </c>
      <c r="F22" s="222">
        <v>42.055260651629077</v>
      </c>
      <c r="G22" s="249">
        <v>7.0199999999999999E-2</v>
      </c>
      <c r="H22" s="249">
        <v>4.1573000000000002</v>
      </c>
      <c r="I22" s="245">
        <f t="shared" si="0"/>
        <v>0.29184246000000003</v>
      </c>
      <c r="J22" s="247">
        <v>0.19</v>
      </c>
      <c r="K22" s="253">
        <f t="shared" si="1"/>
        <v>24.098377464345592</v>
      </c>
      <c r="L22" s="216"/>
      <c r="M22" t="s">
        <v>482</v>
      </c>
      <c r="N22">
        <v>18</v>
      </c>
      <c r="O22">
        <v>30793.754009095966</v>
      </c>
      <c r="P22">
        <v>1710.7641116164425</v>
      </c>
    </row>
    <row r="23" spans="2:21" ht="15.75" thickBot="1">
      <c r="B23" s="218">
        <v>16</v>
      </c>
      <c r="C23" s="146" t="s">
        <v>560</v>
      </c>
      <c r="D23" s="146"/>
      <c r="E23" s="222">
        <v>607.15</v>
      </c>
      <c r="F23" s="222">
        <v>16.562569329430342</v>
      </c>
      <c r="G23" s="249">
        <v>9.6300000000000011E-2</v>
      </c>
      <c r="H23" s="249">
        <v>0.19789999999999999</v>
      </c>
      <c r="I23" s="245">
        <f t="shared" si="0"/>
        <v>1.9057770000000002E-2</v>
      </c>
      <c r="J23" s="247">
        <v>1.2</v>
      </c>
      <c r="K23" s="253">
        <f t="shared" si="1"/>
        <v>41.123365482311712</v>
      </c>
      <c r="L23" s="216"/>
      <c r="M23" s="164" t="s">
        <v>26</v>
      </c>
      <c r="N23" s="164">
        <v>22</v>
      </c>
      <c r="O23" s="164">
        <v>32703.197722101908</v>
      </c>
      <c r="P23" s="164"/>
      <c r="Q23" s="164"/>
      <c r="R23" s="164"/>
    </row>
    <row r="24" spans="2:21" ht="15.75" thickBot="1">
      <c r="B24" s="218">
        <v>18</v>
      </c>
      <c r="C24" s="146" t="s">
        <v>562</v>
      </c>
      <c r="D24" s="146"/>
      <c r="E24" s="222">
        <v>17.940000000000001</v>
      </c>
      <c r="F24" s="222">
        <v>27.28442180946675</v>
      </c>
      <c r="G24" s="249">
        <v>3.6000000000000004E-2</v>
      </c>
      <c r="H24" s="249">
        <v>0</v>
      </c>
      <c r="I24" s="245">
        <f t="shared" si="0"/>
        <v>0</v>
      </c>
      <c r="J24" s="247">
        <v>1.24</v>
      </c>
      <c r="K24" s="253">
        <f t="shared" si="1"/>
        <v>43.514907795214583</v>
      </c>
      <c r="L24" s="216"/>
    </row>
    <row r="25" spans="2:21">
      <c r="B25" s="218">
        <v>19</v>
      </c>
      <c r="C25" s="146" t="s">
        <v>563</v>
      </c>
      <c r="D25" s="146"/>
      <c r="E25" s="222">
        <v>93.79</v>
      </c>
      <c r="F25" s="222">
        <v>9.3597661947426722</v>
      </c>
      <c r="G25" s="249">
        <v>0.1195</v>
      </c>
      <c r="H25" s="249">
        <v>1.1975</v>
      </c>
      <c r="I25" s="245">
        <f t="shared" si="0"/>
        <v>0.14310124999999999</v>
      </c>
      <c r="J25" s="247">
        <v>0.17</v>
      </c>
      <c r="K25" s="253">
        <f t="shared" si="1"/>
        <v>18.640369209658285</v>
      </c>
      <c r="L25" s="216"/>
      <c r="M25" s="165"/>
      <c r="N25" s="165" t="s">
        <v>489</v>
      </c>
      <c r="O25" s="165" t="s">
        <v>478</v>
      </c>
      <c r="P25" s="165" t="s">
        <v>490</v>
      </c>
      <c r="Q25" s="165" t="s">
        <v>491</v>
      </c>
      <c r="R25" s="165" t="s">
        <v>492</v>
      </c>
      <c r="S25" s="165" t="s">
        <v>493</v>
      </c>
      <c r="T25" s="165" t="s">
        <v>494</v>
      </c>
      <c r="U25" s="165" t="s">
        <v>495</v>
      </c>
    </row>
    <row r="26" spans="2:21">
      <c r="B26" s="218">
        <v>20</v>
      </c>
      <c r="C26" s="146" t="s">
        <v>564</v>
      </c>
      <c r="D26" s="146"/>
      <c r="E26" s="222">
        <v>398.7</v>
      </c>
      <c r="F26" s="222">
        <v>15.478554316235959</v>
      </c>
      <c r="G26" s="249">
        <v>0.1739</v>
      </c>
      <c r="H26" s="249">
        <v>4.3499999999999997E-2</v>
      </c>
      <c r="I26" s="245">
        <f t="shared" si="0"/>
        <v>7.5646499999999992E-3</v>
      </c>
      <c r="J26" s="247">
        <v>1.19</v>
      </c>
      <c r="K26" s="253">
        <f t="shared" si="1"/>
        <v>42.721535823088601</v>
      </c>
      <c r="L26" s="216"/>
      <c r="M26" t="s">
        <v>483</v>
      </c>
      <c r="N26">
        <v>45.586462934600668</v>
      </c>
      <c r="O26">
        <v>27.46493669051161</v>
      </c>
      <c r="P26">
        <v>1.6598058625909577</v>
      </c>
      <c r="Q26">
        <v>0.11427433083140985</v>
      </c>
      <c r="R26">
        <v>-12.115227892319922</v>
      </c>
      <c r="S26">
        <v>103.28815376152126</v>
      </c>
      <c r="T26">
        <v>-12.115227892319922</v>
      </c>
      <c r="U26">
        <v>103.28815376152126</v>
      </c>
    </row>
    <row r="27" spans="2:21">
      <c r="B27" s="218">
        <v>21</v>
      </c>
      <c r="C27" s="146" t="s">
        <v>565</v>
      </c>
      <c r="D27" s="146"/>
      <c r="E27" s="222">
        <v>99.6</v>
      </c>
      <c r="F27" s="222">
        <v>12.675389854812687</v>
      </c>
      <c r="G27" s="249">
        <v>-0.1434</v>
      </c>
      <c r="H27" s="249">
        <v>0</v>
      </c>
      <c r="I27" s="245">
        <f t="shared" si="0"/>
        <v>0</v>
      </c>
      <c r="J27" s="247">
        <v>0.86</v>
      </c>
      <c r="K27" s="253">
        <f t="shared" si="1"/>
        <v>42.975679920944252</v>
      </c>
      <c r="L27" s="216"/>
      <c r="M27" t="s">
        <v>8810</v>
      </c>
      <c r="N27">
        <v>6.9731842599816547</v>
      </c>
      <c r="O27">
        <v>136.53866286625509</v>
      </c>
      <c r="P27">
        <v>5.1071133359582979E-2</v>
      </c>
      <c r="Q27">
        <v>0.95983132138908345</v>
      </c>
      <c r="R27">
        <v>-279.88390190077422</v>
      </c>
      <c r="S27">
        <v>293.83027042073758</v>
      </c>
      <c r="T27">
        <v>-279.88390190077422</v>
      </c>
      <c r="U27">
        <v>293.83027042073758</v>
      </c>
    </row>
    <row r="28" spans="2:21">
      <c r="B28" s="218">
        <v>22</v>
      </c>
      <c r="C28" s="146" t="s">
        <v>566</v>
      </c>
      <c r="D28" s="146"/>
      <c r="E28" s="222">
        <v>181.8</v>
      </c>
      <c r="F28" s="222">
        <v>7.5006690454950942</v>
      </c>
      <c r="G28" s="249">
        <v>0.1033</v>
      </c>
      <c r="H28" s="249">
        <v>0.41539999999999999</v>
      </c>
      <c r="I28" s="245">
        <f t="shared" si="0"/>
        <v>4.2910820000000002E-2</v>
      </c>
      <c r="J28" s="247">
        <v>0.85</v>
      </c>
      <c r="K28" s="253">
        <f t="shared" si="1"/>
        <v>37.609070864203098</v>
      </c>
      <c r="L28" s="216"/>
      <c r="M28" t="s">
        <v>8811</v>
      </c>
      <c r="N28">
        <v>20.046904110469253</v>
      </c>
      <c r="O28">
        <v>26.622250614578711</v>
      </c>
      <c r="P28">
        <v>0.75301312427324574</v>
      </c>
      <c r="Q28">
        <v>0.46117796645495801</v>
      </c>
      <c r="R28">
        <v>-35.884368966519673</v>
      </c>
      <c r="S28">
        <v>75.978177187458186</v>
      </c>
      <c r="T28">
        <v>-35.884368966519673</v>
      </c>
      <c r="U28">
        <v>75.978177187458186</v>
      </c>
    </row>
    <row r="29" spans="2:21">
      <c r="B29" s="218">
        <v>23</v>
      </c>
      <c r="C29" s="146" t="s">
        <v>567</v>
      </c>
      <c r="D29" s="146"/>
      <c r="E29" s="222">
        <v>9.1199999999999992</v>
      </c>
      <c r="F29" s="222">
        <v>93.393043478260864</v>
      </c>
      <c r="G29" s="249">
        <v>1.1399999999999999E-2</v>
      </c>
      <c r="H29" s="249">
        <v>0</v>
      </c>
      <c r="I29" s="245">
        <f t="shared" si="0"/>
        <v>0</v>
      </c>
      <c r="J29" s="247">
        <v>1.42</v>
      </c>
      <c r="K29" s="253">
        <f t="shared" si="1"/>
        <v>43.006217334117281</v>
      </c>
      <c r="L29" s="216"/>
      <c r="M29" t="s">
        <v>8812</v>
      </c>
      <c r="N29">
        <v>-359.65540028950699</v>
      </c>
      <c r="O29">
        <v>395.10539705338687</v>
      </c>
      <c r="P29">
        <v>-0.91027711332657435</v>
      </c>
      <c r="Q29">
        <v>0.37470531776719829</v>
      </c>
      <c r="R29">
        <v>-1189.7410371771539</v>
      </c>
      <c r="S29">
        <v>470.43023659813986</v>
      </c>
      <c r="T29">
        <v>-1189.7410371771539</v>
      </c>
      <c r="U29">
        <v>470.43023659813986</v>
      </c>
    </row>
    <row r="30" spans="2:21" ht="15.75" thickBot="1">
      <c r="B30" s="218">
        <v>24</v>
      </c>
      <c r="C30" s="146" t="s">
        <v>568</v>
      </c>
      <c r="D30" s="146"/>
      <c r="E30" s="222">
        <v>123</v>
      </c>
      <c r="F30" s="222">
        <v>29.744738020600092</v>
      </c>
      <c r="G30" s="249">
        <v>4.4500000000000005E-2</v>
      </c>
      <c r="H30" s="249">
        <v>2.5876000000000001</v>
      </c>
      <c r="I30" s="245">
        <f t="shared" si="0"/>
        <v>0.11514820000000002</v>
      </c>
      <c r="J30" s="247">
        <v>1.05</v>
      </c>
      <c r="K30" s="253">
        <f t="shared" si="1"/>
        <v>54.389757665043646</v>
      </c>
      <c r="L30" s="216"/>
      <c r="M30" s="164" t="s">
        <v>8813</v>
      </c>
      <c r="N30" s="164">
        <v>-1.8730562683430816</v>
      </c>
      <c r="O30" s="164">
        <v>25.162794340435692</v>
      </c>
      <c r="P30" s="164">
        <v>-7.4437530387201412E-2</v>
      </c>
      <c r="Q30" s="164">
        <v>0.94148326358038115</v>
      </c>
      <c r="R30" s="164">
        <v>-54.738125492216881</v>
      </c>
      <c r="S30" s="164">
        <v>50.992012955530711</v>
      </c>
      <c r="T30" s="164">
        <v>-54.738125492216881</v>
      </c>
      <c r="U30" s="164">
        <v>50.992012955530711</v>
      </c>
    </row>
    <row r="31" spans="2:21">
      <c r="B31" s="373"/>
      <c r="C31" s="88"/>
      <c r="D31" s="88"/>
      <c r="E31" s="374"/>
      <c r="F31" s="374"/>
      <c r="G31" s="375"/>
      <c r="H31" s="375"/>
      <c r="I31" s="376"/>
      <c r="J31" s="354"/>
      <c r="K31" s="377"/>
      <c r="L31" s="216"/>
    </row>
    <row r="32" spans="2:21">
      <c r="B32" s="88" t="s">
        <v>8982</v>
      </c>
      <c r="C32" s="213"/>
      <c r="D32" s="88"/>
      <c r="E32" s="214"/>
      <c r="F32" s="214"/>
      <c r="G32" s="214"/>
      <c r="H32" s="214"/>
      <c r="I32" s="214"/>
      <c r="J32" s="88"/>
    </row>
    <row r="33" spans="2:11" ht="62.25" customHeight="1">
      <c r="B33" s="437" t="s">
        <v>9048</v>
      </c>
      <c r="C33" s="437"/>
      <c r="D33" s="437"/>
      <c r="E33" s="437"/>
      <c r="F33" s="437"/>
      <c r="G33" s="437"/>
      <c r="H33" s="437"/>
      <c r="I33" s="437"/>
      <c r="J33" s="437"/>
      <c r="K33" s="437"/>
    </row>
    <row r="34" spans="2:11" ht="15.75">
      <c r="B34" s="2" t="s">
        <v>8989</v>
      </c>
      <c r="C34" s="380" t="s">
        <v>8990</v>
      </c>
      <c r="D34" s="88"/>
      <c r="E34" s="243"/>
      <c r="F34" s="243"/>
      <c r="G34" s="243"/>
      <c r="H34" s="243"/>
      <c r="I34" s="243"/>
      <c r="J34" s="88"/>
    </row>
    <row r="35" spans="2:11">
      <c r="B35" s="88"/>
      <c r="C35" s="88"/>
      <c r="D35" s="88"/>
      <c r="E35" s="243"/>
      <c r="F35" s="243"/>
      <c r="G35" s="244"/>
      <c r="H35" s="244"/>
      <c r="I35" s="244"/>
      <c r="J35" s="88"/>
    </row>
    <row r="36" spans="2:11">
      <c r="B36" s="88"/>
      <c r="C36" s="88"/>
      <c r="D36" s="88"/>
      <c r="E36" s="243"/>
      <c r="F36" s="243"/>
      <c r="G36" s="244"/>
      <c r="H36" s="244"/>
      <c r="I36" s="244"/>
      <c r="J36" s="88"/>
    </row>
    <row r="37" spans="2:11">
      <c r="B37" s="88"/>
      <c r="C37" s="88"/>
      <c r="D37" s="88"/>
      <c r="E37" s="243"/>
      <c r="F37" s="243"/>
      <c r="G37" s="243"/>
      <c r="H37" s="243"/>
      <c r="I37" s="243"/>
      <c r="J37" s="88"/>
    </row>
    <row r="38" spans="2:11">
      <c r="B38" s="88"/>
      <c r="C38" s="88"/>
      <c r="D38" s="88"/>
      <c r="E38" s="243"/>
      <c r="F38" s="243"/>
      <c r="G38" s="243"/>
      <c r="H38" s="243"/>
      <c r="I38" s="243"/>
      <c r="J38" s="88"/>
    </row>
    <row r="39" spans="2:11">
      <c r="B39" s="88"/>
      <c r="C39" s="88"/>
      <c r="D39" s="88"/>
      <c r="E39" s="243"/>
      <c r="F39" s="243"/>
      <c r="G39" s="88"/>
      <c r="H39" s="88"/>
      <c r="I39" s="88"/>
      <c r="J39" s="88"/>
    </row>
    <row r="40" spans="2:11">
      <c r="B40" s="88"/>
      <c r="C40" s="88"/>
      <c r="D40" s="88"/>
      <c r="E40" s="243"/>
      <c r="F40" s="243"/>
      <c r="G40" s="238"/>
      <c r="H40" s="238"/>
      <c r="I40" s="238"/>
      <c r="J40" s="88"/>
    </row>
    <row r="41" spans="2:11">
      <c r="B41" s="88"/>
      <c r="C41" s="88"/>
      <c r="D41" s="88"/>
      <c r="E41" s="243"/>
      <c r="F41" s="243"/>
      <c r="G41" s="88"/>
      <c r="H41" s="88"/>
      <c r="I41" s="88"/>
      <c r="J41" s="88"/>
    </row>
    <row r="42" spans="2:11">
      <c r="B42" s="88"/>
      <c r="C42" s="88"/>
      <c r="D42" s="88"/>
      <c r="E42" s="243"/>
      <c r="F42" s="243"/>
      <c r="G42" s="88"/>
      <c r="H42" s="88"/>
      <c r="I42" s="88"/>
      <c r="J42" s="88"/>
    </row>
    <row r="43" spans="2:11">
      <c r="B43" s="88"/>
      <c r="C43" s="88"/>
      <c r="D43" s="88"/>
      <c r="E43" s="243"/>
      <c r="F43" s="243"/>
      <c r="G43" s="88"/>
      <c r="H43" s="88"/>
      <c r="I43" s="88"/>
      <c r="J43" s="88"/>
    </row>
    <row r="44" spans="2:11">
      <c r="B44" s="88"/>
      <c r="C44" s="88"/>
      <c r="D44" s="88"/>
      <c r="E44" s="243"/>
      <c r="F44" s="243"/>
      <c r="G44" s="88"/>
      <c r="H44" s="88"/>
      <c r="I44" s="88"/>
      <c r="J44" s="88"/>
    </row>
    <row r="45" spans="2:11">
      <c r="B45" s="88"/>
      <c r="C45" s="88"/>
      <c r="D45" s="88"/>
      <c r="E45" s="243"/>
      <c r="F45" s="243"/>
      <c r="G45" s="88"/>
      <c r="H45" s="88"/>
      <c r="I45" s="88"/>
      <c r="J45" s="88"/>
    </row>
    <row r="46" spans="2:11">
      <c r="B46" s="88"/>
      <c r="C46" s="88"/>
      <c r="D46" s="88"/>
      <c r="E46" s="243"/>
      <c r="F46" s="243"/>
      <c r="G46" s="88"/>
      <c r="H46" s="88"/>
      <c r="I46" s="88"/>
      <c r="J46" s="88"/>
    </row>
    <row r="47" spans="2:11">
      <c r="B47" s="88"/>
      <c r="C47" s="88"/>
      <c r="D47" s="88"/>
      <c r="E47" s="243"/>
      <c r="F47" s="243"/>
      <c r="G47" s="91"/>
      <c r="H47" s="91"/>
      <c r="I47" s="91"/>
      <c r="J47" s="88"/>
    </row>
    <row r="48" spans="2:11">
      <c r="B48" s="88"/>
      <c r="C48" s="88"/>
      <c r="D48" s="88"/>
      <c r="E48" s="243"/>
      <c r="F48" s="243"/>
      <c r="G48" s="88"/>
      <c r="H48" s="88"/>
      <c r="I48" s="88"/>
      <c r="J48" s="88"/>
    </row>
    <row r="49" spans="2:6">
      <c r="B49" s="88"/>
      <c r="C49" s="88"/>
      <c r="D49" s="88"/>
      <c r="E49" s="243"/>
      <c r="F49" s="243"/>
    </row>
    <row r="50" spans="2:6">
      <c r="B50" s="88"/>
      <c r="C50" s="88"/>
      <c r="D50" s="88"/>
      <c r="E50" s="243"/>
      <c r="F50" s="243"/>
    </row>
    <row r="51" spans="2:6">
      <c r="B51" s="88"/>
      <c r="C51" s="88"/>
      <c r="D51" s="88"/>
      <c r="E51" s="243"/>
      <c r="F51" s="243"/>
    </row>
    <row r="52" spans="2:6">
      <c r="B52" s="88"/>
      <c r="C52" s="88"/>
      <c r="D52" s="88"/>
      <c r="E52" s="243"/>
      <c r="F52" s="243"/>
    </row>
    <row r="53" spans="2:6">
      <c r="B53" s="88"/>
      <c r="C53" s="88"/>
      <c r="D53" s="88"/>
      <c r="E53" s="243"/>
      <c r="F53" s="243"/>
    </row>
    <row r="54" spans="2:6">
      <c r="B54" s="88"/>
      <c r="C54" s="88"/>
      <c r="D54" s="88"/>
      <c r="E54" s="243"/>
      <c r="F54" s="243"/>
    </row>
    <row r="55" spans="2:6">
      <c r="B55" s="88"/>
      <c r="C55" s="88"/>
      <c r="D55" s="88"/>
      <c r="E55" s="243"/>
      <c r="F55" s="243"/>
    </row>
    <row r="56" spans="2:6">
      <c r="B56" s="88"/>
      <c r="C56" s="88"/>
      <c r="D56" s="88"/>
      <c r="E56" s="243"/>
      <c r="F56" s="243"/>
    </row>
    <row r="57" spans="2:6">
      <c r="B57" s="88"/>
      <c r="C57" s="88"/>
      <c r="D57" s="88"/>
      <c r="E57" s="243"/>
      <c r="F57" s="243"/>
    </row>
    <row r="58" spans="2:6">
      <c r="B58" s="88"/>
      <c r="C58" s="88"/>
      <c r="D58" s="88"/>
      <c r="E58" s="243"/>
      <c r="F58" s="243"/>
    </row>
    <row r="59" spans="2:6">
      <c r="B59" s="88"/>
      <c r="C59" s="88"/>
      <c r="D59" s="88"/>
      <c r="E59" s="243"/>
      <c r="F59" s="243"/>
    </row>
    <row r="60" spans="2:6">
      <c r="B60" s="88"/>
      <c r="C60" s="88"/>
      <c r="D60" s="88"/>
      <c r="E60" s="243"/>
      <c r="F60" s="243"/>
    </row>
  </sheetData>
  <mergeCells count="1">
    <mergeCell ref="B33:K33"/>
  </mergeCells>
  <hyperlinks>
    <hyperlink ref="C34" r:id="rId1" xr:uid="{6FF99E9E-D97D-495D-9E52-21F02D06C30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E1B4F-2258-46E1-AF1F-ACBA12592791}">
  <sheetPr>
    <tabColor rgb="FFFF0000"/>
  </sheetPr>
  <dimension ref="A1"/>
  <sheetViews>
    <sheetView showGridLines="0" workbookViewId="0">
      <selection activeCell="M31" sqref="M31"/>
    </sheetView>
  </sheetViews>
  <sheetFormatPr defaultRowHeight="1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BFBA-40D4-40FF-9388-9D8B4A9D020E}">
  <sheetPr>
    <tabColor rgb="FF002060"/>
  </sheetPr>
  <dimension ref="C4:H10"/>
  <sheetViews>
    <sheetView showGridLines="0" workbookViewId="0">
      <selection activeCell="E38" sqref="E38"/>
    </sheetView>
  </sheetViews>
  <sheetFormatPr defaultRowHeight="15"/>
  <cols>
    <col min="1" max="1" width="1.85546875" customWidth="1"/>
  </cols>
  <sheetData>
    <row r="4" spans="3:8">
      <c r="C4" s="231" t="s">
        <v>8795</v>
      </c>
      <c r="D4" s="140"/>
      <c r="E4" s="140"/>
      <c r="F4" s="140"/>
      <c r="G4" s="140"/>
      <c r="H4" s="140"/>
    </row>
    <row r="5" spans="3:8">
      <c r="E5" s="232" t="s">
        <v>8796</v>
      </c>
      <c r="F5" s="232" t="s">
        <v>286</v>
      </c>
      <c r="G5" s="232" t="s">
        <v>8797</v>
      </c>
      <c r="H5" s="232" t="s">
        <v>292</v>
      </c>
    </row>
    <row r="6" spans="3:8">
      <c r="C6" t="s">
        <v>8798</v>
      </c>
      <c r="E6" s="127">
        <v>449.50637779111128</v>
      </c>
      <c r="F6" s="127">
        <v>449.50637779111128</v>
      </c>
      <c r="G6" s="127">
        <v>1191.5029090901824</v>
      </c>
      <c r="H6" s="127">
        <v>1191.5029090901824</v>
      </c>
    </row>
    <row r="7" spans="3:8">
      <c r="C7" t="s">
        <v>8799</v>
      </c>
      <c r="E7" s="127">
        <f>F7</f>
        <v>-29.582778741286148</v>
      </c>
      <c r="F7" s="127">
        <f>'DCF Model'!K40</f>
        <v>-29.582778741286148</v>
      </c>
      <c r="G7" s="127">
        <f>H7</f>
        <v>9.7519652175429989</v>
      </c>
      <c r="H7" s="127">
        <f>'DCF Model'!K44</f>
        <v>9.7519652175429989</v>
      </c>
    </row>
    <row r="8" spans="3:8">
      <c r="C8" t="s">
        <v>8800</v>
      </c>
      <c r="E8" s="127">
        <f t="shared" ref="E8:E10" si="0">F8</f>
        <v>-15.486241119483251</v>
      </c>
      <c r="F8" s="127">
        <f>'DCF Model'!J40</f>
        <v>-15.486241119483251</v>
      </c>
      <c r="G8" s="127">
        <f t="shared" ref="G8:G10" si="1">H8</f>
        <v>46.16774693849402</v>
      </c>
      <c r="H8" s="127">
        <f>'DCF Model'!J44</f>
        <v>46.16774693849402</v>
      </c>
    </row>
    <row r="9" spans="3:8">
      <c r="C9" t="s">
        <v>8801</v>
      </c>
      <c r="E9" s="127">
        <f t="shared" si="0"/>
        <v>40.661896305887744</v>
      </c>
      <c r="F9" s="127">
        <f>'DCF Model'!H40</f>
        <v>40.661896305887744</v>
      </c>
      <c r="G9" s="127">
        <f t="shared" si="1"/>
        <v>332.05212205346095</v>
      </c>
      <c r="H9" s="127">
        <f>'DCF Model'!H44</f>
        <v>332.05212205346095</v>
      </c>
    </row>
    <row r="10" spans="3:8">
      <c r="C10" t="s">
        <v>8802</v>
      </c>
      <c r="E10" s="127">
        <f t="shared" si="0"/>
        <v>342.35</v>
      </c>
      <c r="F10" s="127">
        <v>342.35</v>
      </c>
      <c r="G10" s="127">
        <f t="shared" si="1"/>
        <v>464.9</v>
      </c>
      <c r="H10" s="127">
        <v>464.9</v>
      </c>
    </row>
  </sheetData>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002060"/>
    <pageSetUpPr fitToPage="1"/>
  </sheetPr>
  <dimension ref="B2:O71"/>
  <sheetViews>
    <sheetView showGridLines="0" zoomScale="85" zoomScaleNormal="85" workbookViewId="0">
      <selection activeCell="E80" sqref="E80"/>
    </sheetView>
  </sheetViews>
  <sheetFormatPr defaultRowHeight="15"/>
  <cols>
    <col min="1" max="1" width="3.7109375" customWidth="1"/>
    <col min="2" max="2" width="42" customWidth="1"/>
    <col min="3" max="6" width="12.7109375" customWidth="1"/>
    <col min="7" max="11" width="13.28515625" bestFit="1" customWidth="1"/>
    <col min="12" max="12" width="11.7109375" bestFit="1" customWidth="1"/>
    <col min="14" max="14" width="6.7109375" customWidth="1"/>
  </cols>
  <sheetData>
    <row r="2" spans="2:15" ht="44.25" customHeight="1">
      <c r="B2" s="330" t="str">
        <f>'Data Sheet'!B1</f>
        <v>TATA POWER COMPANY LTD</v>
      </c>
      <c r="C2" s="238"/>
      <c r="D2" s="238"/>
      <c r="E2" s="238"/>
      <c r="F2" s="238"/>
      <c r="G2" s="238"/>
      <c r="H2" s="238"/>
      <c r="I2" s="238"/>
      <c r="J2" s="238"/>
      <c r="K2" s="238"/>
    </row>
    <row r="3" spans="2:15">
      <c r="B3" s="304" t="str">
        <f>CONCATENATE("(",VLOOKUP(B2,'Peer Company Database'!B2:E5443,3,FALSE),"|","BSE CODE - ", VLOOKUP(B2,'Peer Company Database'!B2:E5443,2,FALSE),")")</f>
        <v>(TATAPOWER|BSE CODE - 500400)</v>
      </c>
    </row>
    <row r="4" spans="2:15" ht="23.25">
      <c r="B4" s="270" t="str">
        <f>_xlfn.CONCAT("INR "&amp;ROUND('Beta Regression Historical Data'!L4,2))</f>
        <v>INR 402.35</v>
      </c>
    </row>
    <row r="5" spans="2:15">
      <c r="B5" s="329" t="s">
        <v>8807</v>
      </c>
    </row>
    <row r="6" spans="2:15" ht="7.5" customHeight="1" thickBot="1">
      <c r="B6" s="122"/>
      <c r="C6" s="122"/>
    </row>
    <row r="7" spans="2:15" ht="16.5" thickTop="1">
      <c r="B7" s="242" t="s">
        <v>260</v>
      </c>
      <c r="C7" s="242"/>
    </row>
    <row r="8" spans="2:15" ht="73.5" customHeight="1">
      <c r="B8" s="438" t="s">
        <v>8808</v>
      </c>
      <c r="C8" s="438"/>
      <c r="D8" s="438"/>
      <c r="E8" s="438"/>
      <c r="F8" s="438"/>
      <c r="G8" s="438"/>
      <c r="H8" s="438"/>
      <c r="I8" s="438"/>
      <c r="J8" s="438"/>
      <c r="K8" s="438"/>
      <c r="L8" s="438"/>
      <c r="O8" s="239"/>
    </row>
    <row r="9" spans="2:15" ht="17.25" customHeight="1">
      <c r="B9" s="242" t="s">
        <v>8809</v>
      </c>
      <c r="C9" s="240"/>
      <c r="D9" s="240"/>
      <c r="E9" s="240"/>
      <c r="F9" s="240"/>
      <c r="G9" s="240"/>
      <c r="H9" s="240"/>
      <c r="I9" s="240"/>
      <c r="J9" s="240"/>
      <c r="K9" s="240"/>
      <c r="O9" s="239"/>
    </row>
    <row r="10" spans="2:15" ht="7.5" customHeight="1">
      <c r="B10" s="242"/>
      <c r="O10" s="239"/>
    </row>
    <row r="11" spans="2:15">
      <c r="O11" s="239"/>
    </row>
    <row r="12" spans="2:15">
      <c r="O12" s="239"/>
    </row>
    <row r="13" spans="2:15" ht="160.5" customHeight="1">
      <c r="K13" s="2"/>
      <c r="O13" s="239"/>
    </row>
    <row r="14" spans="2:15">
      <c r="B14" s="241"/>
      <c r="O14" s="239"/>
    </row>
    <row r="15" spans="2:15">
      <c r="O15" s="239"/>
    </row>
    <row r="21" spans="2:14" ht="34.5" customHeight="1"/>
    <row r="22" spans="2:14" ht="180.75" customHeight="1"/>
    <row r="23" spans="2:14">
      <c r="B23" s="415" t="s">
        <v>8803</v>
      </c>
      <c r="C23" s="415"/>
      <c r="D23" s="415"/>
      <c r="E23" s="415"/>
      <c r="F23" s="415"/>
      <c r="G23" s="415"/>
      <c r="H23" s="415"/>
      <c r="I23" s="415"/>
      <c r="J23" s="415"/>
      <c r="K23" s="415"/>
      <c r="L23" s="415"/>
    </row>
    <row r="24" spans="2:14">
      <c r="C24" s="234">
        <f>'DCF Assumptions'!D4</f>
        <v>42825</v>
      </c>
      <c r="D24" s="234">
        <f>'DCF Assumptions'!E4</f>
        <v>43190</v>
      </c>
      <c r="E24" s="234">
        <f>'DCF Assumptions'!F4</f>
        <v>43555</v>
      </c>
      <c r="F24" s="234">
        <f>'DCF Assumptions'!G4</f>
        <v>43921</v>
      </c>
      <c r="G24" s="234">
        <f>'DCF Assumptions'!H4</f>
        <v>44286</v>
      </c>
      <c r="H24" s="234">
        <f>'DCF Assumptions'!I4</f>
        <v>44651</v>
      </c>
      <c r="I24" s="234">
        <f>'DCF Assumptions'!J4</f>
        <v>45016</v>
      </c>
      <c r="J24" s="234">
        <f>'DCF Assumptions'!K4</f>
        <v>45382</v>
      </c>
      <c r="K24" s="234">
        <f>'DCF Assumptions'!L4</f>
        <v>45747</v>
      </c>
      <c r="L24" s="234">
        <f>'DCF Assumptions'!M4</f>
        <v>46112</v>
      </c>
    </row>
    <row r="25" spans="2:14">
      <c r="B25" s="25" t="s">
        <v>261</v>
      </c>
      <c r="C25" s="123">
        <f>'Historical Financial Statements'!C39</f>
        <v>1099.6299999999983</v>
      </c>
      <c r="D25" s="123">
        <f>'Historical Financial Statements'!D39</f>
        <v>2610.8500000000013</v>
      </c>
      <c r="E25" s="123">
        <f>'Historical Financial Statements'!E39</f>
        <v>2605.6600000000035</v>
      </c>
      <c r="F25" s="123">
        <f>'Historical Financial Statements'!F39</f>
        <v>1316.4400000000003</v>
      </c>
      <c r="G25" s="123">
        <f>'Historical Financial Statements'!G39</f>
        <v>1438.6499999999974</v>
      </c>
      <c r="H25" s="123">
        <f>'Historical Financial Statements'!H39</f>
        <v>2155.6100000000033</v>
      </c>
      <c r="I25" s="123">
        <f>'Historical Financial Statements'!I39</f>
        <v>3809.6700000000055</v>
      </c>
      <c r="J25" s="123">
        <f>'Historical Financial Statements'!J39</f>
        <v>4280.1000000000049</v>
      </c>
      <c r="K25" s="123">
        <f>'Historical Financial Statements'!K39</f>
        <v>4775.3699999999963</v>
      </c>
      <c r="L25" s="123">
        <f>'Historical Financial Statements'!L39</f>
        <v>5117.5600000000004</v>
      </c>
      <c r="M25" s="123"/>
    </row>
    <row r="26" spans="2:14">
      <c r="B26" s="25" t="s">
        <v>8967</v>
      </c>
      <c r="C26" s="123">
        <f>(SUM('Data Sheet'!B57:B58)+SUM('Data Sheet'!C57:C58))/2</f>
        <v>14807.214999999998</v>
      </c>
      <c r="D26" s="123">
        <f>(SUM('Data Sheet'!C57:C58)+SUM('Data Sheet'!D57:D58))/2</f>
        <v>17352.695</v>
      </c>
      <c r="E26" s="123">
        <f>(SUM('Data Sheet'!D57:D58)+SUM('Data Sheet'!E57:E58))/2</f>
        <v>18935.764999999999</v>
      </c>
      <c r="F26" s="123">
        <f>(SUM('Data Sheet'!E57:E58)+SUM('Data Sheet'!F57:F58))/2</f>
        <v>20944.14</v>
      </c>
      <c r="G26" s="123">
        <f>(SUM('Data Sheet'!F57:F58)+SUM('Data Sheet'!G57:G58))/2</f>
        <v>22381.910000000003</v>
      </c>
      <c r="H26" s="123">
        <f>(SUM('Data Sheet'!G57:G58)+SUM('Data Sheet'!H57:H58))/2</f>
        <v>25614.495000000003</v>
      </c>
      <c r="I26" s="123">
        <f>(SUM('Data Sheet'!H57:H58)+SUM('Data Sheet'!I57:I58))/2</f>
        <v>30571.360000000001</v>
      </c>
      <c r="J26" s="123">
        <f>(SUM('Data Sheet'!I57:I58)+SUM('Data Sheet'!J57:J58))/2</f>
        <v>34097.979999999996</v>
      </c>
      <c r="K26" s="123">
        <f>(SUM('Data Sheet'!J57:J58)+SUM('Data Sheet'!K57:K58))/2</f>
        <v>37653.94</v>
      </c>
      <c r="L26" s="123">
        <f>(SUM('Data Sheet'!K57:K58)+SUM('Data Sheet'!L57:L58))/2</f>
        <v>19733.605</v>
      </c>
      <c r="M26" s="123"/>
    </row>
    <row r="27" spans="2:14">
      <c r="B27" s="124" t="s">
        <v>59</v>
      </c>
      <c r="C27" s="125">
        <f>C25/C26</f>
        <v>7.4263121052810965E-2</v>
      </c>
      <c r="D27" s="125">
        <f t="shared" ref="D27:L27" si="0">D25/D26</f>
        <v>0.15045789717389726</v>
      </c>
      <c r="E27" s="125">
        <f t="shared" si="0"/>
        <v>0.13760521425989411</v>
      </c>
      <c r="F27" s="125">
        <f t="shared" si="0"/>
        <v>6.2854812849799532E-2</v>
      </c>
      <c r="G27" s="125">
        <f>G25/G26</f>
        <v>6.427735613269811E-2</v>
      </c>
      <c r="H27" s="125">
        <f t="shared" si="0"/>
        <v>8.4155865653412376E-2</v>
      </c>
      <c r="I27" s="125">
        <f t="shared" si="0"/>
        <v>0.12461565334352169</v>
      </c>
      <c r="J27" s="125">
        <f t="shared" si="0"/>
        <v>0.12552356473902576</v>
      </c>
      <c r="K27" s="125">
        <f t="shared" si="0"/>
        <v>0.12682258483441564</v>
      </c>
      <c r="L27" s="125">
        <f t="shared" si="0"/>
        <v>0.25933224061189025</v>
      </c>
    </row>
    <row r="29" spans="2:14">
      <c r="B29" s="415" t="s">
        <v>8806</v>
      </c>
      <c r="C29" s="415"/>
      <c r="D29" s="415"/>
      <c r="E29" s="415"/>
      <c r="F29" s="415"/>
      <c r="G29" s="415"/>
      <c r="H29" s="415"/>
      <c r="I29" s="415"/>
      <c r="J29" s="415"/>
      <c r="K29" s="415"/>
      <c r="L29" s="415"/>
      <c r="N29" s="82"/>
    </row>
    <row r="30" spans="2:14">
      <c r="N30" s="82"/>
    </row>
    <row r="31" spans="2:14">
      <c r="B31" s="25" t="s">
        <v>261</v>
      </c>
      <c r="C31" s="123">
        <f t="shared" ref="C31:K31" si="1">C25</f>
        <v>1099.6299999999983</v>
      </c>
      <c r="D31" s="123">
        <f t="shared" si="1"/>
        <v>2610.8500000000013</v>
      </c>
      <c r="E31" s="123">
        <f t="shared" si="1"/>
        <v>2605.6600000000035</v>
      </c>
      <c r="F31" s="123">
        <f t="shared" si="1"/>
        <v>1316.4400000000003</v>
      </c>
      <c r="G31" s="123">
        <f t="shared" si="1"/>
        <v>1438.6499999999974</v>
      </c>
      <c r="H31" s="123">
        <f t="shared" si="1"/>
        <v>2155.6100000000033</v>
      </c>
      <c r="I31" s="123">
        <f t="shared" si="1"/>
        <v>3809.6700000000055</v>
      </c>
      <c r="J31" s="123">
        <f t="shared" si="1"/>
        <v>4280.1000000000049</v>
      </c>
      <c r="K31" s="123">
        <f t="shared" si="1"/>
        <v>4775.3699999999963</v>
      </c>
      <c r="L31" s="123">
        <f t="shared" ref="L31" si="2">L25</f>
        <v>5117.5600000000004</v>
      </c>
    </row>
    <row r="32" spans="2:14">
      <c r="B32" s="25" t="s">
        <v>263</v>
      </c>
      <c r="C32" s="123">
        <f>'Historical Financial Statements'!C6</f>
        <v>27587.59</v>
      </c>
      <c r="D32" s="123">
        <f>'Historical Financial Statements'!D6</f>
        <v>26840.27</v>
      </c>
      <c r="E32" s="123">
        <f>'Historical Financial Statements'!E6</f>
        <v>29881.06</v>
      </c>
      <c r="F32" s="123">
        <f>'Historical Financial Statements'!F6</f>
        <v>29136.37</v>
      </c>
      <c r="G32" s="123">
        <f>'Historical Financial Statements'!G6</f>
        <v>32703.31</v>
      </c>
      <c r="H32" s="123">
        <f>'Historical Financial Statements'!H6</f>
        <v>42815.67</v>
      </c>
      <c r="I32" s="123">
        <f>'Historical Financial Statements'!I6</f>
        <v>55109.08</v>
      </c>
      <c r="J32" s="123">
        <f>'Historical Financial Statements'!J6</f>
        <v>61448.9</v>
      </c>
      <c r="K32" s="123">
        <f>'Historical Financial Statements'!K6</f>
        <v>65478.239999999998</v>
      </c>
      <c r="L32" s="123">
        <f>'Historical Financial Statements'!L6</f>
        <v>62428.59</v>
      </c>
    </row>
    <row r="33" spans="2:12">
      <c r="B33" s="150" t="s">
        <v>262</v>
      </c>
      <c r="C33" s="236">
        <f>C31/C32</f>
        <v>3.9859589039854454E-2</v>
      </c>
      <c r="D33" s="236">
        <f t="shared" ref="D33:K33" si="3">D31/D32</f>
        <v>9.727361162909319E-2</v>
      </c>
      <c r="E33" s="236">
        <f t="shared" si="3"/>
        <v>8.720105645515934E-2</v>
      </c>
      <c r="F33" s="236">
        <f t="shared" si="3"/>
        <v>4.5182018212975752E-2</v>
      </c>
      <c r="G33" s="236">
        <f t="shared" si="3"/>
        <v>4.3990959936471181E-2</v>
      </c>
      <c r="H33" s="236">
        <f t="shared" si="3"/>
        <v>5.0346286768372502E-2</v>
      </c>
      <c r="I33" s="236">
        <f t="shared" si="3"/>
        <v>6.9129624374059687E-2</v>
      </c>
      <c r="J33" s="236">
        <f t="shared" si="3"/>
        <v>6.9652996229387421E-2</v>
      </c>
      <c r="K33" s="236">
        <f t="shared" si="3"/>
        <v>7.2930640774706165E-2</v>
      </c>
      <c r="L33" s="236">
        <f t="shared" ref="L33" si="4">L31/L32</f>
        <v>8.1974620922881658E-2</v>
      </c>
    </row>
    <row r="35" spans="2:12">
      <c r="B35" s="25" t="s">
        <v>263</v>
      </c>
      <c r="C35" s="123">
        <f>C32</f>
        <v>27587.59</v>
      </c>
      <c r="D35" s="123">
        <f t="shared" ref="D35:K35" si="5">D32</f>
        <v>26840.27</v>
      </c>
      <c r="E35" s="123">
        <f t="shared" si="5"/>
        <v>29881.06</v>
      </c>
      <c r="F35" s="123">
        <f t="shared" si="5"/>
        <v>29136.37</v>
      </c>
      <c r="G35" s="123">
        <f t="shared" si="5"/>
        <v>32703.31</v>
      </c>
      <c r="H35" s="123">
        <f t="shared" si="5"/>
        <v>42815.67</v>
      </c>
      <c r="I35" s="123">
        <f t="shared" si="5"/>
        <v>55109.08</v>
      </c>
      <c r="J35" s="123">
        <f t="shared" si="5"/>
        <v>61448.9</v>
      </c>
      <c r="K35" s="123">
        <f t="shared" si="5"/>
        <v>65478.239999999998</v>
      </c>
      <c r="L35" s="123">
        <f t="shared" ref="L35" si="6">L32</f>
        <v>62428.59</v>
      </c>
    </row>
    <row r="36" spans="2:12">
      <c r="B36" s="25" t="s">
        <v>8966</v>
      </c>
      <c r="C36" s="123">
        <f>SUM('Historical Financial Statements'!C98:D98)/2</f>
        <v>82360</v>
      </c>
      <c r="D36" s="123">
        <f>SUM('Historical Financial Statements'!D98:E98)/2</f>
        <v>82982</v>
      </c>
      <c r="E36" s="123">
        <f>SUM('Historical Financial Statements'!E98:F98)/2</f>
        <v>86873.5</v>
      </c>
      <c r="F36" s="123">
        <f>SUM('Historical Financial Statements'!F98:G98)/2</f>
        <v>94164.5</v>
      </c>
      <c r="G36" s="123">
        <f>SUM('Historical Financial Statements'!G98:H98)/2</f>
        <v>105603</v>
      </c>
      <c r="H36" s="123">
        <f>SUM('Historical Financial Statements'!H98:I98)/2</f>
        <v>120324</v>
      </c>
      <c r="I36" s="123">
        <f>SUM('Historical Financial Statements'!I98:J98)/2</f>
        <v>133576</v>
      </c>
      <c r="J36" s="123">
        <f>SUM('Historical Financial Statements'!J98:K98)/2</f>
        <v>147624</v>
      </c>
      <c r="K36" s="123">
        <f>SUM('Historical Financial Statements'!K98:L98)/2</f>
        <v>165378.5</v>
      </c>
      <c r="L36" s="123">
        <f>SUM('Historical Financial Statements'!L98:M98)/2</f>
        <v>87282</v>
      </c>
    </row>
    <row r="37" spans="2:12">
      <c r="B37" s="150" t="s">
        <v>8968</v>
      </c>
      <c r="C37" s="235">
        <f t="shared" ref="C37:J37" si="7">C35/C36</f>
        <v>0.33496345313258863</v>
      </c>
      <c r="D37" s="235">
        <f t="shared" si="7"/>
        <v>0.32344689209708127</v>
      </c>
      <c r="E37" s="235">
        <f t="shared" si="7"/>
        <v>0.34396058636983662</v>
      </c>
      <c r="F37" s="235">
        <f t="shared" si="7"/>
        <v>0.30941989815694876</v>
      </c>
      <c r="G37" s="235">
        <f t="shared" si="7"/>
        <v>0.30968163783225855</v>
      </c>
      <c r="H37" s="235">
        <f t="shared" si="7"/>
        <v>0.35583649147302282</v>
      </c>
      <c r="I37" s="235">
        <f t="shared" si="7"/>
        <v>0.41256722764568488</v>
      </c>
      <c r="J37" s="235">
        <f t="shared" si="7"/>
        <v>0.41625277732618005</v>
      </c>
      <c r="K37" s="235">
        <f>K35/K36</f>
        <v>0.39592957972166876</v>
      </c>
      <c r="L37" s="235">
        <f>L35/L36</f>
        <v>0.71525159826768403</v>
      </c>
    </row>
    <row r="39" spans="2:12">
      <c r="B39" s="25" t="s">
        <v>8966</v>
      </c>
      <c r="C39" s="123">
        <f>C36</f>
        <v>82360</v>
      </c>
      <c r="D39" s="123">
        <f t="shared" ref="D39:K39" si="8">D36</f>
        <v>82982</v>
      </c>
      <c r="E39" s="123">
        <f t="shared" si="8"/>
        <v>86873.5</v>
      </c>
      <c r="F39" s="123">
        <f t="shared" si="8"/>
        <v>94164.5</v>
      </c>
      <c r="G39" s="123">
        <f t="shared" si="8"/>
        <v>105603</v>
      </c>
      <c r="H39" s="123">
        <f t="shared" si="8"/>
        <v>120324</v>
      </c>
      <c r="I39" s="123">
        <f t="shared" si="8"/>
        <v>133576</v>
      </c>
      <c r="J39" s="123">
        <f t="shared" si="8"/>
        <v>147624</v>
      </c>
      <c r="K39" s="123">
        <f t="shared" si="8"/>
        <v>165378.5</v>
      </c>
      <c r="L39" s="123">
        <f t="shared" ref="L39" si="9">L36</f>
        <v>87282</v>
      </c>
    </row>
    <row r="40" spans="2:12">
      <c r="B40" s="25" t="s">
        <v>264</v>
      </c>
      <c r="C40" s="123">
        <f t="shared" ref="C40:K40" si="10">C26</f>
        <v>14807.214999999998</v>
      </c>
      <c r="D40" s="123">
        <f t="shared" si="10"/>
        <v>17352.695</v>
      </c>
      <c r="E40" s="123">
        <f t="shared" si="10"/>
        <v>18935.764999999999</v>
      </c>
      <c r="F40" s="123">
        <f t="shared" si="10"/>
        <v>20944.14</v>
      </c>
      <c r="G40" s="123">
        <f t="shared" si="10"/>
        <v>22381.910000000003</v>
      </c>
      <c r="H40" s="123">
        <f t="shared" si="10"/>
        <v>25614.495000000003</v>
      </c>
      <c r="I40" s="123">
        <f t="shared" si="10"/>
        <v>30571.360000000001</v>
      </c>
      <c r="J40" s="123">
        <f t="shared" si="10"/>
        <v>34097.979999999996</v>
      </c>
      <c r="K40" s="123">
        <f t="shared" si="10"/>
        <v>37653.94</v>
      </c>
      <c r="L40" s="123">
        <f t="shared" ref="L40" si="11">L26</f>
        <v>19733.605</v>
      </c>
    </row>
    <row r="41" spans="2:12">
      <c r="B41" s="150" t="s">
        <v>265</v>
      </c>
      <c r="C41" s="235">
        <f t="shared" ref="C41:J41" si="12">C39/C40</f>
        <v>5.5621533151237426</v>
      </c>
      <c r="D41" s="235">
        <f t="shared" si="12"/>
        <v>4.7820814000361329</v>
      </c>
      <c r="E41" s="235">
        <f t="shared" si="12"/>
        <v>4.587799859155413</v>
      </c>
      <c r="F41" s="235">
        <f t="shared" si="12"/>
        <v>4.4959831246353392</v>
      </c>
      <c r="G41" s="235">
        <f t="shared" si="12"/>
        <v>4.7182300348808468</v>
      </c>
      <c r="H41" s="235">
        <f t="shared" si="12"/>
        <v>4.6974964761163545</v>
      </c>
      <c r="I41" s="235">
        <f t="shared" si="12"/>
        <v>4.3693182115548668</v>
      </c>
      <c r="J41" s="235">
        <f t="shared" si="12"/>
        <v>4.32940602346532</v>
      </c>
      <c r="K41" s="235">
        <f>K39/K40</f>
        <v>4.3920636193715712</v>
      </c>
      <c r="L41" s="235">
        <f>L39/L40</f>
        <v>4.4230134331765534</v>
      </c>
    </row>
    <row r="43" spans="2:12" ht="15.75">
      <c r="B43" s="331" t="s">
        <v>266</v>
      </c>
      <c r="C43" s="332">
        <f>C41*C37*C33</f>
        <v>7.4263121052810979E-2</v>
      </c>
      <c r="D43" s="332">
        <f t="shared" ref="D43:L43" si="13">D41*D37*D33</f>
        <v>0.15045789717389726</v>
      </c>
      <c r="E43" s="332">
        <f t="shared" si="13"/>
        <v>0.13760521425989411</v>
      </c>
      <c r="F43" s="332">
        <f t="shared" si="13"/>
        <v>6.2854812849799532E-2</v>
      </c>
      <c r="G43" s="332">
        <f t="shared" si="13"/>
        <v>6.427735613269811E-2</v>
      </c>
      <c r="H43" s="332">
        <f t="shared" si="13"/>
        <v>8.4155865653412376E-2</v>
      </c>
      <c r="I43" s="332">
        <f t="shared" si="13"/>
        <v>0.12461565334352169</v>
      </c>
      <c r="J43" s="332">
        <f t="shared" si="13"/>
        <v>0.12552356473902576</v>
      </c>
      <c r="K43" s="332">
        <f t="shared" si="13"/>
        <v>0.12682258483441561</v>
      </c>
      <c r="L43" s="332">
        <f t="shared" si="13"/>
        <v>0.25933224061189025</v>
      </c>
    </row>
    <row r="45" spans="2:12">
      <c r="B45" s="415" t="s">
        <v>8805</v>
      </c>
      <c r="C45" s="415"/>
      <c r="D45" s="415"/>
      <c r="E45" s="415"/>
      <c r="F45" s="415"/>
      <c r="G45" s="415"/>
      <c r="H45" s="415"/>
      <c r="I45" s="415"/>
      <c r="J45" s="415"/>
      <c r="K45" s="415"/>
      <c r="L45" s="415"/>
    </row>
    <row r="46" spans="2:12">
      <c r="C46" s="234">
        <f>C24</f>
        <v>42825</v>
      </c>
      <c r="D46" s="234">
        <f t="shared" ref="D46:L46" si="14">D24</f>
        <v>43190</v>
      </c>
      <c r="E46" s="234">
        <f t="shared" si="14"/>
        <v>43555</v>
      </c>
      <c r="F46" s="234">
        <f t="shared" si="14"/>
        <v>43921</v>
      </c>
      <c r="G46" s="234">
        <f t="shared" si="14"/>
        <v>44286</v>
      </c>
      <c r="H46" s="234">
        <f t="shared" si="14"/>
        <v>44651</v>
      </c>
      <c r="I46" s="234">
        <f t="shared" si="14"/>
        <v>45016</v>
      </c>
      <c r="J46" s="234">
        <f t="shared" si="14"/>
        <v>45382</v>
      </c>
      <c r="K46" s="234">
        <f t="shared" si="14"/>
        <v>45747</v>
      </c>
      <c r="L46" s="234">
        <f t="shared" si="14"/>
        <v>46112</v>
      </c>
    </row>
    <row r="47" spans="2:12">
      <c r="B47" s="25" t="s">
        <v>261</v>
      </c>
      <c r="C47" s="128">
        <f>C31</f>
        <v>1099.6299999999983</v>
      </c>
      <c r="D47" s="128">
        <f t="shared" ref="D47:K47" si="15">D31</f>
        <v>2610.8500000000013</v>
      </c>
      <c r="E47" s="128">
        <f t="shared" si="15"/>
        <v>2605.6600000000035</v>
      </c>
      <c r="F47" s="128">
        <f t="shared" si="15"/>
        <v>1316.4400000000003</v>
      </c>
      <c r="G47" s="128">
        <f t="shared" si="15"/>
        <v>1438.6499999999974</v>
      </c>
      <c r="H47" s="128">
        <f t="shared" si="15"/>
        <v>2155.6100000000033</v>
      </c>
      <c r="I47" s="128">
        <f t="shared" si="15"/>
        <v>3809.6700000000055</v>
      </c>
      <c r="J47" s="128">
        <f t="shared" si="15"/>
        <v>4280.1000000000049</v>
      </c>
      <c r="K47" s="128">
        <f t="shared" si="15"/>
        <v>4775.3699999999963</v>
      </c>
      <c r="L47" s="128">
        <f t="shared" ref="L47" si="16">L31</f>
        <v>5117.5600000000004</v>
      </c>
    </row>
    <row r="48" spans="2:12">
      <c r="B48" s="25" t="s">
        <v>8966</v>
      </c>
      <c r="C48" s="123">
        <f>C36</f>
        <v>82360</v>
      </c>
      <c r="D48" s="123">
        <f t="shared" ref="D48:K48" si="17">D36</f>
        <v>82982</v>
      </c>
      <c r="E48" s="123">
        <f t="shared" si="17"/>
        <v>86873.5</v>
      </c>
      <c r="F48" s="123">
        <f t="shared" si="17"/>
        <v>94164.5</v>
      </c>
      <c r="G48" s="123">
        <f t="shared" si="17"/>
        <v>105603</v>
      </c>
      <c r="H48" s="123">
        <f t="shared" si="17"/>
        <v>120324</v>
      </c>
      <c r="I48" s="123">
        <f t="shared" si="17"/>
        <v>133576</v>
      </c>
      <c r="J48" s="123">
        <f t="shared" si="17"/>
        <v>147624</v>
      </c>
      <c r="K48" s="123">
        <f t="shared" si="17"/>
        <v>165378.5</v>
      </c>
      <c r="L48" s="123">
        <f t="shared" ref="L48" si="18">L36</f>
        <v>87282</v>
      </c>
    </row>
    <row r="49" spans="2:12">
      <c r="B49" s="124" t="s">
        <v>267</v>
      </c>
      <c r="C49" s="125">
        <f t="shared" ref="C49:K49" si="19">C47/C48</f>
        <v>1.335150558523553E-2</v>
      </c>
      <c r="D49" s="125">
        <f t="shared" si="19"/>
        <v>3.1462847364488698E-2</v>
      </c>
      <c r="E49" s="125">
        <f t="shared" si="19"/>
        <v>2.9993726510385833E-2</v>
      </c>
      <c r="F49" s="125">
        <f t="shared" si="19"/>
        <v>1.3980215473984359E-2</v>
      </c>
      <c r="G49" s="125">
        <f t="shared" si="19"/>
        <v>1.3623192522939665E-2</v>
      </c>
      <c r="H49" s="125">
        <f t="shared" si="19"/>
        <v>1.7915046042352344E-2</v>
      </c>
      <c r="I49" s="125">
        <f t="shared" si="19"/>
        <v>2.8520617476193371E-2</v>
      </c>
      <c r="J49" s="125">
        <f t="shared" si="19"/>
        <v>2.899325312957246E-2</v>
      </c>
      <c r="K49" s="125">
        <f t="shared" si="19"/>
        <v>2.8875397950761411E-2</v>
      </c>
      <c r="L49" s="125">
        <f t="shared" ref="L49" si="20">L47/L48</f>
        <v>5.8632478632478634E-2</v>
      </c>
    </row>
    <row r="50" spans="2:12">
      <c r="B50" s="25"/>
      <c r="C50" s="126"/>
      <c r="D50" s="126"/>
      <c r="E50" s="126"/>
      <c r="F50" s="126"/>
      <c r="G50" s="126"/>
      <c r="H50" s="126"/>
      <c r="I50" s="126"/>
      <c r="J50" s="126"/>
      <c r="K50" s="126"/>
    </row>
    <row r="51" spans="2:12">
      <c r="B51" s="415" t="s">
        <v>8804</v>
      </c>
      <c r="C51" s="415"/>
      <c r="D51" s="415"/>
      <c r="E51" s="415"/>
      <c r="F51" s="415"/>
      <c r="G51" s="415"/>
      <c r="H51" s="415"/>
      <c r="I51" s="415"/>
      <c r="J51" s="415"/>
      <c r="K51" s="415"/>
      <c r="L51" s="415"/>
    </row>
    <row r="52" spans="2:12">
      <c r="B52" s="25"/>
      <c r="C52" s="126"/>
      <c r="D52" s="126"/>
      <c r="E52" s="126"/>
      <c r="F52" s="126"/>
      <c r="G52" s="126"/>
      <c r="H52" s="126"/>
      <c r="I52" s="126"/>
      <c r="J52" s="126"/>
      <c r="K52" s="126"/>
    </row>
    <row r="53" spans="2:12">
      <c r="B53" s="25" t="s">
        <v>261</v>
      </c>
      <c r="C53" s="129">
        <f>C31</f>
        <v>1099.6299999999983</v>
      </c>
      <c r="D53" s="129">
        <f t="shared" ref="D53:K55" si="21">D31</f>
        <v>2610.8500000000013</v>
      </c>
      <c r="E53" s="129">
        <f t="shared" si="21"/>
        <v>2605.6600000000035</v>
      </c>
      <c r="F53" s="129">
        <f t="shared" si="21"/>
        <v>1316.4400000000003</v>
      </c>
      <c r="G53" s="129">
        <f t="shared" si="21"/>
        <v>1438.6499999999974</v>
      </c>
      <c r="H53" s="129">
        <f t="shared" si="21"/>
        <v>2155.6100000000033</v>
      </c>
      <c r="I53" s="129">
        <f t="shared" si="21"/>
        <v>3809.6700000000055</v>
      </c>
      <c r="J53" s="129">
        <f t="shared" si="21"/>
        <v>4280.1000000000049</v>
      </c>
      <c r="K53" s="129">
        <f t="shared" si="21"/>
        <v>4775.3699999999963</v>
      </c>
      <c r="L53" s="129">
        <f t="shared" ref="L53" si="22">L31</f>
        <v>5117.5600000000004</v>
      </c>
    </row>
    <row r="54" spans="2:12">
      <c r="B54" s="25" t="s">
        <v>263</v>
      </c>
      <c r="C54" s="129">
        <f>C32</f>
        <v>27587.59</v>
      </c>
      <c r="D54" s="129">
        <f t="shared" si="21"/>
        <v>26840.27</v>
      </c>
      <c r="E54" s="129">
        <f t="shared" si="21"/>
        <v>29881.06</v>
      </c>
      <c r="F54" s="129">
        <f t="shared" si="21"/>
        <v>29136.37</v>
      </c>
      <c r="G54" s="129">
        <f t="shared" si="21"/>
        <v>32703.31</v>
      </c>
      <c r="H54" s="129">
        <f t="shared" si="21"/>
        <v>42815.67</v>
      </c>
      <c r="I54" s="129">
        <f t="shared" si="21"/>
        <v>55109.08</v>
      </c>
      <c r="J54" s="129">
        <f t="shared" si="21"/>
        <v>61448.9</v>
      </c>
      <c r="K54" s="129">
        <f t="shared" si="21"/>
        <v>65478.239999999998</v>
      </c>
      <c r="L54" s="129">
        <f t="shared" ref="L54" si="23">L32</f>
        <v>62428.59</v>
      </c>
    </row>
    <row r="55" spans="2:12">
      <c r="B55" s="150" t="s">
        <v>262</v>
      </c>
      <c r="C55" s="236">
        <f>C33</f>
        <v>3.9859589039854454E-2</v>
      </c>
      <c r="D55" s="236">
        <f t="shared" si="21"/>
        <v>9.727361162909319E-2</v>
      </c>
      <c r="E55" s="236">
        <f t="shared" si="21"/>
        <v>8.720105645515934E-2</v>
      </c>
      <c r="F55" s="236">
        <f t="shared" si="21"/>
        <v>4.5182018212975752E-2</v>
      </c>
      <c r="G55" s="236">
        <f t="shared" si="21"/>
        <v>4.3990959936471181E-2</v>
      </c>
      <c r="H55" s="236">
        <f t="shared" si="21"/>
        <v>5.0346286768372502E-2</v>
      </c>
      <c r="I55" s="236">
        <f t="shared" si="21"/>
        <v>6.9129624374059687E-2</v>
      </c>
      <c r="J55" s="236">
        <f t="shared" si="21"/>
        <v>6.9652996229387421E-2</v>
      </c>
      <c r="K55" s="236">
        <f t="shared" si="21"/>
        <v>7.2930640774706165E-2</v>
      </c>
      <c r="L55" s="236">
        <f t="shared" ref="L55" si="24">L33</f>
        <v>8.1974620922881658E-2</v>
      </c>
    </row>
    <row r="56" spans="2:12">
      <c r="B56" s="25"/>
      <c r="C56" s="126"/>
      <c r="D56" s="126"/>
      <c r="E56" s="126"/>
      <c r="F56" s="126"/>
      <c r="G56" s="126"/>
      <c r="H56" s="126"/>
      <c r="I56" s="126"/>
      <c r="J56" s="126"/>
      <c r="K56" s="126"/>
      <c r="L56" s="126"/>
    </row>
    <row r="57" spans="2:12">
      <c r="B57" s="25" t="s">
        <v>263</v>
      </c>
      <c r="C57" s="123">
        <f t="shared" ref="C57:K57" si="25">C35</f>
        <v>27587.59</v>
      </c>
      <c r="D57" s="123">
        <f t="shared" si="25"/>
        <v>26840.27</v>
      </c>
      <c r="E57" s="123">
        <f t="shared" si="25"/>
        <v>29881.06</v>
      </c>
      <c r="F57" s="123">
        <f t="shared" si="25"/>
        <v>29136.37</v>
      </c>
      <c r="G57" s="123">
        <f t="shared" si="25"/>
        <v>32703.31</v>
      </c>
      <c r="H57" s="123">
        <f t="shared" si="25"/>
        <v>42815.67</v>
      </c>
      <c r="I57" s="123">
        <f t="shared" si="25"/>
        <v>55109.08</v>
      </c>
      <c r="J57" s="123">
        <f t="shared" si="25"/>
        <v>61448.9</v>
      </c>
      <c r="K57" s="123">
        <f t="shared" si="25"/>
        <v>65478.239999999998</v>
      </c>
      <c r="L57" s="123">
        <f t="shared" ref="L57" si="26">L35</f>
        <v>62428.59</v>
      </c>
    </row>
    <row r="58" spans="2:12">
      <c r="B58" s="25" t="s">
        <v>8966</v>
      </c>
      <c r="C58" s="123">
        <f t="shared" ref="C58:K58" si="27">C36</f>
        <v>82360</v>
      </c>
      <c r="D58" s="123">
        <f t="shared" si="27"/>
        <v>82982</v>
      </c>
      <c r="E58" s="123">
        <f t="shared" si="27"/>
        <v>86873.5</v>
      </c>
      <c r="F58" s="123">
        <f t="shared" si="27"/>
        <v>94164.5</v>
      </c>
      <c r="G58" s="123">
        <f t="shared" si="27"/>
        <v>105603</v>
      </c>
      <c r="H58" s="123">
        <f t="shared" si="27"/>
        <v>120324</v>
      </c>
      <c r="I58" s="123">
        <f t="shared" si="27"/>
        <v>133576</v>
      </c>
      <c r="J58" s="123">
        <f t="shared" si="27"/>
        <v>147624</v>
      </c>
      <c r="K58" s="123">
        <f t="shared" si="27"/>
        <v>165378.5</v>
      </c>
      <c r="L58" s="123">
        <f t="shared" ref="L58" si="28">L36</f>
        <v>87282</v>
      </c>
    </row>
    <row r="59" spans="2:12">
      <c r="B59" s="150" t="s">
        <v>8968</v>
      </c>
      <c r="C59" s="235">
        <f t="shared" ref="C59:J59" si="29">C57/C58</f>
        <v>0.33496345313258863</v>
      </c>
      <c r="D59" s="235">
        <f t="shared" si="29"/>
        <v>0.32344689209708127</v>
      </c>
      <c r="E59" s="235">
        <f t="shared" si="29"/>
        <v>0.34396058636983662</v>
      </c>
      <c r="F59" s="235">
        <f t="shared" si="29"/>
        <v>0.30941989815694876</v>
      </c>
      <c r="G59" s="235">
        <f t="shared" si="29"/>
        <v>0.30968163783225855</v>
      </c>
      <c r="H59" s="235">
        <f t="shared" si="29"/>
        <v>0.35583649147302282</v>
      </c>
      <c r="I59" s="235">
        <f t="shared" si="29"/>
        <v>0.41256722764568488</v>
      </c>
      <c r="J59" s="235">
        <f t="shared" si="29"/>
        <v>0.41625277732618005</v>
      </c>
      <c r="K59" s="235">
        <f>K57/K58</f>
        <v>0.39592957972166876</v>
      </c>
      <c r="L59" s="235">
        <f>L57/L58</f>
        <v>0.71525159826768403</v>
      </c>
    </row>
    <row r="60" spans="2:12">
      <c r="C60" s="2"/>
      <c r="D60" s="2"/>
      <c r="E60" s="2"/>
      <c r="F60" s="2"/>
      <c r="G60" s="2"/>
      <c r="H60" s="2"/>
      <c r="I60" s="2"/>
      <c r="J60" s="2"/>
      <c r="K60" s="2"/>
    </row>
    <row r="61" spans="2:12" ht="15.75">
      <c r="B61" s="331" t="s">
        <v>8938</v>
      </c>
      <c r="C61" s="332">
        <f>C59*C55</f>
        <v>1.3351505585235532E-2</v>
      </c>
      <c r="D61" s="332">
        <f t="shared" ref="D61:L61" si="30">D59*D55</f>
        <v>3.1462847364488698E-2</v>
      </c>
      <c r="E61" s="332">
        <f t="shared" si="30"/>
        <v>2.9993726510385833E-2</v>
      </c>
      <c r="F61" s="332">
        <f t="shared" si="30"/>
        <v>1.3980215473984361E-2</v>
      </c>
      <c r="G61" s="332">
        <f t="shared" si="30"/>
        <v>1.3623192522939665E-2</v>
      </c>
      <c r="H61" s="332">
        <f t="shared" si="30"/>
        <v>1.7915046042352344E-2</v>
      </c>
      <c r="I61" s="332">
        <f t="shared" si="30"/>
        <v>2.8520617476193368E-2</v>
      </c>
      <c r="J61" s="332">
        <f t="shared" si="30"/>
        <v>2.899325312957246E-2</v>
      </c>
      <c r="K61" s="332">
        <f t="shared" si="30"/>
        <v>2.8875397950761411E-2</v>
      </c>
      <c r="L61" s="332">
        <f t="shared" si="30"/>
        <v>5.8632478632478641E-2</v>
      </c>
    </row>
    <row r="62" spans="2:12" ht="5.25" customHeight="1"/>
    <row r="63" spans="2:12" ht="3" customHeight="1"/>
    <row r="70" spans="2:12" ht="8.25" customHeight="1"/>
    <row r="71" spans="2:12" ht="30" customHeight="1">
      <c r="B71" s="439" t="s">
        <v>8931</v>
      </c>
      <c r="C71" s="439"/>
      <c r="D71" s="439"/>
      <c r="E71" s="439"/>
      <c r="F71" s="439"/>
      <c r="G71" s="439"/>
      <c r="H71" s="439"/>
      <c r="I71" s="439"/>
      <c r="J71" s="439"/>
      <c r="K71" s="439"/>
      <c r="L71" s="439"/>
    </row>
  </sheetData>
  <mergeCells count="6">
    <mergeCell ref="B8:L8"/>
    <mergeCell ref="B71:L71"/>
    <mergeCell ref="B51:L51"/>
    <mergeCell ref="B29:L29"/>
    <mergeCell ref="B45:L45"/>
    <mergeCell ref="B23:L23"/>
  </mergeCells>
  <pageMargins left="0.43307086614173229" right="0.23622047244094491" top="0.55118110236220474" bottom="0.55118110236220474" header="0.31496062992125984" footer="0.31496062992125984"/>
  <pageSetup paperSize="9" scale="54" orientation="portrait" r:id="rId1"/>
  <headerFooter>
    <oddHeader>&amp;C&amp;"-,Bold"&amp;14Du-Point Analysis</oddHeader>
  </headerFooter>
  <ignoredErrors>
    <ignoredError sqref="C26:L26" formulaRange="1"/>
  </ignoredError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FB8D-5B48-475E-8129-6C2CE4B89A4C}">
  <sheetPr>
    <tabColor rgb="FF002060"/>
    <pageSetUpPr fitToPage="1"/>
  </sheetPr>
  <dimension ref="B2:O63"/>
  <sheetViews>
    <sheetView showGridLines="0" topLeftCell="A31" zoomScale="85" zoomScaleNormal="85" workbookViewId="0">
      <selection activeCell="I66" sqref="I66"/>
    </sheetView>
  </sheetViews>
  <sheetFormatPr defaultRowHeight="15"/>
  <cols>
    <col min="1" max="1" width="3.7109375" customWidth="1"/>
    <col min="2" max="2" width="42" customWidth="1"/>
    <col min="3" max="5" width="15" bestFit="1" customWidth="1"/>
    <col min="6" max="6" width="13.5703125" bestFit="1" customWidth="1"/>
    <col min="7" max="8" width="15" bestFit="1" customWidth="1"/>
    <col min="9" max="9" width="15.42578125" bestFit="1" customWidth="1"/>
    <col min="10" max="12" width="15.85546875" bestFit="1" customWidth="1"/>
    <col min="14" max="14" width="6.7109375" customWidth="1"/>
  </cols>
  <sheetData>
    <row r="2" spans="2:15" ht="44.25" customHeight="1">
      <c r="B2" s="280" t="str">
        <f>'Data Sheet'!B1</f>
        <v>TATA POWER COMPANY LTD</v>
      </c>
      <c r="C2" s="238"/>
      <c r="D2" s="238"/>
      <c r="E2" s="238"/>
      <c r="F2" s="238"/>
      <c r="G2" s="238"/>
      <c r="H2" s="238"/>
      <c r="I2" s="238"/>
      <c r="J2" s="238"/>
      <c r="K2" s="238"/>
    </row>
    <row r="3" spans="2:15">
      <c r="B3" s="304" t="str">
        <f>CONCATENATE("(",VLOOKUP(B2,'Peer Company Database'!B2:E5443,3,FALSE),"|","BSE CODE - ", VLOOKUP(B2,'Peer Company Database'!B2:E5443,2,FALSE),")")</f>
        <v>(TATAPOWER|BSE CODE - 500400)</v>
      </c>
    </row>
    <row r="4" spans="2:15" ht="23.25">
      <c r="B4" s="270" t="str">
        <f>_xlfn.CONCAT("INR "&amp;ROUND('Beta Regression Historical Data'!L4,2))</f>
        <v>INR 402.35</v>
      </c>
    </row>
    <row r="5" spans="2:15">
      <c r="B5" s="329" t="s">
        <v>8807</v>
      </c>
    </row>
    <row r="6" spans="2:15" ht="7.5" customHeight="1" thickBot="1">
      <c r="B6" s="122"/>
      <c r="C6" s="122"/>
      <c r="D6" s="122"/>
      <c r="E6" s="122"/>
      <c r="F6" s="122"/>
      <c r="G6" s="122"/>
      <c r="H6" s="122"/>
      <c r="I6" s="122"/>
      <c r="J6" s="122"/>
      <c r="K6" s="122"/>
      <c r="L6" s="122"/>
    </row>
    <row r="7" spans="2:15" ht="32.25" thickTop="1">
      <c r="B7" s="440" t="s">
        <v>8837</v>
      </c>
      <c r="C7" s="440"/>
      <c r="D7" s="440"/>
      <c r="E7" s="440"/>
      <c r="F7" s="440"/>
      <c r="G7" s="440"/>
      <c r="H7" s="440"/>
      <c r="I7" s="440"/>
      <c r="J7" s="440"/>
      <c r="K7" s="440"/>
      <c r="L7" s="440"/>
    </row>
    <row r="8" spans="2:15" ht="17.25" customHeight="1">
      <c r="B8" s="242" t="s">
        <v>8809</v>
      </c>
      <c r="C8" s="240"/>
      <c r="D8" s="240"/>
      <c r="E8" s="240"/>
      <c r="F8" s="240"/>
      <c r="G8" s="240"/>
      <c r="H8" s="240"/>
      <c r="I8" s="240"/>
      <c r="J8" s="240"/>
      <c r="K8" s="240"/>
      <c r="O8" s="239"/>
    </row>
    <row r="9" spans="2:15" ht="7.5" customHeight="1">
      <c r="B9" s="242"/>
      <c r="O9" s="239"/>
    </row>
    <row r="10" spans="2:15">
      <c r="O10" s="239"/>
    </row>
    <row r="11" spans="2:15">
      <c r="O11" s="239"/>
    </row>
    <row r="12" spans="2:15" ht="160.5" customHeight="1">
      <c r="K12" s="2"/>
      <c r="O12" s="239"/>
    </row>
    <row r="13" spans="2:15">
      <c r="B13" s="241"/>
      <c r="O13" s="239"/>
    </row>
    <row r="14" spans="2:15">
      <c r="O14" s="239"/>
    </row>
    <row r="20" spans="2:14" ht="34.5" customHeight="1"/>
    <row r="21" spans="2:14" ht="276.75" customHeight="1"/>
    <row r="22" spans="2:14" ht="38.25" customHeight="1">
      <c r="B22" s="281" t="s">
        <v>8836</v>
      </c>
    </row>
    <row r="23" spans="2:14">
      <c r="B23" s="415" t="s">
        <v>8838</v>
      </c>
      <c r="C23" s="415"/>
      <c r="D23" s="415"/>
      <c r="E23" s="415"/>
      <c r="F23" s="415"/>
      <c r="G23" s="415"/>
      <c r="H23" s="415"/>
      <c r="I23" s="415"/>
      <c r="J23" s="415"/>
      <c r="K23" s="415"/>
      <c r="L23" s="415"/>
    </row>
    <row r="24" spans="2:14">
      <c r="B24" s="327">
        <v>1.2</v>
      </c>
      <c r="C24" s="234">
        <f>'DCF Assumptions'!D4</f>
        <v>42825</v>
      </c>
      <c r="D24" s="234">
        <f>'DCF Assumptions'!E4</f>
        <v>43190</v>
      </c>
      <c r="E24" s="234">
        <f>'DCF Assumptions'!F4</f>
        <v>43555</v>
      </c>
      <c r="F24" s="234">
        <f>'DCF Assumptions'!G4</f>
        <v>43921</v>
      </c>
      <c r="G24" s="234">
        <f>'DCF Assumptions'!H4</f>
        <v>44286</v>
      </c>
      <c r="H24" s="234">
        <f>'DCF Assumptions'!I4</f>
        <v>44651</v>
      </c>
      <c r="I24" s="234">
        <f>'DCF Assumptions'!J4</f>
        <v>45016</v>
      </c>
      <c r="J24" s="234">
        <f>'DCF Assumptions'!K4</f>
        <v>45382</v>
      </c>
      <c r="K24" s="234">
        <f>'DCF Assumptions'!L4</f>
        <v>45747</v>
      </c>
      <c r="L24" s="234">
        <f>'DCF Assumptions'!M4</f>
        <v>46112</v>
      </c>
    </row>
    <row r="25" spans="2:14">
      <c r="B25" s="25" t="s">
        <v>8839</v>
      </c>
      <c r="C25" s="123">
        <f>'DCF Assumptions'!D19+'Historical Financial Statements'!C78</f>
        <v>3252</v>
      </c>
      <c r="D25" s="123">
        <f>'DCF Assumptions'!E19+'Historical Financial Statements'!D78</f>
        <v>8267</v>
      </c>
      <c r="E25" s="123">
        <f>'DCF Assumptions'!F19+'Historical Financial Statements'!E78</f>
        <v>8555</v>
      </c>
      <c r="F25" s="123">
        <f>'DCF Assumptions'!G19+'Historical Financial Statements'!F78</f>
        <v>10022</v>
      </c>
      <c r="G25" s="123">
        <f>'DCF Assumptions'!H19+'Historical Financial Statements'!G78</f>
        <v>3360</v>
      </c>
      <c r="H25" s="123">
        <f>'DCF Assumptions'!I19+'Historical Financial Statements'!H78</f>
        <v>1040</v>
      </c>
      <c r="I25" s="123">
        <f>'DCF Assumptions'!J19+'Historical Financial Statements'!I78</f>
        <v>3335</v>
      </c>
      <c r="J25" s="123">
        <f>'DCF Assumptions'!K19+'Historical Financial Statements'!J78</f>
        <v>-3063</v>
      </c>
      <c r="K25" s="123">
        <f>'DCF Assumptions'!L19+'Historical Financial Statements'!K78</f>
        <v>-1897</v>
      </c>
      <c r="L25" s="123">
        <f>'DCF Assumptions'!M19+'Historical Financial Statements'!L78</f>
        <v>5218</v>
      </c>
      <c r="M25" s="123"/>
    </row>
    <row r="26" spans="2:14">
      <c r="B26" s="25" t="s">
        <v>125</v>
      </c>
      <c r="C26" s="123">
        <f>'Historical Financial Statements'!C98</f>
        <v>82829</v>
      </c>
      <c r="D26" s="123">
        <f>'Historical Financial Statements'!D98</f>
        <v>81891</v>
      </c>
      <c r="E26" s="123">
        <f>'Historical Financial Statements'!E98</f>
        <v>84073</v>
      </c>
      <c r="F26" s="123">
        <f>'Historical Financial Statements'!F98</f>
        <v>89674</v>
      </c>
      <c r="G26" s="123">
        <f>'Historical Financial Statements'!G98</f>
        <v>98655</v>
      </c>
      <c r="H26" s="123">
        <f>'Historical Financial Statements'!H98</f>
        <v>112551</v>
      </c>
      <c r="I26" s="123">
        <f>'Historical Financial Statements'!I98</f>
        <v>128097</v>
      </c>
      <c r="J26" s="123">
        <f>'Historical Financial Statements'!J98</f>
        <v>139055</v>
      </c>
      <c r="K26" s="123">
        <f>'Historical Financial Statements'!K98</f>
        <v>156193</v>
      </c>
      <c r="L26" s="123">
        <f>'Historical Financial Statements'!L98</f>
        <v>174564</v>
      </c>
      <c r="M26" s="123"/>
    </row>
    <row r="27" spans="2:14">
      <c r="B27" s="150" t="str">
        <f>B23 &amp; " (A)"</f>
        <v>Working Capital/ Total Assets (A)</v>
      </c>
      <c r="C27" s="237">
        <f>C25/C26</f>
        <v>3.9261611271414601E-2</v>
      </c>
      <c r="D27" s="237">
        <f t="shared" ref="D27:L27" si="0">D25/D26</f>
        <v>0.10095126448571883</v>
      </c>
      <c r="E27" s="237">
        <f t="shared" si="0"/>
        <v>0.10175680658475372</v>
      </c>
      <c r="F27" s="237">
        <f t="shared" si="0"/>
        <v>0.11176037647478645</v>
      </c>
      <c r="G27" s="237">
        <f>G25/G26</f>
        <v>3.4058081192032845E-2</v>
      </c>
      <c r="H27" s="237">
        <f t="shared" si="0"/>
        <v>9.2402555286048103E-3</v>
      </c>
      <c r="I27" s="237">
        <f t="shared" si="0"/>
        <v>2.6034957883478926E-2</v>
      </c>
      <c r="J27" s="237">
        <f t="shared" si="0"/>
        <v>-2.2027255402538564E-2</v>
      </c>
      <c r="K27" s="237">
        <f t="shared" si="0"/>
        <v>-1.2145230580115626E-2</v>
      </c>
      <c r="L27" s="237">
        <f t="shared" si="0"/>
        <v>2.98916156825004E-2</v>
      </c>
    </row>
    <row r="29" spans="2:14">
      <c r="B29" s="415" t="s">
        <v>8840</v>
      </c>
      <c r="C29" s="415"/>
      <c r="D29" s="415"/>
      <c r="E29" s="415"/>
      <c r="F29" s="415"/>
      <c r="G29" s="415"/>
      <c r="H29" s="415"/>
      <c r="I29" s="415"/>
      <c r="J29" s="415"/>
      <c r="K29" s="415"/>
      <c r="L29" s="415"/>
      <c r="N29" s="82"/>
    </row>
    <row r="30" spans="2:14">
      <c r="B30" s="327">
        <v>1.4</v>
      </c>
      <c r="N30" s="82"/>
    </row>
    <row r="31" spans="2:14">
      <c r="B31" s="25" t="s">
        <v>8841</v>
      </c>
      <c r="C31" s="123">
        <f>'Historical Financial Statements'!C39*'Historical Financial Statements'!C54</f>
        <v>747.97999999999831</v>
      </c>
      <c r="D31" s="123">
        <f>'Historical Financial Statements'!D39*'Historical Financial Statements'!D54</f>
        <v>2259.2000000000012</v>
      </c>
      <c r="E31" s="123">
        <f>'Historical Financial Statements'!E39*'Historical Financial Statements'!E54</f>
        <v>2254.0100000000034</v>
      </c>
      <c r="F31" s="123">
        <f>'Historical Financial Statements'!F39*'Historical Financial Statements'!F54</f>
        <v>897.16000000000031</v>
      </c>
      <c r="G31" s="123">
        <f>'Historical Financial Statements'!G39*'Historical Financial Statements'!G54</f>
        <v>943.32999999999743</v>
      </c>
      <c r="H31" s="123">
        <f>'Historical Financial Statements'!H39*'Historical Financial Statements'!H54</f>
        <v>1596.3800000000033</v>
      </c>
      <c r="I31" s="123">
        <f>'Historical Financial Statements'!I39*'Historical Financial Statements'!I54</f>
        <v>3170.5500000000056</v>
      </c>
      <c r="J31" s="123">
        <f>'Historical Financial Statements'!J39*'Historical Financial Statements'!J54</f>
        <v>3640.9800000000046</v>
      </c>
      <c r="K31" s="123">
        <f>'Historical Financial Statements'!K39*'Historical Financial Statements'!K54</f>
        <v>4056.359999999996</v>
      </c>
      <c r="L31" s="123">
        <f>'Historical Financial Statements'!L39*'Historical Financial Statements'!L54</f>
        <v>4318.6600000000008</v>
      </c>
    </row>
    <row r="32" spans="2:14">
      <c r="B32" s="25" t="s">
        <v>125</v>
      </c>
      <c r="C32" s="123">
        <f>C26</f>
        <v>82829</v>
      </c>
      <c r="D32" s="123">
        <f t="shared" ref="D32:L32" si="1">D26</f>
        <v>81891</v>
      </c>
      <c r="E32" s="123">
        <f t="shared" si="1"/>
        <v>84073</v>
      </c>
      <c r="F32" s="123">
        <f t="shared" si="1"/>
        <v>89674</v>
      </c>
      <c r="G32" s="123">
        <f t="shared" si="1"/>
        <v>98655</v>
      </c>
      <c r="H32" s="123">
        <f t="shared" si="1"/>
        <v>112551</v>
      </c>
      <c r="I32" s="123">
        <f t="shared" si="1"/>
        <v>128097</v>
      </c>
      <c r="J32" s="123">
        <f t="shared" si="1"/>
        <v>139055</v>
      </c>
      <c r="K32" s="123">
        <f t="shared" si="1"/>
        <v>156193</v>
      </c>
      <c r="L32" s="123">
        <f t="shared" si="1"/>
        <v>174564</v>
      </c>
    </row>
    <row r="33" spans="2:14">
      <c r="B33" s="150" t="str">
        <f>B29&amp; " (B)"</f>
        <v>Retained Earning / Total Assets (B)</v>
      </c>
      <c r="C33" s="237">
        <f>C31/C32</f>
        <v>9.0304120537492705E-3</v>
      </c>
      <c r="D33" s="237">
        <f t="shared" ref="D33:L33" si="2">D31/D32</f>
        <v>2.758789122125754E-2</v>
      </c>
      <c r="E33" s="237">
        <f t="shared" si="2"/>
        <v>2.6810153081250856E-2</v>
      </c>
      <c r="F33" s="237">
        <f t="shared" si="2"/>
        <v>1.0004683631821935E-2</v>
      </c>
      <c r="G33" s="237">
        <f t="shared" si="2"/>
        <v>9.561907658000076E-3</v>
      </c>
      <c r="H33" s="237">
        <f t="shared" si="2"/>
        <v>1.418361453918671E-2</v>
      </c>
      <c r="I33" s="237">
        <f t="shared" si="2"/>
        <v>2.4751165132672941E-2</v>
      </c>
      <c r="J33" s="237">
        <f t="shared" si="2"/>
        <v>2.6183740246665022E-2</v>
      </c>
      <c r="K33" s="237">
        <f t="shared" si="2"/>
        <v>2.5970177920905523E-2</v>
      </c>
      <c r="L33" s="237">
        <f t="shared" si="2"/>
        <v>2.4739694324144731E-2</v>
      </c>
    </row>
    <row r="35" spans="2:14">
      <c r="B35" s="415" t="s">
        <v>8842</v>
      </c>
      <c r="C35" s="415"/>
      <c r="D35" s="415"/>
      <c r="E35" s="415"/>
      <c r="F35" s="415"/>
      <c r="G35" s="415"/>
      <c r="H35" s="415"/>
      <c r="I35" s="415"/>
      <c r="J35" s="415"/>
      <c r="K35" s="415"/>
      <c r="L35" s="415"/>
      <c r="N35" s="82"/>
    </row>
    <row r="36" spans="2:14">
      <c r="B36" s="327">
        <v>3.3</v>
      </c>
      <c r="N36" s="82"/>
    </row>
    <row r="37" spans="2:14">
      <c r="B37" s="25" t="s">
        <v>108</v>
      </c>
      <c r="C37" s="123">
        <f>'Historical Financial Statements'!C24</f>
        <v>4137.0499999999984</v>
      </c>
      <c r="D37" s="123">
        <f>'Historical Financial Statements'!D24</f>
        <v>4118.0000000000009</v>
      </c>
      <c r="E37" s="123">
        <f>'Historical Financial Statements'!E24</f>
        <v>4524.5700000000033</v>
      </c>
      <c r="F37" s="123">
        <f>'Historical Financial Statements'!F24</f>
        <v>5462.18</v>
      </c>
      <c r="G37" s="123">
        <f>'Historical Financial Statements'!G24</f>
        <v>4448.7899999999972</v>
      </c>
      <c r="H37" s="123">
        <f>'Historical Financial Statements'!H24</f>
        <v>4723.5200000000032</v>
      </c>
      <c r="I37" s="123">
        <f>'Historical Financial Statements'!I24</f>
        <v>5092.770000000005</v>
      </c>
      <c r="J37" s="123">
        <f>'Historical Financial Statements'!J24</f>
        <v>7573.7800000000052</v>
      </c>
      <c r="K37" s="123">
        <f>'Historical Financial Statements'!K24</f>
        <v>10427.979999999996</v>
      </c>
      <c r="L37" s="123">
        <f>'Historical Financial Statements'!L24</f>
        <v>8881.2200000000012</v>
      </c>
    </row>
    <row r="38" spans="2:14">
      <c r="B38" s="25" t="s">
        <v>125</v>
      </c>
      <c r="C38" s="123">
        <f>C32</f>
        <v>82829</v>
      </c>
      <c r="D38" s="123">
        <f t="shared" ref="D38:L38" si="3">D32</f>
        <v>81891</v>
      </c>
      <c r="E38" s="123">
        <f t="shared" si="3"/>
        <v>84073</v>
      </c>
      <c r="F38" s="123">
        <f t="shared" si="3"/>
        <v>89674</v>
      </c>
      <c r="G38" s="123">
        <f t="shared" si="3"/>
        <v>98655</v>
      </c>
      <c r="H38" s="123">
        <f t="shared" si="3"/>
        <v>112551</v>
      </c>
      <c r="I38" s="123">
        <f t="shared" si="3"/>
        <v>128097</v>
      </c>
      <c r="J38" s="123">
        <f t="shared" si="3"/>
        <v>139055</v>
      </c>
      <c r="K38" s="123">
        <f t="shared" si="3"/>
        <v>156193</v>
      </c>
      <c r="L38" s="123">
        <f t="shared" si="3"/>
        <v>174564</v>
      </c>
    </row>
    <row r="39" spans="2:14">
      <c r="B39" s="150" t="str">
        <f>B35&amp; " (C)"</f>
        <v>EBIT / Total Assets (C)</v>
      </c>
      <c r="C39" s="237">
        <f t="shared" ref="C39:J39" si="4">C37/C38</f>
        <v>4.9946878508734846E-2</v>
      </c>
      <c r="D39" s="237">
        <f t="shared" si="4"/>
        <v>5.0286356254045025E-2</v>
      </c>
      <c r="E39" s="237">
        <f t="shared" si="4"/>
        <v>5.3817158897624721E-2</v>
      </c>
      <c r="F39" s="237">
        <f t="shared" si="4"/>
        <v>6.0911523964582825E-2</v>
      </c>
      <c r="G39" s="237">
        <f t="shared" si="4"/>
        <v>4.5094419948304668E-2</v>
      </c>
      <c r="H39" s="237">
        <f t="shared" si="4"/>
        <v>4.1967819033149445E-2</v>
      </c>
      <c r="I39" s="237">
        <f t="shared" si="4"/>
        <v>3.9757137169488789E-2</v>
      </c>
      <c r="J39" s="237">
        <f t="shared" si="4"/>
        <v>5.4466074574808565E-2</v>
      </c>
      <c r="K39" s="237">
        <f>K37/K38</f>
        <v>6.6763427298278388E-2</v>
      </c>
      <c r="L39" s="237">
        <f>L37/L38</f>
        <v>5.087658394628905E-2</v>
      </c>
    </row>
    <row r="41" spans="2:14">
      <c r="B41" s="415" t="s">
        <v>8978</v>
      </c>
      <c r="C41" s="415"/>
      <c r="D41" s="415"/>
      <c r="E41" s="415"/>
      <c r="F41" s="415"/>
      <c r="G41" s="415"/>
      <c r="H41" s="415"/>
      <c r="I41" s="415"/>
      <c r="J41" s="415"/>
      <c r="K41" s="415"/>
      <c r="L41" s="415"/>
      <c r="N41" s="82"/>
    </row>
    <row r="42" spans="2:14">
      <c r="B42" s="327">
        <v>0.6</v>
      </c>
      <c r="N42" s="82"/>
    </row>
    <row r="43" spans="2:14">
      <c r="B43" s="25" t="s">
        <v>8843</v>
      </c>
      <c r="C43" s="123">
        <f>('Data Sheet'!B70*'Data Sheet'!B90)/10000000</f>
        <v>24451.25514143</v>
      </c>
      <c r="D43" s="123">
        <f>('Data Sheet'!C70*'Data Sheet'!C90)/10000000</f>
        <v>21380.763899000001</v>
      </c>
      <c r="E43" s="123">
        <f>('Data Sheet'!D70*'Data Sheet'!D90)/10000000</f>
        <v>19973.422477799999</v>
      </c>
      <c r="F43" s="123">
        <f>('Data Sheet'!E70*'Data Sheet'!E90)/10000000</f>
        <v>8890.6087858499995</v>
      </c>
      <c r="G43" s="123">
        <f>('Data Sheet'!F70*'Data Sheet'!F90)/10000000</f>
        <v>33008.940820274998</v>
      </c>
      <c r="H43" s="123">
        <f>('Data Sheet'!G70*'Data Sheet'!G90)/10000000</f>
        <v>76296.210428655002</v>
      </c>
      <c r="I43" s="123">
        <f>('Data Sheet'!H70*'Data Sheet'!H90)/10000000</f>
        <v>60822.769889174997</v>
      </c>
      <c r="J43" s="123">
        <f>('Data Sheet'!I70*'Data Sheet'!I90)/10000000</f>
        <v>126025.41860873999</v>
      </c>
      <c r="K43" s="123">
        <f>('Data Sheet'!J70*'Data Sheet'!J90)/10000000</f>
        <v>120015.07393638001</v>
      </c>
      <c r="L43" s="123">
        <f>('Data Sheet'!K70*'Data Sheet'!K90)/10000000</f>
        <v>121086.066205125</v>
      </c>
    </row>
    <row r="44" spans="2:14">
      <c r="B44" s="25" t="s">
        <v>8969</v>
      </c>
      <c r="C44" s="123">
        <f>'Historical Financial Statements'!C61</f>
        <v>48815</v>
      </c>
      <c r="D44" s="123">
        <f>'Historical Financial Statements'!D61</f>
        <v>48589</v>
      </c>
      <c r="E44" s="123">
        <f>'Historical Financial Statements'!E61</f>
        <v>48506</v>
      </c>
      <c r="F44" s="123">
        <f>'Historical Financial Statements'!F61</f>
        <v>51936</v>
      </c>
      <c r="G44" s="123">
        <f>'Historical Financial Statements'!G61</f>
        <v>46708</v>
      </c>
      <c r="H44" s="123">
        <f>'Historical Financial Statements'!H61</f>
        <v>51195</v>
      </c>
      <c r="I44" s="123">
        <f>'Historical Financial Statements'!I61</f>
        <v>52923</v>
      </c>
      <c r="J44" s="123">
        <f>'Historical Financial Statements'!J61</f>
        <v>53689</v>
      </c>
      <c r="K44" s="123">
        <f>'Historical Financial Statements'!K61</f>
        <v>62866</v>
      </c>
      <c r="L44" s="123">
        <f>'Historical Financial Statements'!L61</f>
        <v>76141</v>
      </c>
    </row>
    <row r="45" spans="2:14">
      <c r="B45" s="150" t="str">
        <f>B41&amp; " (D)"</f>
        <v>Market Cap / Long Term Liabilities (D)</v>
      </c>
      <c r="C45" s="236">
        <f t="shared" ref="C45:J45" si="5">C43/C44</f>
        <v>0.5008963462343542</v>
      </c>
      <c r="D45" s="236">
        <f t="shared" si="5"/>
        <v>0.44003300950832497</v>
      </c>
      <c r="E45" s="236">
        <f t="shared" si="5"/>
        <v>0.41177220298107448</v>
      </c>
      <c r="F45" s="236">
        <f t="shared" si="5"/>
        <v>0.17118393380025415</v>
      </c>
      <c r="G45" s="236">
        <f t="shared" si="5"/>
        <v>0.7067085043306286</v>
      </c>
      <c r="H45" s="236">
        <f t="shared" si="5"/>
        <v>1.4903058976199826</v>
      </c>
      <c r="I45" s="236">
        <f t="shared" si="5"/>
        <v>1.1492691247505811</v>
      </c>
      <c r="J45" s="236">
        <f t="shared" si="5"/>
        <v>2.3473228893952203</v>
      </c>
      <c r="K45" s="236">
        <f>K43/K44</f>
        <v>1.9090617175640252</v>
      </c>
      <c r="L45" s="236">
        <f>L43/L44</f>
        <v>1.5902873117653431</v>
      </c>
    </row>
    <row r="47" spans="2:14">
      <c r="B47" s="415" t="s">
        <v>8844</v>
      </c>
      <c r="C47" s="415"/>
      <c r="D47" s="415"/>
      <c r="E47" s="415"/>
      <c r="F47" s="415"/>
      <c r="G47" s="415"/>
      <c r="H47" s="415"/>
      <c r="I47" s="415"/>
      <c r="J47" s="415"/>
      <c r="K47" s="415"/>
      <c r="L47" s="415"/>
    </row>
    <row r="48" spans="2:14">
      <c r="B48" s="327">
        <v>1</v>
      </c>
    </row>
    <row r="49" spans="2:12">
      <c r="B49" s="25" t="s">
        <v>6</v>
      </c>
      <c r="C49" s="128">
        <f>'Historical Financial Statements'!C6</f>
        <v>27587.59</v>
      </c>
      <c r="D49" s="128">
        <f>'Historical Financial Statements'!D6</f>
        <v>26840.27</v>
      </c>
      <c r="E49" s="128">
        <f>'Historical Financial Statements'!E6</f>
        <v>29881.06</v>
      </c>
      <c r="F49" s="128">
        <f>'Historical Financial Statements'!F6</f>
        <v>29136.37</v>
      </c>
      <c r="G49" s="128">
        <f>'Historical Financial Statements'!G6</f>
        <v>32703.31</v>
      </c>
      <c r="H49" s="128">
        <f>'Historical Financial Statements'!H6</f>
        <v>42815.67</v>
      </c>
      <c r="I49" s="128">
        <f>'Historical Financial Statements'!I6</f>
        <v>55109.08</v>
      </c>
      <c r="J49" s="128">
        <f>'Historical Financial Statements'!J6</f>
        <v>61448.9</v>
      </c>
      <c r="K49" s="128">
        <f>'Historical Financial Statements'!K6</f>
        <v>65478.239999999998</v>
      </c>
      <c r="L49" s="128">
        <f>'Historical Financial Statements'!L6</f>
        <v>62428.59</v>
      </c>
    </row>
    <row r="50" spans="2:12">
      <c r="B50" s="25" t="s">
        <v>125</v>
      </c>
      <c r="C50" s="123">
        <f>C26</f>
        <v>82829</v>
      </c>
      <c r="D50" s="123">
        <f t="shared" ref="D50:K50" si="6">D26</f>
        <v>81891</v>
      </c>
      <c r="E50" s="123">
        <f t="shared" si="6"/>
        <v>84073</v>
      </c>
      <c r="F50" s="123">
        <f t="shared" si="6"/>
        <v>89674</v>
      </c>
      <c r="G50" s="123">
        <f t="shared" si="6"/>
        <v>98655</v>
      </c>
      <c r="H50" s="123">
        <f t="shared" si="6"/>
        <v>112551</v>
      </c>
      <c r="I50" s="123">
        <f t="shared" si="6"/>
        <v>128097</v>
      </c>
      <c r="J50" s="123">
        <f t="shared" si="6"/>
        <v>139055</v>
      </c>
      <c r="K50" s="123">
        <f t="shared" si="6"/>
        <v>156193</v>
      </c>
      <c r="L50" s="123">
        <f>L26</f>
        <v>174564</v>
      </c>
    </row>
    <row r="51" spans="2:12">
      <c r="B51" s="150" t="str">
        <f>B47&amp; " (E)"</f>
        <v>Sales / Total Assets (E)</v>
      </c>
      <c r="C51" s="237">
        <f t="shared" ref="C51:L51" si="7">C49/C50</f>
        <v>0.33306680027526592</v>
      </c>
      <c r="D51" s="237">
        <f t="shared" si="7"/>
        <v>0.32775604156744942</v>
      </c>
      <c r="E51" s="237">
        <f t="shared" si="7"/>
        <v>0.35541802956954077</v>
      </c>
      <c r="F51" s="237">
        <f t="shared" si="7"/>
        <v>0.32491435644668465</v>
      </c>
      <c r="G51" s="237">
        <f t="shared" si="7"/>
        <v>0.33149166286554155</v>
      </c>
      <c r="H51" s="237">
        <f t="shared" si="7"/>
        <v>0.38041128021963377</v>
      </c>
      <c r="I51" s="237">
        <f t="shared" si="7"/>
        <v>0.4302136662060782</v>
      </c>
      <c r="J51" s="237">
        <f t="shared" si="7"/>
        <v>0.44190356333824748</v>
      </c>
      <c r="K51" s="237">
        <f t="shared" si="7"/>
        <v>0.41921366514504488</v>
      </c>
      <c r="L51" s="237">
        <f t="shared" si="7"/>
        <v>0.35762579913384202</v>
      </c>
    </row>
    <row r="52" spans="2:12">
      <c r="B52" s="25"/>
      <c r="C52" s="126"/>
      <c r="D52" s="126"/>
      <c r="E52" s="126"/>
      <c r="F52" s="126"/>
      <c r="G52" s="126"/>
      <c r="H52" s="126"/>
      <c r="I52" s="126"/>
      <c r="J52" s="126"/>
      <c r="K52" s="126"/>
    </row>
    <row r="53" spans="2:12">
      <c r="B53" s="415" t="s">
        <v>8845</v>
      </c>
      <c r="C53" s="415"/>
      <c r="D53" s="415"/>
      <c r="E53" s="415"/>
      <c r="F53" s="415"/>
      <c r="G53" s="415"/>
      <c r="H53" s="415"/>
      <c r="I53" s="415"/>
      <c r="J53" s="415"/>
      <c r="K53" s="415"/>
      <c r="L53" s="415"/>
    </row>
    <row r="54" spans="2:12">
      <c r="B54" s="25"/>
      <c r="C54" s="282">
        <f>C24</f>
        <v>42825</v>
      </c>
      <c r="D54" s="282">
        <f t="shared" ref="D54:L54" si="8">D24</f>
        <v>43190</v>
      </c>
      <c r="E54" s="282">
        <f t="shared" si="8"/>
        <v>43555</v>
      </c>
      <c r="F54" s="282">
        <f t="shared" si="8"/>
        <v>43921</v>
      </c>
      <c r="G54" s="282">
        <f t="shared" si="8"/>
        <v>44286</v>
      </c>
      <c r="H54" s="282">
        <f t="shared" si="8"/>
        <v>44651</v>
      </c>
      <c r="I54" s="282">
        <f t="shared" si="8"/>
        <v>45016</v>
      </c>
      <c r="J54" s="282">
        <f t="shared" si="8"/>
        <v>45382</v>
      </c>
      <c r="K54" s="282">
        <f t="shared" si="8"/>
        <v>45747</v>
      </c>
      <c r="L54" s="282">
        <f t="shared" si="8"/>
        <v>46112</v>
      </c>
    </row>
    <row r="55" spans="2:12" ht="15.75">
      <c r="B55" s="283" t="s">
        <v>8846</v>
      </c>
      <c r="C55" s="284">
        <f>(C27*$B$24)+(C33*$B$30)+(C39*$B$36)+(C45*$B$42)+(C51*$B$48)</f>
        <v>0.85818581749564993</v>
      </c>
      <c r="D55" s="284">
        <f t="shared" ref="D55:L55" si="9">(D27*$B$24)+(D33*$B$30)+(D39*$B$36)+(D45*$B$42)+(D51*$B$48)</f>
        <v>0.91748538800341606</v>
      </c>
      <c r="E55" s="284">
        <f t="shared" si="9"/>
        <v>0.93972035793580266</v>
      </c>
      <c r="F55" s="284">
        <f t="shared" si="9"/>
        <v>0.77675175466425483</v>
      </c>
      <c r="G55" s="284">
        <f t="shared" si="9"/>
        <v>0.95858471944496371</v>
      </c>
      <c r="H55" s="284">
        <f t="shared" si="9"/>
        <v>1.4440339885902036</v>
      </c>
      <c r="I55" s="284">
        <f t="shared" si="9"/>
        <v>1.3168672743616565</v>
      </c>
      <c r="J55" s="284">
        <f t="shared" si="9"/>
        <v>2.0402598729345325</v>
      </c>
      <c r="K55" s="284">
        <f t="shared" si="9"/>
        <v>1.8067539781609077</v>
      </c>
      <c r="L55" s="284">
        <f t="shared" si="9"/>
        <v>1.5501964240886048</v>
      </c>
    </row>
    <row r="56" spans="2:12">
      <c r="B56" s="150" t="s">
        <v>8847</v>
      </c>
      <c r="C56" s="328" t="str">
        <f>IF(C55&lt;1.81,"Distress",IF(C55&gt;3,"Strong","Grey Zone"))</f>
        <v>Distress</v>
      </c>
      <c r="D56" s="328" t="str">
        <f t="shared" ref="D56:L56" si="10">IF(D55&lt;1.81,"Distress",IF(D55&gt;3,"Strong","Grey Zone"))</f>
        <v>Distress</v>
      </c>
      <c r="E56" s="328" t="str">
        <f t="shared" si="10"/>
        <v>Distress</v>
      </c>
      <c r="F56" s="328" t="str">
        <f t="shared" si="10"/>
        <v>Distress</v>
      </c>
      <c r="G56" s="328" t="str">
        <f t="shared" si="10"/>
        <v>Distress</v>
      </c>
      <c r="H56" s="328" t="str">
        <f t="shared" si="10"/>
        <v>Distress</v>
      </c>
      <c r="I56" s="328" t="str">
        <f t="shared" si="10"/>
        <v>Distress</v>
      </c>
      <c r="J56" s="414" t="str">
        <f t="shared" si="10"/>
        <v>Grey Zone</v>
      </c>
      <c r="K56" s="328" t="str">
        <f t="shared" si="10"/>
        <v>Distress</v>
      </c>
      <c r="L56" s="328" t="str">
        <f t="shared" si="10"/>
        <v>Distress</v>
      </c>
    </row>
    <row r="58" spans="2:12">
      <c r="B58" t="s">
        <v>8984</v>
      </c>
    </row>
    <row r="59" spans="2:12" s="88" customFormat="1" ht="3" customHeight="1">
      <c r="B59" s="91"/>
      <c r="C59" s="378"/>
      <c r="D59" s="378"/>
      <c r="E59" s="378"/>
      <c r="F59" s="378"/>
      <c r="G59" s="378"/>
      <c r="H59" s="378"/>
      <c r="I59" s="378"/>
      <c r="J59" s="378"/>
      <c r="K59" s="378"/>
      <c r="L59" s="378"/>
    </row>
    <row r="60" spans="2:12" ht="73.5" customHeight="1"/>
    <row r="61" spans="2:12" ht="3" customHeight="1">
      <c r="B61" s="150"/>
      <c r="C61" s="237"/>
      <c r="D61" s="237"/>
      <c r="E61" s="237"/>
      <c r="F61" s="237"/>
      <c r="G61" s="237"/>
      <c r="H61" s="237"/>
      <c r="I61" s="237"/>
      <c r="J61" s="237"/>
      <c r="K61" s="237"/>
      <c r="L61" s="237"/>
    </row>
    <row r="62" spans="2:12" ht="5.25" customHeight="1"/>
    <row r="63" spans="2:12" ht="25.5" customHeight="1">
      <c r="B63" s="441" t="s">
        <v>8931</v>
      </c>
      <c r="C63" s="441"/>
      <c r="D63" s="441"/>
      <c r="E63" s="441"/>
      <c r="F63" s="441"/>
      <c r="G63" s="441"/>
      <c r="H63" s="441"/>
      <c r="I63" s="441"/>
      <c r="J63" s="441"/>
      <c r="K63" s="441"/>
      <c r="L63" s="441"/>
    </row>
  </sheetData>
  <mergeCells count="8">
    <mergeCell ref="B7:L7"/>
    <mergeCell ref="B35:L35"/>
    <mergeCell ref="B41:L41"/>
    <mergeCell ref="B63:L63"/>
    <mergeCell ref="B23:L23"/>
    <mergeCell ref="B29:L29"/>
    <mergeCell ref="B47:L47"/>
    <mergeCell ref="B53:L53"/>
  </mergeCells>
  <pageMargins left="0.19685039370078741" right="0.19685039370078741" top="0.39370078740157483" bottom="0" header="0.51181102362204722" footer="0.11811023622047245"/>
  <pageSetup scale="53" orientation="portrait" r:id="rId1"/>
  <ignoredErrors>
    <ignoredError sqref="C49:L49" formula="1"/>
  </ignoredError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002060"/>
    <pageSetUpPr fitToPage="1"/>
  </sheetPr>
  <dimension ref="B3:Z78"/>
  <sheetViews>
    <sheetView showGridLines="0" topLeftCell="A56" zoomScale="85" zoomScaleNormal="85" workbookViewId="0">
      <selection activeCell="N72" sqref="N72"/>
    </sheetView>
  </sheetViews>
  <sheetFormatPr defaultRowHeight="15" outlineLevelCol="1"/>
  <cols>
    <col min="1" max="1" width="1.85546875" customWidth="1"/>
    <col min="2" max="2" width="45.28515625" customWidth="1"/>
    <col min="3" max="3" width="4" customWidth="1"/>
    <col min="4" max="4" width="13.28515625" bestFit="1" customWidth="1"/>
    <col min="5" max="5" width="14" customWidth="1"/>
    <col min="6" max="6" width="14.42578125" customWidth="1"/>
    <col min="7" max="9" width="14.28515625" bestFit="1" customWidth="1"/>
    <col min="10" max="10" width="1.85546875" customWidth="1"/>
    <col min="14" max="14" width="14.5703125" customWidth="1"/>
    <col min="18" max="20" width="9.140625" customWidth="1" outlineLevel="1"/>
    <col min="22" max="22" width="69" customWidth="1" outlineLevel="1"/>
    <col min="23" max="25" width="9.140625" customWidth="1" outlineLevel="1"/>
  </cols>
  <sheetData>
    <row r="3" spans="2:14" ht="23.25" customHeight="1">
      <c r="B3" s="443" t="str">
        <f>'Data Sheet'!B1&amp;" - One Page Company Profile"</f>
        <v>TATA POWER COMPANY LTD - One Page Company Profile</v>
      </c>
      <c r="C3" s="443"/>
      <c r="D3" s="443"/>
      <c r="E3" s="443"/>
      <c r="F3" s="443"/>
      <c r="G3" s="443"/>
      <c r="H3" s="443"/>
      <c r="I3" s="443"/>
      <c r="J3" s="443"/>
      <c r="K3" s="443"/>
      <c r="L3" s="443"/>
      <c r="M3" s="443"/>
      <c r="N3" s="443"/>
    </row>
    <row r="4" spans="2:14" ht="6" customHeight="1"/>
    <row r="5" spans="2:14" ht="49.5" customHeight="1">
      <c r="D5" s="444" t="s">
        <v>8848</v>
      </c>
      <c r="E5" s="444"/>
      <c r="F5" s="444"/>
      <c r="G5" s="444"/>
      <c r="H5" s="444"/>
      <c r="I5" s="444"/>
      <c r="J5" s="444"/>
      <c r="K5" s="444"/>
      <c r="L5" s="444"/>
      <c r="M5" s="444"/>
      <c r="N5" s="444"/>
    </row>
    <row r="6" spans="2:14" ht="13.5" customHeight="1"/>
    <row r="7" spans="2:14">
      <c r="B7" s="87" t="s">
        <v>8855</v>
      </c>
      <c r="C7" s="285"/>
      <c r="D7" s="286">
        <f>'Historical Financial Statements'!G3</f>
        <v>44286</v>
      </c>
      <c r="E7" s="286">
        <f>'Historical Financial Statements'!H3</f>
        <v>44651</v>
      </c>
      <c r="F7" s="286">
        <f>'Historical Financial Statements'!I3</f>
        <v>45016</v>
      </c>
      <c r="G7" s="286">
        <f>'Historical Financial Statements'!J3</f>
        <v>45382</v>
      </c>
      <c r="H7" s="286">
        <f>'Historical Financial Statements'!K3</f>
        <v>45747</v>
      </c>
      <c r="I7" s="286">
        <f>'Historical Financial Statements'!L3</f>
        <v>46112</v>
      </c>
      <c r="K7" s="415" t="s">
        <v>8943</v>
      </c>
      <c r="L7" s="415"/>
      <c r="M7" s="415"/>
      <c r="N7" s="415"/>
    </row>
    <row r="9" spans="2:14">
      <c r="B9" t="s">
        <v>8860</v>
      </c>
      <c r="D9" s="290">
        <f>'Historical Financial Statements'!G6</f>
        <v>32703.31</v>
      </c>
      <c r="E9" s="290">
        <f>'Historical Financial Statements'!H6</f>
        <v>42815.67</v>
      </c>
      <c r="F9" s="290">
        <f>'Historical Financial Statements'!I6</f>
        <v>55109.08</v>
      </c>
      <c r="G9" s="290">
        <f>'Historical Financial Statements'!J6</f>
        <v>61448.9</v>
      </c>
      <c r="H9" s="290">
        <f>'Historical Financial Statements'!K6</f>
        <v>65478.239999999998</v>
      </c>
      <c r="I9" s="290">
        <f>'Historical Financial Statements'!L6</f>
        <v>62428.59</v>
      </c>
    </row>
    <row r="10" spans="2:14">
      <c r="B10" s="287" t="s">
        <v>8849</v>
      </c>
      <c r="C10" s="288"/>
      <c r="D10" s="289">
        <f>'Historical Financial Statements'!G7</f>
        <v>0.12242225095301862</v>
      </c>
      <c r="E10" s="289">
        <f>'Historical Financial Statements'!H7</f>
        <v>0.30921518341721366</v>
      </c>
      <c r="F10" s="289">
        <f>'Historical Financial Statements'!I7</f>
        <v>0.28712408330875139</v>
      </c>
      <c r="G10" s="289">
        <f>'Historical Financial Statements'!J7</f>
        <v>0.11504129628003223</v>
      </c>
      <c r="H10" s="289">
        <f>'Historical Financial Statements'!K7</f>
        <v>6.5572207150982331E-2</v>
      </c>
      <c r="I10" s="289">
        <f>'Historical Financial Statements'!L7</f>
        <v>-4.6575014844626228E-2</v>
      </c>
    </row>
    <row r="11" spans="2:14">
      <c r="B11" s="287" t="s">
        <v>8850</v>
      </c>
      <c r="C11" s="288"/>
      <c r="D11" s="289">
        <f>'Historical Financial Statements'!G13</f>
        <v>0.23599048536677167</v>
      </c>
      <c r="E11" s="289">
        <f>'Historical Financial Statements'!H13</f>
        <v>0.20030750423851837</v>
      </c>
      <c r="F11" s="289">
        <f>'Historical Financial Statements'!I13</f>
        <v>0.17326328075155681</v>
      </c>
      <c r="G11" s="289">
        <f>'Historical Financial Statements'!J13</f>
        <v>0.20143778000908077</v>
      </c>
      <c r="H11" s="289">
        <f>'Historical Financial Statements'!K13</f>
        <v>0.23824739333250247</v>
      </c>
      <c r="I11" s="289">
        <f>'Historical Financial Statements'!L13</f>
        <v>0.23876368183231433</v>
      </c>
    </row>
    <row r="12" spans="2:14">
      <c r="B12" s="287" t="s">
        <v>8851</v>
      </c>
      <c r="C12" s="288"/>
      <c r="D12" s="289">
        <f>'Historical Financial Statements'!G19</f>
        <v>0.21996947709574344</v>
      </c>
      <c r="E12" s="289">
        <f>'Historical Financial Statements'!H19</f>
        <v>0.18324412534009168</v>
      </c>
      <c r="F12" s="289">
        <f>'Historical Financial Statements'!I19</f>
        <v>0.1548196776284417</v>
      </c>
      <c r="G12" s="289">
        <f>'Historical Financial Statements'!J19</f>
        <v>0.18487149485182006</v>
      </c>
      <c r="H12" s="289">
        <f>'Historical Financial Statements'!K19</f>
        <v>0.22213242139678765</v>
      </c>
      <c r="I12" s="289">
        <f>'Historical Financial Statements'!L19</f>
        <v>0.21932755489111644</v>
      </c>
    </row>
    <row r="13" spans="2:14">
      <c r="B13" s="287" t="s">
        <v>8852</v>
      </c>
      <c r="C13" s="288"/>
      <c r="D13" s="289">
        <f>'Historical Financial Statements'!G25</f>
        <v>0.13603485396432341</v>
      </c>
      <c r="E13" s="289">
        <f>'Historical Financial Statements'!H25</f>
        <v>0.11032222548426787</v>
      </c>
      <c r="F13" s="289">
        <f>'Historical Financial Statements'!I25</f>
        <v>9.2412538913732634E-2</v>
      </c>
      <c r="G13" s="289">
        <f>'Historical Financial Statements'!J25</f>
        <v>0.12325330477844201</v>
      </c>
      <c r="H13" s="289">
        <f>'Historical Financial Statements'!K25</f>
        <v>0.15925870945828716</v>
      </c>
      <c r="I13" s="289">
        <f>'Historical Financial Statements'!L25</f>
        <v>0.14226206294263577</v>
      </c>
    </row>
    <row r="14" spans="2:14">
      <c r="B14" s="287" t="s">
        <v>8853</v>
      </c>
      <c r="C14" s="288"/>
      <c r="D14" s="289">
        <f>'Historical Financial Statements'!G40</f>
        <v>4.3990959936471181E-2</v>
      </c>
      <c r="E14" s="289">
        <f>'Historical Financial Statements'!H40</f>
        <v>5.0346286768372502E-2</v>
      </c>
      <c r="F14" s="289">
        <f>'Historical Financial Statements'!I40</f>
        <v>6.9129624374059687E-2</v>
      </c>
      <c r="G14" s="289">
        <f>'Historical Financial Statements'!J40</f>
        <v>6.9652996229387421E-2</v>
      </c>
      <c r="H14" s="289">
        <f>'Historical Financial Statements'!K40</f>
        <v>7.2930640774706165E-2</v>
      </c>
      <c r="I14" s="289">
        <f>'Historical Financial Statements'!L40</f>
        <v>8.1974620922881658E-2</v>
      </c>
    </row>
    <row r="15" spans="2:14">
      <c r="B15" t="s">
        <v>8854</v>
      </c>
      <c r="D15" s="291">
        <f>'Historical Financial Statements'!G47</f>
        <v>4.5023941413951665</v>
      </c>
      <c r="E15" s="291">
        <f>'Historical Financial Statements'!H47</f>
        <v>6.7461897161455999</v>
      </c>
      <c r="F15" s="291">
        <f>'Historical Financial Statements'!I47</f>
        <v>11.922730260069496</v>
      </c>
      <c r="G15" s="291">
        <f>'Historical Financial Statements'!J47</f>
        <v>13.394986386254828</v>
      </c>
      <c r="H15" s="291">
        <f>'Historical Financial Statements'!K47</f>
        <v>14.944981691859908</v>
      </c>
      <c r="I15" s="291">
        <f>'Historical Financial Statements'!L47</f>
        <v>16.015898350702596</v>
      </c>
    </row>
    <row r="16" spans="2:14">
      <c r="B16" s="287" t="str">
        <f>'Historical Financial Statements'!B48</f>
        <v>EPS Growth %</v>
      </c>
      <c r="D16" s="289">
        <f>'Historical Financial Statements'!G48</f>
        <v>-7.4923606571841939E-2</v>
      </c>
      <c r="E16" s="289">
        <f>'Historical Financial Statements'!H48</f>
        <v>0.49835609773051637</v>
      </c>
      <c r="F16" s="289">
        <f>'Historical Financial Statements'!I48</f>
        <v>0.76732804171441016</v>
      </c>
      <c r="G16" s="289">
        <f>'Historical Financial Statements'!J48</f>
        <v>0.1234831363346427</v>
      </c>
      <c r="H16" s="289">
        <f>'Historical Financial Statements'!K48</f>
        <v>0.11571458610779906</v>
      </c>
      <c r="I16" s="289">
        <f>'Historical Financial Statements'!L48</f>
        <v>7.1657274724262976E-2</v>
      </c>
    </row>
    <row r="17" spans="2:14">
      <c r="B17" t="s">
        <v>8857</v>
      </c>
      <c r="D17" s="291">
        <f>'Historical Financial Statements'!G51</f>
        <v>1.5501517854348577</v>
      </c>
      <c r="E17" s="291">
        <f>'Historical Financial Statements'!H51</f>
        <v>1.7501643038212376</v>
      </c>
      <c r="F17" s="291">
        <f>'Historical Financial Statements'!I51</f>
        <v>2.0001877757957001</v>
      </c>
      <c r="G17" s="291">
        <f>'Historical Financial Statements'!J51</f>
        <v>2.0001877757957001</v>
      </c>
      <c r="H17" s="291">
        <f>'Historical Financial Statements'!K51</f>
        <v>2.2502112477701628</v>
      </c>
      <c r="I17" s="291">
        <f>'Historical Financial Statements'!L51</f>
        <v>2.5002347197446251</v>
      </c>
    </row>
    <row r="18" spans="2:14">
      <c r="B18" s="287" t="s">
        <v>8861</v>
      </c>
      <c r="D18" s="289">
        <f>'Historical Financial Statements'!G51/'Historical Financial Statements'!F51-1</f>
        <v>1.2056202109089753E-5</v>
      </c>
      <c r="E18" s="289">
        <f>'Historical Financial Statements'!H51/'Historical Financial Statements'!G51-1</f>
        <v>0.12902769926512137</v>
      </c>
      <c r="F18" s="289">
        <f>'Historical Financial Statements'!I51/'Historical Financial Statements'!H51-1</f>
        <v>0.14285714285714279</v>
      </c>
      <c r="G18" s="289">
        <f>'Historical Financial Statements'!J51/'Historical Financial Statements'!I51-1</f>
        <v>0</v>
      </c>
      <c r="H18" s="289">
        <f>'Historical Financial Statements'!K51/'Historical Financial Statements'!J51-1</f>
        <v>0.125</v>
      </c>
      <c r="I18" s="289">
        <f>'Historical Financial Statements'!L51/'Historical Financial Statements'!K51-1</f>
        <v>0.11111111111111094</v>
      </c>
      <c r="K18" t="s">
        <v>8945</v>
      </c>
      <c r="L18" s="175" t="s">
        <v>8946</v>
      </c>
    </row>
    <row r="19" spans="2:14">
      <c r="B19" s="287"/>
      <c r="D19" s="289"/>
      <c r="E19" s="289"/>
      <c r="F19" s="289"/>
      <c r="G19" s="289"/>
      <c r="H19" s="289"/>
      <c r="I19" s="289"/>
    </row>
    <row r="20" spans="2:14">
      <c r="B20" s="87" t="s">
        <v>8919</v>
      </c>
      <c r="C20" s="140"/>
      <c r="D20" s="295">
        <f>D7</f>
        <v>44286</v>
      </c>
      <c r="E20" s="295">
        <f t="shared" ref="E20:I20" si="0">E7</f>
        <v>44651</v>
      </c>
      <c r="F20" s="295">
        <f t="shared" si="0"/>
        <v>45016</v>
      </c>
      <c r="G20" s="295">
        <f t="shared" si="0"/>
        <v>45382</v>
      </c>
      <c r="H20" s="295">
        <f t="shared" si="0"/>
        <v>45747</v>
      </c>
      <c r="I20" s="295">
        <f t="shared" si="0"/>
        <v>46112</v>
      </c>
      <c r="K20" s="415" t="s">
        <v>8944</v>
      </c>
      <c r="L20" s="415"/>
      <c r="M20" s="415"/>
      <c r="N20" s="415"/>
    </row>
    <row r="21" spans="2:14" hidden="1">
      <c r="B21" s="287"/>
      <c r="D21" s="289"/>
      <c r="E21" s="289"/>
      <c r="F21" s="289"/>
      <c r="G21" s="289"/>
      <c r="H21" s="289"/>
      <c r="I21" s="289"/>
    </row>
    <row r="22" spans="2:14" hidden="1">
      <c r="B22" t="s">
        <v>8897</v>
      </c>
      <c r="D22" s="128">
        <f>'Altman Z-Score (Credit Risk)'!G43</f>
        <v>33008.940820274998</v>
      </c>
      <c r="E22" s="128">
        <f>'Altman Z-Score (Credit Risk)'!H43</f>
        <v>76296.210428655002</v>
      </c>
      <c r="F22" s="128">
        <f>'Altman Z-Score (Credit Risk)'!I43</f>
        <v>60822.769889174997</v>
      </c>
      <c r="G22" s="128">
        <f>'Altman Z-Score (Credit Risk)'!J43</f>
        <v>126025.41860873999</v>
      </c>
      <c r="H22" s="128">
        <f>'Altman Z-Score (Credit Risk)'!K43</f>
        <v>120015.07393638001</v>
      </c>
      <c r="I22" s="128">
        <f>'Altman Z-Score (Credit Risk)'!L43</f>
        <v>121086.066205125</v>
      </c>
    </row>
    <row r="23" spans="2:14" hidden="1">
      <c r="B23" t="s">
        <v>215</v>
      </c>
      <c r="D23" s="291">
        <f>'Historical Financial Statements'!G61</f>
        <v>46708</v>
      </c>
      <c r="E23" s="291">
        <f>'Historical Financial Statements'!H61</f>
        <v>51195</v>
      </c>
      <c r="F23" s="291">
        <f>'Historical Financial Statements'!I61</f>
        <v>52923</v>
      </c>
      <c r="G23" s="291">
        <f>'Historical Financial Statements'!J61</f>
        <v>53689</v>
      </c>
      <c r="H23" s="291">
        <f>'Historical Financial Statements'!K61</f>
        <v>62866</v>
      </c>
      <c r="I23" s="291">
        <f>'Historical Financial Statements'!L61</f>
        <v>76141</v>
      </c>
    </row>
    <row r="24" spans="2:14" hidden="1">
      <c r="B24" t="s">
        <v>8858</v>
      </c>
      <c r="D24" s="291">
        <f>'Historical Financial Statements'!G78</f>
        <v>5871</v>
      </c>
      <c r="E24" s="291">
        <f>'Historical Financial Statements'!H78</f>
        <v>6641</v>
      </c>
      <c r="F24" s="291">
        <f>'Historical Financial Statements'!I78</f>
        <v>11207</v>
      </c>
      <c r="G24" s="291">
        <f>'Historical Financial Statements'!J78</f>
        <v>9152</v>
      </c>
      <c r="H24" s="291">
        <f>'Historical Financial Statements'!K78</f>
        <v>11751</v>
      </c>
      <c r="I24" s="291">
        <f>'Historical Financial Statements'!L78</f>
        <v>13644</v>
      </c>
    </row>
    <row r="25" spans="2:14" hidden="1">
      <c r="B25" t="s">
        <v>8903</v>
      </c>
      <c r="D25" s="128">
        <f>D22+D23-D24</f>
        <v>73845.940820274991</v>
      </c>
      <c r="E25" s="128">
        <f t="shared" ref="E25:I25" si="1">E22+E23-E24</f>
        <v>120850.210428655</v>
      </c>
      <c r="F25" s="128">
        <f t="shared" si="1"/>
        <v>102538.76988917499</v>
      </c>
      <c r="G25" s="128">
        <f t="shared" si="1"/>
        <v>170562.41860873997</v>
      </c>
      <c r="H25" s="128">
        <f t="shared" si="1"/>
        <v>171130.07393638001</v>
      </c>
      <c r="I25" s="128">
        <f t="shared" si="1"/>
        <v>183583.06620512501</v>
      </c>
    </row>
    <row r="27" spans="2:14">
      <c r="B27" t="s">
        <v>8862</v>
      </c>
      <c r="D27" s="294">
        <f>'Data Sheet'!F90/'Historical Financial Statements'!G47</f>
        <v>22.932243770201268</v>
      </c>
      <c r="E27" s="294">
        <f>'Data Sheet'!G90/'Historical Financial Statements'!H47</f>
        <v>35.375524561492981</v>
      </c>
      <c r="F27" s="294">
        <f>'Data Sheet'!H90/'Historical Financial Statements'!I47</f>
        <v>15.956915559615375</v>
      </c>
      <c r="G27" s="294">
        <f>'Data Sheet'!I90/'Historical Financial Statements'!J47</f>
        <v>29.428921286885782</v>
      </c>
      <c r="H27" s="294">
        <f>'Data Sheet'!J90/'Historical Financial Statements'!K47</f>
        <v>25.118799590398247</v>
      </c>
      <c r="I27" s="294">
        <f>'Data Sheet'!K90/'Historical Financial Statements'!L47</f>
        <v>23.648376863192613</v>
      </c>
    </row>
    <row r="28" spans="2:14">
      <c r="B28" t="s">
        <v>282</v>
      </c>
      <c r="D28" s="294">
        <f>D25/(D9*D12)</f>
        <v>10.265320052361572</v>
      </c>
      <c r="E28" s="294">
        <f t="shared" ref="E28:I28" si="2">E25/(E9*E12)</f>
        <v>15.403329513244795</v>
      </c>
      <c r="F28" s="294">
        <f t="shared" si="2"/>
        <v>12.018182188776441</v>
      </c>
      <c r="G28" s="294">
        <f t="shared" si="2"/>
        <v>15.014099163192379</v>
      </c>
      <c r="H28" s="294">
        <f t="shared" si="2"/>
        <v>11.765689683515257</v>
      </c>
      <c r="I28" s="294">
        <f t="shared" si="2"/>
        <v>13.407749766483887</v>
      </c>
    </row>
    <row r="29" spans="2:14">
      <c r="B29" t="s">
        <v>8859</v>
      </c>
      <c r="D29" s="294">
        <f t="shared" ref="D29:I29" si="3">D25/D9</f>
        <v>2.2580570841384247</v>
      </c>
      <c r="E29" s="294">
        <f t="shared" si="3"/>
        <v>2.8225696439797625</v>
      </c>
      <c r="F29" s="294">
        <f t="shared" si="3"/>
        <v>1.8606510921462487</v>
      </c>
      <c r="G29" s="294">
        <f t="shared" si="3"/>
        <v>2.7756789561528352</v>
      </c>
      <c r="H29" s="294">
        <f t="shared" si="3"/>
        <v>2.6135411388024483</v>
      </c>
      <c r="I29" s="294">
        <f t="shared" si="3"/>
        <v>2.9406889728748484</v>
      </c>
    </row>
    <row r="30" spans="2:14">
      <c r="B30" t="s">
        <v>8863</v>
      </c>
      <c r="D30" s="294">
        <f>'Data Sheet'!F93/(SUM('Data Sheet'!F57:F58)/('Data Sheet'!F70/1000000))</f>
        <v>45.763054676000991</v>
      </c>
      <c r="E30" s="294">
        <f>'Data Sheet'!G93/(SUM('Data Sheet'!G57:G58)/('Data Sheet'!G70/1000000))</f>
        <v>45.519776917108693</v>
      </c>
      <c r="F30" s="294">
        <f>'Data Sheet'!H93/(SUM('Data Sheet'!H57:H58)/('Data Sheet'!H70/1000000))</f>
        <v>35.4854464212995</v>
      </c>
      <c r="G30" s="294">
        <f>'Data Sheet'!I93/(SUM('Data Sheet'!I57:I58)/('Data Sheet'!I70/1000000))</f>
        <v>31.572419992894819</v>
      </c>
      <c r="H30" s="294">
        <f>'Data Sheet'!J93/(SUM('Data Sheet'!J57:J58)/('Data Sheet'!J70/1000000))</f>
        <v>28.502112401132845</v>
      </c>
      <c r="I30" s="294">
        <f>'Data Sheet'!K93/(SUM('Data Sheet'!K57:K58)/('Data Sheet'!K70/1000000))</f>
        <v>25.883126901341893</v>
      </c>
    </row>
    <row r="31" spans="2:14">
      <c r="B31" t="s">
        <v>8864</v>
      </c>
      <c r="D31" s="5">
        <f>'Ratio Analysis'!G23</f>
        <v>6.4446982932401448E-2</v>
      </c>
      <c r="E31" s="5">
        <f>'Ratio Analysis'!H23</f>
        <v>9.6052490865341913E-2</v>
      </c>
      <c r="F31" s="5">
        <f>'Ratio Analysis'!I23</f>
        <v>0.13233534806169256</v>
      </c>
      <c r="G31" s="5">
        <f>'Ratio Analysis'!J23</f>
        <v>0.13227740519825709</v>
      </c>
      <c r="H31" s="5">
        <f>'Ratio Analysis'!K23</f>
        <v>0.13323763287854681</v>
      </c>
      <c r="I31" s="5">
        <f>'Ratio Analysis'!L23</f>
        <v>0.1296635248809162</v>
      </c>
    </row>
    <row r="32" spans="2:14">
      <c r="B32" t="s">
        <v>8865</v>
      </c>
      <c r="D32" s="5">
        <f>'Ratio Analysis'!G21</f>
        <v>6.444626327302222E-2</v>
      </c>
      <c r="E32" s="5">
        <f>'Ratio Analysis'!H21</f>
        <v>6.4146013552969339E-2</v>
      </c>
      <c r="F32" s="5">
        <f>'Ratio Analysis'!I21</f>
        <v>6.232661453170326E-2</v>
      </c>
      <c r="G32" s="5">
        <f>'Ratio Analysis'!J21</f>
        <v>8.8020128768333275E-2</v>
      </c>
      <c r="H32" s="5">
        <f>'Ratio Analysis'!K21</f>
        <v>0.10564580019654124</v>
      </c>
      <c r="I32" s="5">
        <f>'Ratio Analysis'!L21</f>
        <v>7.6821181741905914E-2</v>
      </c>
      <c r="N32" s="82"/>
    </row>
    <row r="33" spans="2:20">
      <c r="L33" s="175"/>
    </row>
    <row r="34" spans="2:20">
      <c r="L34" s="175"/>
    </row>
    <row r="35" spans="2:20" ht="13.5" customHeight="1">
      <c r="B35" s="298" t="s">
        <v>8934</v>
      </c>
      <c r="C35" s="299"/>
      <c r="D35" s="140"/>
      <c r="E35" s="300" t="s">
        <v>8867</v>
      </c>
      <c r="F35" s="140"/>
      <c r="G35" s="300" t="s">
        <v>8888</v>
      </c>
      <c r="H35" s="447" t="s">
        <v>8887</v>
      </c>
      <c r="I35" s="447"/>
      <c r="K35" s="415" t="s">
        <v>8889</v>
      </c>
      <c r="L35" s="415"/>
      <c r="M35" s="415"/>
      <c r="N35" s="415"/>
    </row>
    <row r="37" spans="2:20">
      <c r="B37" s="315" t="s">
        <v>8868</v>
      </c>
      <c r="C37" s="316"/>
      <c r="D37" s="310"/>
      <c r="E37" s="317">
        <v>0.4521</v>
      </c>
      <c r="F37" s="310"/>
      <c r="G37" s="318">
        <f>('Data Sheet'!$K$70*'Company Profile'!E37)/1000000</f>
        <v>1445.3600140287001</v>
      </c>
      <c r="H37" s="310"/>
      <c r="I37" s="312">
        <f>(G37*'DCF Model'!$D$59)</f>
        <v>581540.60164444754</v>
      </c>
      <c r="R37" s="302" t="s">
        <v>8890</v>
      </c>
      <c r="S37" s="23"/>
      <c r="T37" s="303">
        <v>0.46860000000000002</v>
      </c>
    </row>
    <row r="38" spans="2:20">
      <c r="B38" s="316" t="s">
        <v>8766</v>
      </c>
      <c r="C38" s="316"/>
      <c r="D38" s="310"/>
      <c r="E38" s="317">
        <v>5.1799999999999999E-2</v>
      </c>
      <c r="F38" s="310"/>
      <c r="G38" s="318">
        <f>('Data Sheet'!$K$70*'Company Profile'!E38)/1000000</f>
        <v>165.60417767460001</v>
      </c>
      <c r="H38" s="310"/>
      <c r="I38" s="312">
        <f>(G38*'DCF Model'!$D$59)</f>
        <v>66630.840887375321</v>
      </c>
      <c r="R38" s="302" t="s">
        <v>8891</v>
      </c>
      <c r="S38" s="23"/>
      <c r="T38" s="303">
        <v>0.1004</v>
      </c>
    </row>
    <row r="39" spans="2:20">
      <c r="B39" s="316" t="s">
        <v>8869</v>
      </c>
      <c r="C39" s="316"/>
      <c r="D39" s="310"/>
      <c r="E39" s="317">
        <v>2.2499999999999999E-2</v>
      </c>
      <c r="F39" s="310"/>
      <c r="G39" s="318">
        <f>('Data Sheet'!$K$70*'Company Profile'!E39)/1000000</f>
        <v>71.932316557500002</v>
      </c>
      <c r="H39" s="310"/>
      <c r="I39" s="312">
        <f>(G39*'DCF Model'!$D$59)</f>
        <v>28941.967566910127</v>
      </c>
      <c r="R39" s="302" t="s">
        <v>8892</v>
      </c>
      <c r="S39" s="23"/>
      <c r="T39" s="303">
        <v>0.17979999999999999</v>
      </c>
    </row>
    <row r="40" spans="2:20">
      <c r="B40" s="316" t="s">
        <v>8870</v>
      </c>
      <c r="C40" s="316"/>
      <c r="D40" s="310"/>
      <c r="E40" s="317">
        <v>1.7899999999999999E-2</v>
      </c>
      <c r="F40" s="310"/>
      <c r="G40" s="318">
        <f>('Data Sheet'!$K$70*'Company Profile'!E40)/1000000</f>
        <v>57.226154061299994</v>
      </c>
      <c r="H40" s="310"/>
      <c r="I40" s="312">
        <f>(G40*'DCF Model'!$D$59)</f>
        <v>23024.943086564053</v>
      </c>
      <c r="R40" s="302" t="s">
        <v>8893</v>
      </c>
      <c r="S40" s="23"/>
      <c r="T40" s="303">
        <v>3.0999999999999999E-3</v>
      </c>
    </row>
    <row r="41" spans="2:20">
      <c r="B41" s="315" t="s">
        <v>8871</v>
      </c>
      <c r="C41" s="316"/>
      <c r="D41" s="310"/>
      <c r="E41" s="317">
        <v>1.77E-2</v>
      </c>
      <c r="F41" s="310"/>
      <c r="G41" s="318">
        <f>('Data Sheet'!$K$70*'Company Profile'!E41)/1000000</f>
        <v>56.586755691900002</v>
      </c>
      <c r="H41" s="310"/>
      <c r="I41" s="312">
        <f>(G41*'DCF Model'!$D$59)</f>
        <v>22767.681152635967</v>
      </c>
      <c r="R41" s="302" t="s">
        <v>8894</v>
      </c>
      <c r="S41" s="23"/>
      <c r="T41" s="303">
        <v>0.24809999999999999</v>
      </c>
    </row>
    <row r="42" spans="2:20">
      <c r="B42" s="315" t="s">
        <v>8872</v>
      </c>
      <c r="C42" s="316"/>
      <c r="D42" s="310"/>
      <c r="E42" s="317">
        <v>1.5599999999999999E-2</v>
      </c>
      <c r="F42" s="310"/>
      <c r="G42" s="318">
        <f>('Data Sheet'!$K$70*'Company Profile'!E42)/1000000</f>
        <v>49.873072813199997</v>
      </c>
      <c r="H42" s="310"/>
      <c r="I42" s="312">
        <f>(G42*'DCF Model'!$D$59)</f>
        <v>20066.43084639102</v>
      </c>
      <c r="R42" s="23"/>
      <c r="S42" s="23"/>
      <c r="T42" s="23"/>
    </row>
    <row r="43" spans="2:20">
      <c r="B43" s="316" t="s">
        <v>8873</v>
      </c>
      <c r="C43" s="316"/>
      <c r="D43" s="310"/>
      <c r="E43" s="317">
        <v>1.2200000000000001E-2</v>
      </c>
      <c r="F43" s="310"/>
      <c r="G43" s="318">
        <f>('Data Sheet'!$K$70*'Company Profile'!E43)/1000000</f>
        <v>39.003300533400001</v>
      </c>
      <c r="H43" s="310"/>
      <c r="I43" s="312">
        <f>(G43*'DCF Model'!$D$59)</f>
        <v>15692.977969613492</v>
      </c>
    </row>
    <row r="44" spans="2:20">
      <c r="B44" s="315" t="s">
        <v>8874</v>
      </c>
      <c r="C44" s="316"/>
      <c r="D44" s="310"/>
      <c r="E44" s="317">
        <v>1.2E-2</v>
      </c>
      <c r="F44" s="310"/>
      <c r="G44" s="318">
        <f>('Data Sheet'!$K$70*'Company Profile'!E44)/1000000</f>
        <v>38.363902163999995</v>
      </c>
      <c r="H44" s="310"/>
      <c r="I44" s="312">
        <f>(G44*'DCF Model'!$D$59)</f>
        <v>15435.716035685398</v>
      </c>
    </row>
    <row r="45" spans="2:20">
      <c r="B45" s="315" t="s">
        <v>8875</v>
      </c>
      <c r="C45" s="316"/>
      <c r="D45" s="310"/>
      <c r="E45" s="317">
        <v>1.0200000000000001E-2</v>
      </c>
      <c r="F45" s="310"/>
      <c r="G45" s="318">
        <f>('Data Sheet'!$K$70*'Company Profile'!E45)/1000000</f>
        <v>32.609316839400002</v>
      </c>
      <c r="H45" s="310"/>
      <c r="I45" s="312">
        <f>(G45*'DCF Model'!$D$59)</f>
        <v>13120.358630332592</v>
      </c>
    </row>
    <row r="46" spans="2:20">
      <c r="B46" s="316" t="s">
        <v>8876</v>
      </c>
      <c r="C46" s="316"/>
      <c r="D46" s="310"/>
      <c r="E46" s="317">
        <v>7.7000000000000002E-3</v>
      </c>
      <c r="F46" s="310"/>
      <c r="G46" s="318">
        <f>('Data Sheet'!$K$70*'Company Profile'!E46)/1000000</f>
        <v>24.616837221900003</v>
      </c>
      <c r="H46" s="310"/>
      <c r="I46" s="312">
        <f>(G46*'DCF Model'!$D$59)</f>
        <v>9904.5844562314669</v>
      </c>
    </row>
    <row r="48" spans="2:20" ht="16.5">
      <c r="B48" s="298" t="s">
        <v>8935</v>
      </c>
      <c r="C48" s="299"/>
      <c r="D48" s="140"/>
      <c r="E48" s="300" t="s">
        <v>8867</v>
      </c>
      <c r="F48" s="140"/>
      <c r="G48" s="300" t="s">
        <v>8888</v>
      </c>
      <c r="H48" s="140"/>
      <c r="I48" s="300" t="s">
        <v>8887</v>
      </c>
      <c r="K48" s="415" t="s">
        <v>8930</v>
      </c>
      <c r="L48" s="415"/>
      <c r="M48" s="415"/>
      <c r="N48" s="415"/>
    </row>
    <row r="49" spans="2:26" ht="16.5">
      <c r="B49" s="297"/>
      <c r="E49" s="296"/>
      <c r="G49" s="296"/>
      <c r="I49" s="296"/>
    </row>
    <row r="50" spans="2:26">
      <c r="B50" s="446" t="s">
        <v>8877</v>
      </c>
      <c r="C50" s="446"/>
      <c r="D50" s="446"/>
      <c r="E50" s="319">
        <v>7.7999999999999996E-3</v>
      </c>
      <c r="F50" s="310"/>
      <c r="G50" s="318">
        <f>('Data Sheet'!$K$70*'Company Profile'!E50)/1000000</f>
        <v>24.936536406599998</v>
      </c>
      <c r="H50" s="310"/>
      <c r="I50" s="312">
        <f>(G50*'DCF Model'!$D$59)</f>
        <v>10033.21542319551</v>
      </c>
      <c r="N50" s="301"/>
    </row>
    <row r="51" spans="2:26" ht="31.5" customHeight="1">
      <c r="B51" s="446" t="s">
        <v>8878</v>
      </c>
      <c r="C51" s="446"/>
      <c r="D51" s="446"/>
      <c r="E51" s="319">
        <v>7.3000000000000001E-3</v>
      </c>
      <c r="F51" s="310"/>
      <c r="G51" s="318">
        <f>('Data Sheet'!$K$70*'Company Profile'!E51)/1000000</f>
        <v>23.338040483100002</v>
      </c>
      <c r="H51" s="310"/>
      <c r="I51" s="312">
        <f>(G51*'DCF Model'!$D$59)</f>
        <v>9390.0605883752869</v>
      </c>
      <c r="N51" s="216"/>
    </row>
    <row r="52" spans="2:26" ht="18.75">
      <c r="B52" s="446" t="s">
        <v>8879</v>
      </c>
      <c r="C52" s="446"/>
      <c r="D52" s="446"/>
      <c r="E52" s="319">
        <v>7.0000000000000001E-3</v>
      </c>
      <c r="F52" s="310"/>
      <c r="G52" s="318">
        <f>('Data Sheet'!$K$70*'Company Profile'!E52)/1000000</f>
        <v>22.378942929000001</v>
      </c>
      <c r="H52" s="310"/>
      <c r="I52" s="312">
        <f>(G52*'DCF Model'!$D$59)</f>
        <v>9004.1676874831501</v>
      </c>
      <c r="V52" s="320" t="s">
        <v>8923</v>
      </c>
    </row>
    <row r="53" spans="2:26" ht="15.75" thickBot="1">
      <c r="B53" s="446" t="s">
        <v>8880</v>
      </c>
      <c r="C53" s="446"/>
      <c r="D53" s="446"/>
      <c r="E53" s="319">
        <v>6.1999999999999998E-3</v>
      </c>
      <c r="F53" s="310"/>
      <c r="G53" s="318">
        <f>('Data Sheet'!$K$70*'Company Profile'!E53)/1000000</f>
        <v>19.8213494514</v>
      </c>
      <c r="H53" s="310"/>
      <c r="I53" s="312">
        <f>(G53*'DCF Model'!$D$59)</f>
        <v>7975.1199517707901</v>
      </c>
      <c r="K53" s="2"/>
      <c r="L53" s="2"/>
      <c r="M53" s="2"/>
      <c r="N53" s="306"/>
      <c r="V53" s="321" t="s">
        <v>8924</v>
      </c>
      <c r="W53" s="295">
        <f>G7</f>
        <v>45382</v>
      </c>
      <c r="X53" s="295">
        <f t="shared" ref="X53:Y53" si="4">H7</f>
        <v>45747</v>
      </c>
      <c r="Y53" s="295">
        <f t="shared" si="4"/>
        <v>46112</v>
      </c>
    </row>
    <row r="54" spans="2:26" ht="15.75" thickBot="1">
      <c r="B54" s="446" t="s">
        <v>8881</v>
      </c>
      <c r="C54" s="446"/>
      <c r="D54" s="446"/>
      <c r="E54" s="319">
        <v>5.5999999999999999E-3</v>
      </c>
      <c r="F54" s="310"/>
      <c r="G54" s="318">
        <f>('Data Sheet'!$K$70*'Company Profile'!E54)/1000000</f>
        <v>17.903154343199997</v>
      </c>
      <c r="H54" s="310"/>
      <c r="I54" s="312">
        <f>(G54*'DCF Model'!$D$59)</f>
        <v>7203.3341499865192</v>
      </c>
      <c r="V54" s="322" t="s">
        <v>8925</v>
      </c>
      <c r="W54" s="323">
        <v>0.61</v>
      </c>
      <c r="X54" s="323">
        <v>0.56000000000000005</v>
      </c>
      <c r="Y54" s="323">
        <v>0.53</v>
      </c>
    </row>
    <row r="55" spans="2:26" ht="15.75" thickBot="1">
      <c r="B55" s="446" t="s">
        <v>8882</v>
      </c>
      <c r="C55" s="446"/>
      <c r="D55" s="446"/>
      <c r="E55" s="319">
        <v>4.5999999999999999E-3</v>
      </c>
      <c r="F55" s="310"/>
      <c r="G55" s="318">
        <f>('Data Sheet'!$K$70*'Company Profile'!E55)/1000000</f>
        <v>14.706162496199999</v>
      </c>
      <c r="H55" s="310"/>
      <c r="I55" s="312">
        <f>(G55*'DCF Model'!$D$59)</f>
        <v>5917.02448034607</v>
      </c>
      <c r="K55" s="304"/>
      <c r="N55" s="301"/>
      <c r="V55" s="322" t="s">
        <v>8926</v>
      </c>
      <c r="W55" s="323">
        <v>0.23</v>
      </c>
      <c r="X55" s="323">
        <v>0.26</v>
      </c>
      <c r="Y55" s="323">
        <v>0.28999999999999998</v>
      </c>
    </row>
    <row r="56" spans="2:26" ht="29.25" customHeight="1" thickBot="1">
      <c r="B56" s="446" t="s">
        <v>8883</v>
      </c>
      <c r="C56" s="446"/>
      <c r="D56" s="446"/>
      <c r="E56" s="319">
        <v>3.8999999999999998E-3</v>
      </c>
      <c r="F56" s="310"/>
      <c r="G56" s="318">
        <f>('Data Sheet'!$K$70*'Company Profile'!E56)/1000000</f>
        <v>12.468268203299999</v>
      </c>
      <c r="H56" s="310"/>
      <c r="I56" s="312">
        <f>(G56*'DCF Model'!$D$59)</f>
        <v>5016.607711597755</v>
      </c>
      <c r="K56" s="304"/>
      <c r="N56" s="305"/>
      <c r="V56" s="322" t="s">
        <v>8927</v>
      </c>
      <c r="W56" s="323">
        <v>7.4999999999999997E-2</v>
      </c>
      <c r="X56" s="323">
        <v>0.09</v>
      </c>
      <c r="Y56" s="323">
        <v>9.5000000000000001E-2</v>
      </c>
    </row>
    <row r="57" spans="2:26" ht="15.75" thickBot="1">
      <c r="B57" s="446" t="s">
        <v>8884</v>
      </c>
      <c r="C57" s="446"/>
      <c r="D57" s="446"/>
      <c r="E57" s="319">
        <v>3.7000000000000002E-3</v>
      </c>
      <c r="F57" s="310"/>
      <c r="G57" s="318">
        <f>('Data Sheet'!$K$70*'Company Profile'!E57)/1000000</f>
        <v>11.828869833900001</v>
      </c>
      <c r="H57" s="310"/>
      <c r="I57" s="312">
        <f>(G57*'DCF Model'!$D$59)</f>
        <v>4759.3457776696659</v>
      </c>
      <c r="V57" s="322" t="s">
        <v>8928</v>
      </c>
      <c r="W57" s="323">
        <v>0.06</v>
      </c>
      <c r="X57" s="323">
        <v>0.06</v>
      </c>
      <c r="Y57" s="323">
        <v>5.5E-2</v>
      </c>
    </row>
    <row r="58" spans="2:26" ht="15.75" thickBot="1">
      <c r="B58" s="446" t="s">
        <v>8885</v>
      </c>
      <c r="C58" s="446"/>
      <c r="D58" s="446"/>
      <c r="E58" s="319">
        <v>3.3999999999999998E-3</v>
      </c>
      <c r="F58" s="310"/>
      <c r="G58" s="318">
        <f>('Data Sheet'!$K$70*'Company Profile'!E58)/1000000</f>
        <v>10.869772279799999</v>
      </c>
      <c r="H58" s="310"/>
      <c r="I58" s="312">
        <f>(G58*'DCF Model'!$D$59)</f>
        <v>4373.45287677753</v>
      </c>
      <c r="K58" s="304"/>
      <c r="N58" s="301"/>
      <c r="V58" s="322" t="s">
        <v>8929</v>
      </c>
      <c r="W58" s="323">
        <v>2.5000000000000001E-2</v>
      </c>
      <c r="X58" s="323">
        <v>0.03</v>
      </c>
      <c r="Y58" s="323">
        <v>0.03</v>
      </c>
    </row>
    <row r="59" spans="2:26">
      <c r="B59" s="446" t="s">
        <v>8886</v>
      </c>
      <c r="C59" s="446"/>
      <c r="D59" s="446"/>
      <c r="E59" s="319">
        <v>3.3E-3</v>
      </c>
      <c r="F59" s="310"/>
      <c r="G59" s="318">
        <f>('Data Sheet'!$K$70*'Company Profile'!E59)/1000000</f>
        <v>10.5500730951</v>
      </c>
      <c r="H59" s="310"/>
      <c r="I59" s="312">
        <f>(G59*'DCF Model'!$D$59)</f>
        <v>4244.821909813485</v>
      </c>
      <c r="K59" s="304"/>
      <c r="N59" s="128"/>
      <c r="V59" s="324"/>
      <c r="W59" s="325"/>
      <c r="X59" s="325"/>
      <c r="Y59" s="325"/>
    </row>
    <row r="61" spans="2:26" ht="16.5">
      <c r="B61" s="298" t="s">
        <v>8936</v>
      </c>
      <c r="C61" s="299"/>
      <c r="D61" s="140"/>
      <c r="E61" s="300" t="s">
        <v>8899</v>
      </c>
      <c r="F61" s="140"/>
      <c r="G61" s="300" t="s">
        <v>8916</v>
      </c>
      <c r="H61" s="140"/>
      <c r="I61" s="300" t="s">
        <v>8900</v>
      </c>
      <c r="K61" s="415" t="s">
        <v>205</v>
      </c>
      <c r="L61" s="415"/>
      <c r="M61" s="415"/>
      <c r="N61" s="415"/>
    </row>
    <row r="62" spans="2:26">
      <c r="U62" s="326"/>
      <c r="V62" s="126"/>
      <c r="W62" s="126"/>
      <c r="X62" s="126"/>
      <c r="Y62" s="126"/>
      <c r="Z62" s="126"/>
    </row>
    <row r="63" spans="2:26" ht="15" customHeight="1">
      <c r="B63" s="310" t="s">
        <v>8904</v>
      </c>
      <c r="C63" s="310"/>
      <c r="D63" s="310"/>
      <c r="E63" s="311" t="s">
        <v>8915</v>
      </c>
      <c r="F63" s="310"/>
      <c r="G63" s="312">
        <v>136.4</v>
      </c>
      <c r="H63" s="311"/>
      <c r="I63" s="313" t="s">
        <v>8917</v>
      </c>
      <c r="K63" t="s">
        <v>8895</v>
      </c>
      <c r="N63" s="301">
        <f>'Beta Regression Historical Data'!$L$4</f>
        <v>402.35</v>
      </c>
      <c r="U63" s="326"/>
      <c r="V63" s="126"/>
      <c r="W63" s="126"/>
      <c r="X63" s="126"/>
      <c r="Y63" s="126"/>
      <c r="Z63" s="126"/>
    </row>
    <row r="64" spans="2:26" ht="15" customHeight="1">
      <c r="B64" s="310" t="s">
        <v>8905</v>
      </c>
      <c r="C64" s="310"/>
      <c r="D64" s="310"/>
      <c r="E64" s="311" t="s">
        <v>8912</v>
      </c>
      <c r="F64" s="310"/>
      <c r="G64" s="312">
        <v>85.6</v>
      </c>
      <c r="H64" s="311"/>
      <c r="I64" s="314" t="s">
        <v>8918</v>
      </c>
      <c r="K64" t="s">
        <v>8896</v>
      </c>
      <c r="N64" s="308">
        <f>'Data Sheet'!$B$6*10</f>
        <v>3195.3396296756555</v>
      </c>
      <c r="U64" s="326"/>
      <c r="V64" s="126"/>
      <c r="W64" s="126"/>
      <c r="X64" s="126"/>
      <c r="Y64" s="126"/>
      <c r="Z64" s="126"/>
    </row>
    <row r="65" spans="2:14" ht="15" customHeight="1" thickBot="1">
      <c r="B65" s="310" t="s">
        <v>8906</v>
      </c>
      <c r="C65" s="310"/>
      <c r="D65" s="310"/>
      <c r="E65" s="311" t="s">
        <v>8909</v>
      </c>
      <c r="F65" s="310"/>
      <c r="G65" s="311" t="s">
        <v>8933</v>
      </c>
      <c r="H65" s="311"/>
      <c r="I65" s="311" t="s">
        <v>8933</v>
      </c>
      <c r="K65" s="307" t="s">
        <v>8897</v>
      </c>
      <c r="L65" s="307"/>
      <c r="M65" s="307"/>
      <c r="N65" s="309">
        <f>$I$22</f>
        <v>121086.066205125</v>
      </c>
    </row>
    <row r="66" spans="2:14" ht="15" customHeight="1">
      <c r="B66" s="310" t="s">
        <v>8907</v>
      </c>
      <c r="C66" s="310"/>
      <c r="D66" s="310"/>
      <c r="E66" s="311" t="s">
        <v>8913</v>
      </c>
      <c r="F66" s="310"/>
      <c r="G66" s="311" t="s">
        <v>8933</v>
      </c>
      <c r="H66" s="311"/>
      <c r="I66" s="311" t="s">
        <v>8933</v>
      </c>
      <c r="K66" s="304" t="s">
        <v>8898</v>
      </c>
      <c r="N66" s="301">
        <f>-'Historical Financial Statements'!$L$78</f>
        <v>-13644</v>
      </c>
    </row>
    <row r="67" spans="2:14" ht="15" customHeight="1">
      <c r="B67" s="310" t="s">
        <v>8908</v>
      </c>
      <c r="C67" s="310"/>
      <c r="D67" s="310"/>
      <c r="E67" s="311" t="s">
        <v>8914</v>
      </c>
      <c r="F67" s="310"/>
      <c r="G67" s="311" t="s">
        <v>8933</v>
      </c>
      <c r="H67" s="311"/>
      <c r="I67" s="311" t="s">
        <v>8933</v>
      </c>
      <c r="K67" s="304" t="s">
        <v>8901</v>
      </c>
      <c r="N67" s="305">
        <f>'DCF Model'!$D$53</f>
        <v>76141</v>
      </c>
    </row>
    <row r="68" spans="2:14" ht="15" customHeight="1">
      <c r="B68" s="310" t="s">
        <v>8910</v>
      </c>
      <c r="C68" s="310"/>
      <c r="D68" s="310"/>
      <c r="E68" s="311" t="s">
        <v>8911</v>
      </c>
      <c r="F68" s="310"/>
      <c r="G68" s="311" t="s">
        <v>8933</v>
      </c>
      <c r="H68" s="311"/>
      <c r="I68" s="311" t="s">
        <v>8933</v>
      </c>
      <c r="K68" s="304" t="s">
        <v>8902</v>
      </c>
      <c r="N68" s="301">
        <f>'Historical Financial Statements'!$L$62</f>
        <v>8071</v>
      </c>
    </row>
    <row r="69" spans="2:14" ht="15" customHeight="1" thickBot="1">
      <c r="K69" s="307" t="s">
        <v>8903</v>
      </c>
      <c r="L69" s="307"/>
      <c r="M69" s="307"/>
      <c r="N69" s="309">
        <f>SUM(N65:N68)</f>
        <v>191654.06620512501</v>
      </c>
    </row>
    <row r="70" spans="2:14" ht="15" customHeight="1">
      <c r="K70" s="304"/>
      <c r="N70" s="128"/>
    </row>
    <row r="71" spans="2:14">
      <c r="B71" s="87" t="s">
        <v>8937</v>
      </c>
      <c r="C71" s="140"/>
      <c r="D71" s="140"/>
      <c r="E71" s="140"/>
      <c r="F71" s="140"/>
      <c r="G71" s="140"/>
      <c r="H71" s="140"/>
      <c r="I71" s="140"/>
      <c r="K71" s="87" t="s">
        <v>8932</v>
      </c>
      <c r="L71" s="140"/>
      <c r="M71" s="140"/>
      <c r="N71" s="140"/>
    </row>
    <row r="72" spans="2:14" ht="9.75" customHeight="1"/>
    <row r="73" spans="2:14" ht="33" customHeight="1">
      <c r="B73" s="445" t="s">
        <v>8920</v>
      </c>
      <c r="C73" s="445"/>
      <c r="D73" s="445"/>
      <c r="E73" s="445"/>
      <c r="F73" s="445"/>
      <c r="G73" s="445"/>
      <c r="H73" s="445"/>
      <c r="I73" s="445"/>
      <c r="K73" s="442"/>
      <c r="L73" s="442"/>
      <c r="M73" s="442"/>
      <c r="N73" s="442"/>
    </row>
    <row r="74" spans="2:14" ht="33" customHeight="1">
      <c r="B74" s="445" t="s">
        <v>8921</v>
      </c>
      <c r="C74" s="445"/>
      <c r="D74" s="445"/>
      <c r="E74" s="445"/>
      <c r="F74" s="445"/>
      <c r="G74" s="445"/>
      <c r="H74" s="445"/>
      <c r="I74" s="445"/>
      <c r="K74" s="442"/>
      <c r="L74" s="442"/>
      <c r="M74" s="442"/>
      <c r="N74" s="442"/>
    </row>
    <row r="75" spans="2:14" ht="39" customHeight="1">
      <c r="B75" s="445" t="s">
        <v>8922</v>
      </c>
      <c r="C75" s="445"/>
      <c r="D75" s="445"/>
      <c r="E75" s="445"/>
      <c r="F75" s="445"/>
      <c r="G75" s="445"/>
      <c r="H75" s="445"/>
      <c r="I75" s="445"/>
      <c r="K75" s="442"/>
      <c r="L75" s="442"/>
      <c r="M75" s="442"/>
      <c r="N75" s="442"/>
    </row>
    <row r="76" spans="2:14" ht="3" customHeight="1">
      <c r="B76" s="140"/>
      <c r="C76" s="140"/>
      <c r="D76" s="140"/>
      <c r="E76" s="140"/>
      <c r="F76" s="140"/>
      <c r="G76" s="140"/>
      <c r="H76" s="140"/>
      <c r="I76" s="140"/>
      <c r="J76" s="140"/>
      <c r="K76" s="140"/>
      <c r="L76" s="140"/>
      <c r="M76" s="140"/>
      <c r="N76" s="140"/>
    </row>
    <row r="77" spans="2:14" ht="0.75" customHeight="1"/>
    <row r="78" spans="2:14" ht="33.75" customHeight="1">
      <c r="B78" s="441" t="s">
        <v>8931</v>
      </c>
      <c r="C78" s="441"/>
      <c r="D78" s="441"/>
      <c r="E78" s="441"/>
      <c r="F78" s="441"/>
      <c r="G78" s="441"/>
      <c r="H78" s="441"/>
      <c r="I78" s="441"/>
      <c r="J78" s="441"/>
      <c r="K78" s="441"/>
      <c r="L78" s="441"/>
      <c r="M78" s="441"/>
      <c r="N78" s="441"/>
    </row>
  </sheetData>
  <mergeCells count="23">
    <mergeCell ref="B55:D55"/>
    <mergeCell ref="B56:D56"/>
    <mergeCell ref="B57:D57"/>
    <mergeCell ref="K7:N7"/>
    <mergeCell ref="K20:N20"/>
    <mergeCell ref="B50:D50"/>
    <mergeCell ref="B51:D51"/>
    <mergeCell ref="B78:N78"/>
    <mergeCell ref="K73:N75"/>
    <mergeCell ref="B3:N3"/>
    <mergeCell ref="K61:N61"/>
    <mergeCell ref="D5:N5"/>
    <mergeCell ref="B73:I73"/>
    <mergeCell ref="B74:I74"/>
    <mergeCell ref="B75:I75"/>
    <mergeCell ref="B58:D58"/>
    <mergeCell ref="B59:D59"/>
    <mergeCell ref="H35:I35"/>
    <mergeCell ref="K35:N35"/>
    <mergeCell ref="K48:N48"/>
    <mergeCell ref="B52:D52"/>
    <mergeCell ref="B53:D53"/>
    <mergeCell ref="B54:D54"/>
  </mergeCells>
  <hyperlinks>
    <hyperlink ref="L18" r:id="rId1" xr:uid="{53D960E7-0BC4-41A7-9DA8-FE08D6ACF38E}"/>
  </hyperlinks>
  <pageMargins left="0.23622047244094491" right="0.23622047244094491" top="0.94488188976377963" bottom="0.74803149606299213" header="0.31496062992125984" footer="0.31496062992125984"/>
  <pageSetup paperSize="9" scale="55"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C989-EC36-4910-A6CE-10A41FCA496D}">
  <dimension ref="A5:S132"/>
  <sheetViews>
    <sheetView showGridLines="0" topLeftCell="A33" workbookViewId="0">
      <selection activeCell="M51" sqref="B2:M51"/>
    </sheetView>
  </sheetViews>
  <sheetFormatPr defaultRowHeight="15" outlineLevelCol="1"/>
  <cols>
    <col min="1" max="1" width="1.85546875" customWidth="1"/>
    <col min="2" max="2" width="25.85546875" bestFit="1" customWidth="1"/>
    <col min="3" max="3" width="1.42578125" customWidth="1"/>
    <col min="4" max="10" width="9" bestFit="1" customWidth="1"/>
    <col min="11" max="11" width="8" bestFit="1" customWidth="1"/>
    <col min="12" max="12" width="9.85546875" bestFit="1" customWidth="1"/>
    <col min="13" max="13" width="9" bestFit="1" customWidth="1"/>
    <col min="15" max="15" width="25.42578125" hidden="1" customWidth="1" outlineLevel="1"/>
    <col min="16" max="16" width="11.5703125" hidden="1" customWidth="1" outlineLevel="1"/>
    <col min="17" max="17" width="5.85546875" hidden="1" customWidth="1" outlineLevel="1"/>
    <col min="18" max="18" width="0" hidden="1" customWidth="1" outlineLevel="1"/>
    <col min="19" max="19" width="9.140625" collapsed="1"/>
  </cols>
  <sheetData>
    <row r="5" spans="2:18" ht="31.5" customHeight="1">
      <c r="B5" s="448" t="s">
        <v>9047</v>
      </c>
      <c r="C5" s="448"/>
      <c r="D5" s="448"/>
      <c r="E5" s="448"/>
      <c r="F5" s="448"/>
      <c r="G5" s="448"/>
      <c r="H5" s="448"/>
      <c r="I5" s="448"/>
      <c r="J5" s="448"/>
      <c r="K5" s="448"/>
      <c r="L5" s="448"/>
      <c r="M5" s="448"/>
    </row>
    <row r="6" spans="2:18" ht="15.75">
      <c r="D6" s="392">
        <f>'DCF Assumptions'!D4</f>
        <v>42825</v>
      </c>
      <c r="E6" s="392">
        <f>'DCF Assumptions'!E4</f>
        <v>43190</v>
      </c>
      <c r="F6" s="392">
        <f>'DCF Assumptions'!F4</f>
        <v>43555</v>
      </c>
      <c r="G6" s="392">
        <f>'DCF Assumptions'!G4</f>
        <v>43921</v>
      </c>
      <c r="H6" s="392">
        <f>'DCF Assumptions'!H4</f>
        <v>44286</v>
      </c>
      <c r="I6" s="392">
        <f>'DCF Assumptions'!I4</f>
        <v>44651</v>
      </c>
      <c r="J6" s="392">
        <f>'DCF Assumptions'!J4</f>
        <v>45016</v>
      </c>
      <c r="K6" s="392">
        <f>'DCF Assumptions'!K4</f>
        <v>45382</v>
      </c>
      <c r="L6" s="392">
        <f>'DCF Assumptions'!L4</f>
        <v>45747</v>
      </c>
      <c r="M6" s="392">
        <f>'DCF Assumptions'!M4</f>
        <v>46112</v>
      </c>
      <c r="O6" s="381" t="s">
        <v>8991</v>
      </c>
      <c r="P6" s="381"/>
    </row>
    <row r="7" spans="2:18">
      <c r="R7" s="382"/>
    </row>
    <row r="8" spans="2:18">
      <c r="B8" s="393" t="s">
        <v>228</v>
      </c>
      <c r="C8" s="394"/>
      <c r="D8" s="400">
        <f>'DCF Assumptions'!D39</f>
        <v>5.923126482860179E-2</v>
      </c>
      <c r="E8" s="400">
        <f>'DCF Assumptions'!E39</f>
        <v>5.5716411852252748E-2</v>
      </c>
      <c r="F8" s="400">
        <f>'DCF Assumptions'!F39</f>
        <v>6.0822287941927726E-2</v>
      </c>
      <c r="G8" s="400">
        <f>'DCF Assumptions'!G39</f>
        <v>6.8774638007015013E-2</v>
      </c>
      <c r="H8" s="400">
        <f>'DCF Assumptions'!H39</f>
        <v>6.2699383909156761E-2</v>
      </c>
      <c r="I8" s="400">
        <f>'DCF Assumptions'!I39</f>
        <v>6.3846141963389239E-2</v>
      </c>
      <c r="J8" s="400">
        <f>'DCF Assumptions'!J39</f>
        <v>6.6171789731596015E-2</v>
      </c>
      <c r="K8" s="400">
        <f>'DCF Assumptions'!K39</f>
        <v>9.6404080445139526E-2</v>
      </c>
      <c r="L8" s="400">
        <f>'DCF Assumptions'!L39</f>
        <v>0.11277672032877045</v>
      </c>
      <c r="M8" s="400">
        <f>'DCF Assumptions'!M39</f>
        <v>7.8828062790048947E-2</v>
      </c>
      <c r="O8" s="385" t="s">
        <v>8992</v>
      </c>
      <c r="P8" s="385"/>
      <c r="Q8" s="385" t="s">
        <v>8996</v>
      </c>
      <c r="R8" s="383"/>
    </row>
    <row r="9" spans="2:18">
      <c r="B9" s="396" t="s">
        <v>9030</v>
      </c>
      <c r="C9" s="397"/>
      <c r="D9" s="397">
        <f t="shared" ref="D9" si="0">IF(D8&gt;0.15,$Q$62,IF(D8&gt;0.1,$Q$63,IF(D8&gt;0.07,$Q$64,IF(D8&gt;0.05,$Q$65,Q66))))</f>
        <v>4</v>
      </c>
      <c r="E9" s="397">
        <f t="shared" ref="E9" si="1">IF(E8&gt;0.15,$Q$62,IF(E8&gt;0.1,$Q$63,IF(E8&gt;0.07,$Q$64,IF(E8&gt;0.05,$Q$65,R66))))</f>
        <v>4</v>
      </c>
      <c r="F9" s="397">
        <f t="shared" ref="F9" si="2">IF(F8&gt;0.15,$Q$62,IF(F8&gt;0.1,$Q$63,IF(F8&gt;0.07,$Q$64,IF(F8&gt;0.05,$Q$65,S66))))</f>
        <v>4</v>
      </c>
      <c r="G9" s="397">
        <f t="shared" ref="G9" si="3">IF(G8&gt;0.15,$Q$62,IF(G8&gt;0.1,$Q$63,IF(G8&gt;0.07,$Q$64,IF(G8&gt;0.05,$Q$65,T66))))</f>
        <v>4</v>
      </c>
      <c r="H9" s="397">
        <f t="shared" ref="H9" si="4">IF(H8&gt;0.15,$Q$62,IF(H8&gt;0.1,$Q$63,IF(H8&gt;0.07,$Q$64,IF(H8&gt;0.05,$Q$65,U66))))</f>
        <v>4</v>
      </c>
      <c r="I9" s="397">
        <f t="shared" ref="I9" si="5">IF(I8&gt;0.15,$Q$62,IF(I8&gt;0.1,$Q$63,IF(I8&gt;0.07,$Q$64,IF(I8&gt;0.05,$Q$65,V66))))</f>
        <v>4</v>
      </c>
      <c r="J9" s="397">
        <f t="shared" ref="J9" si="6">IF(J8&gt;0.15,$Q$62,IF(J8&gt;0.1,$Q$63,IF(J8&gt;0.07,$Q$64,IF(J8&gt;0.05,$Q$65,W66))))</f>
        <v>4</v>
      </c>
      <c r="K9" s="397">
        <f t="shared" ref="K9" si="7">IF(K8&gt;0.15,$Q$62,IF(K8&gt;0.1,$Q$63,IF(K8&gt;0.07,$Q$64,IF(K8&gt;0.05,$Q$65,X66))))</f>
        <v>6</v>
      </c>
      <c r="L9" s="397">
        <f t="shared" ref="L9" si="8">IF(L8&gt;0.15,$Q$62,IF(L8&gt;0.1,$Q$63,IF(L8&gt;0.07,$Q$64,IF(L8&gt;0.05,$Q$65,Y66))))</f>
        <v>8</v>
      </c>
      <c r="M9" s="397">
        <f t="shared" ref="M9" si="9">IF(M8&gt;0.15,$Q$62,IF(M8&gt;0.1,$Q$63,IF(M8&gt;0.07,$Q$64,IF(M8&gt;0.05,$Q$65,Z66))))</f>
        <v>6</v>
      </c>
      <c r="O9" s="294"/>
      <c r="P9" s="294">
        <v>6</v>
      </c>
      <c r="Q9" s="386">
        <v>25</v>
      </c>
      <c r="R9" s="383"/>
    </row>
    <row r="10" spans="2:18">
      <c r="B10" s="20"/>
      <c r="O10" s="294">
        <v>4</v>
      </c>
      <c r="P10" s="294">
        <v>6</v>
      </c>
      <c r="Q10" s="386">
        <v>20</v>
      </c>
      <c r="R10" s="383"/>
    </row>
    <row r="11" spans="2:18">
      <c r="B11" s="393" t="s">
        <v>8991</v>
      </c>
      <c r="C11" s="394"/>
      <c r="D11" s="395">
        <f>'Historical Financial Statements'!C24/'Historical Financial Statements'!C30</f>
        <v>1.2294499786030142</v>
      </c>
      <c r="E11" s="395">
        <f>'Historical Financial Statements'!D24/'Historical Financial Statements'!D30</f>
        <v>1.09478184119017</v>
      </c>
      <c r="F11" s="395">
        <f>'Historical Financial Statements'!E24/'Historical Financial Statements'!E30</f>
        <v>1.0850287769784182</v>
      </c>
      <c r="G11" s="395">
        <f>'Historical Financial Statements'!F24/'Historical Financial Statements'!F30</f>
        <v>1.2155113903149501</v>
      </c>
      <c r="H11" s="395">
        <f>'Historical Financial Statements'!G24/'Historical Financial Statements'!G30</f>
        <v>1.1093160515560825</v>
      </c>
      <c r="I11" s="395">
        <f>'Historical Financial Statements'!H24/'Historical Financial Statements'!H30</f>
        <v>1.2240206062679133</v>
      </c>
      <c r="J11" s="395">
        <f>'Historical Financial Statements'!I24/'Historical Financial Statements'!I30</f>
        <v>1.1649537360035698</v>
      </c>
      <c r="K11" s="395">
        <f>'Historical Financial Statements'!J24/'Historical Financial Statements'!J30</f>
        <v>1.6346687616819415</v>
      </c>
      <c r="L11" s="395">
        <f>'Historical Financial Statements'!K24/'Historical Financial Statements'!K30</f>
        <v>2.2175679009195219</v>
      </c>
      <c r="M11" s="395">
        <f>'Historical Financial Statements'!L24/'Historical Financial Statements'!L30</f>
        <v>1.6894758968876447</v>
      </c>
      <c r="O11" s="294">
        <v>2</v>
      </c>
      <c r="P11" s="294">
        <v>4</v>
      </c>
      <c r="Q11" s="386">
        <v>15</v>
      </c>
      <c r="R11" s="383"/>
    </row>
    <row r="12" spans="2:18">
      <c r="B12" s="396" t="s">
        <v>9031</v>
      </c>
      <c r="C12" s="397"/>
      <c r="D12" s="397">
        <f>IF(D11&gt;$P$9,$Q$9,IF(D11&gt;$O$10,$Q$10,IF(D11&gt;$O$11,$Q$11,IF(D11&gt;$O$12,$Q$12,$Q$13))))</f>
        <v>10</v>
      </c>
      <c r="E12" s="397">
        <f t="shared" ref="E12:M12" si="10">IF(E11&gt;$P$9,$Q$9,IF(E11&gt;$O$10,$Q$10,IF(E11&gt;$O$11,$Q$11,IF(E11&gt;$O$12,$Q$12,$Q$13))))</f>
        <v>10</v>
      </c>
      <c r="F12" s="397">
        <f t="shared" si="10"/>
        <v>10</v>
      </c>
      <c r="G12" s="397">
        <f t="shared" si="10"/>
        <v>10</v>
      </c>
      <c r="H12" s="397">
        <f t="shared" si="10"/>
        <v>10</v>
      </c>
      <c r="I12" s="397">
        <f t="shared" si="10"/>
        <v>10</v>
      </c>
      <c r="J12" s="397">
        <f t="shared" si="10"/>
        <v>10</v>
      </c>
      <c r="K12" s="397">
        <f t="shared" si="10"/>
        <v>10</v>
      </c>
      <c r="L12" s="397">
        <f t="shared" si="10"/>
        <v>15</v>
      </c>
      <c r="M12" s="397">
        <f t="shared" si="10"/>
        <v>10</v>
      </c>
      <c r="O12" s="294">
        <v>1</v>
      </c>
      <c r="P12" s="294">
        <v>2</v>
      </c>
      <c r="Q12" s="386">
        <v>10</v>
      </c>
      <c r="R12" s="383"/>
    </row>
    <row r="13" spans="2:18">
      <c r="B13" s="20"/>
      <c r="O13" s="294"/>
      <c r="P13" s="294">
        <v>1</v>
      </c>
      <c r="Q13" s="386">
        <v>0</v>
      </c>
      <c r="R13" s="383"/>
    </row>
    <row r="14" spans="2:18">
      <c r="B14" s="393" t="s">
        <v>8993</v>
      </c>
      <c r="C14" s="394"/>
      <c r="D14" s="395">
        <f>(('Historical Financial Statements'!C61+'Historical Financial Statements'!C62)-'Historical Financial Statements'!C78)/'Historical Financial Statements'!C18</f>
        <v>8.1623073084902451</v>
      </c>
      <c r="E14" s="395">
        <f>(('Historical Financial Statements'!D61+'Historical Financial Statements'!D62)-'Historical Financial Statements'!D78)/'Historical Financial Statements'!D18</f>
        <v>7.6449103287815747</v>
      </c>
      <c r="F14" s="395">
        <f>(('Historical Financial Statements'!E61+'Historical Financial Statements'!E62)-'Historical Financial Statements'!E78)/'Historical Financial Statements'!E18</f>
        <v>7.2113563756739918</v>
      </c>
      <c r="G14" s="395">
        <f>(('Historical Financial Statements'!F61+'Historical Financial Statements'!F62)-'Historical Financial Statements'!F78)/'Historical Financial Statements'!F18</f>
        <v>6.4446239627260757</v>
      </c>
      <c r="H14" s="395">
        <f>(('Historical Financial Statements'!G61+'Historical Financial Statements'!G62)-'Historical Financial Statements'!G78)/'Historical Financial Statements'!G18</f>
        <v>6.0836311621370296</v>
      </c>
      <c r="I14" s="395">
        <f>(('Historical Financial Statements'!H61+'Historical Financial Statements'!H62)-'Historical Financial Statements'!H78)/'Historical Financial Statements'!H18</f>
        <v>6.135956929383152</v>
      </c>
      <c r="J14" s="395">
        <f>(('Historical Financial Statements'!I61+'Historical Financial Statements'!I62)-'Historical Financial Statements'!I78)/'Historical Financial Statements'!I18</f>
        <v>5.5242810277110648</v>
      </c>
      <c r="K14" s="395">
        <f>(('Historical Financial Statements'!J61+'Historical Financial Statements'!J62)-'Historical Financial Statements'!J78)/'Historical Financial Statements'!J18</f>
        <v>4.4465962157189809</v>
      </c>
      <c r="L14" s="395">
        <f>(('Historical Financial Statements'!K61+'Historical Financial Statements'!K62)-'Historical Financial Statements'!K78)/'Historical Financial Statements'!K18</f>
        <v>3.9794181304160112</v>
      </c>
      <c r="M14" s="395">
        <f>(('Historical Financial Statements'!L61+'Historical Financial Statements'!L62)-'Historical Financial Statements'!L78)/'Historical Financial Statements'!L18</f>
        <v>5.153841828004186</v>
      </c>
      <c r="O14" s="383"/>
      <c r="P14" s="383"/>
      <c r="Q14" s="383"/>
      <c r="R14" s="383"/>
    </row>
    <row r="15" spans="2:18">
      <c r="B15" s="396" t="s">
        <v>9028</v>
      </c>
      <c r="C15" s="397"/>
      <c r="D15" s="397">
        <f>IF(D14&lt;$P$19,$Q$19,IF(D14&lt;$P$20,$Q$20,IF(D14&lt;$P$21,$Q$21,IF(D14&lt;$P$22,$Q$22,IF(D14&lt;$P$23,$Q$23,0)))))</f>
        <v>0</v>
      </c>
      <c r="E15" s="397">
        <f t="shared" ref="E15:M15" si="11">IF(E14&lt;$P$19,$Q$19,IF(E14&lt;$P$20,$Q$20,IF(E14&lt;$P$21,$Q$21,IF(E14&lt;$P$22,$Q$22,IF(E14&lt;$P$23,$Q$23,0)))))</f>
        <v>0</v>
      </c>
      <c r="F15" s="397">
        <f t="shared" si="11"/>
        <v>0</v>
      </c>
      <c r="G15" s="397">
        <f t="shared" si="11"/>
        <v>0</v>
      </c>
      <c r="H15" s="397">
        <f t="shared" si="11"/>
        <v>0</v>
      </c>
      <c r="I15" s="397">
        <f t="shared" si="11"/>
        <v>0</v>
      </c>
      <c r="J15" s="397">
        <f t="shared" si="11"/>
        <v>0</v>
      </c>
      <c r="K15" s="397">
        <f>IF(K14&lt;$P$19,$Q$19,IF(K14&lt;$P$20,$Q$20,IF(K14&lt;$P$21,$Q$21,IF(K14&lt;$P$22,$Q$22,IF(K14&lt;$P$23,$Q$23,0)))))</f>
        <v>5</v>
      </c>
      <c r="L15" s="397">
        <f t="shared" si="11"/>
        <v>10</v>
      </c>
      <c r="M15" s="397">
        <f t="shared" si="11"/>
        <v>0</v>
      </c>
      <c r="O15" s="383"/>
      <c r="P15" s="383"/>
      <c r="Q15" s="383"/>
      <c r="R15" s="383"/>
    </row>
    <row r="16" spans="2:18">
      <c r="B16" s="20"/>
      <c r="O16" s="381" t="s">
        <v>8994</v>
      </c>
      <c r="P16" s="381"/>
      <c r="R16" s="383"/>
    </row>
    <row r="17" spans="2:18">
      <c r="B17" s="393" t="s">
        <v>9020</v>
      </c>
      <c r="C17" s="394"/>
      <c r="D17" s="399">
        <f>('Historical Financial Statements'!C39+'Historical Financial Statements'!C21)/SUM('Historical Financial Statements'!C61:C62)</f>
        <v>6.0279772709336252E-2</v>
      </c>
      <c r="E17" s="399">
        <f>('Historical Financial Statements'!D39+'Historical Financial Statements'!D21)/SUM('Historical Financial Statements'!D61:D62)</f>
        <v>9.7957078491818853E-2</v>
      </c>
      <c r="F17" s="399">
        <f>('Historical Financial Statements'!E39+'Historical Financial Statements'!E21)/SUM('Historical Financial Statements'!E61:E62)</f>
        <v>9.8647997947625035E-2</v>
      </c>
      <c r="G17" s="399">
        <f>('Historical Financial Statements'!F39+'Historical Financial Statements'!F21)/SUM('Historical Financial Statements'!F61:F62)</f>
        <v>7.2786909412545148E-2</v>
      </c>
      <c r="H17" s="399">
        <f>('Historical Financial Statements'!G39+'Historical Financial Statements'!G21)/SUM('Historical Financial Statements'!G61:G62)</f>
        <v>8.4287095799335091E-2</v>
      </c>
      <c r="I17" s="399">
        <f>('Historical Financial Statements'!H39+'Historical Financial Statements'!H21)/SUM('Historical Financial Statements'!H61:H62)</f>
        <v>9.6342046657661329E-2</v>
      </c>
      <c r="J17" s="399">
        <f>('Historical Financial Statements'!I39+'Historical Financial Statements'!I21)/SUM('Historical Financial Statements'!I61:I62)</f>
        <v>0.12425214261227298</v>
      </c>
      <c r="K17" s="399">
        <f>('Historical Financial Statements'!J39+'Historical Financial Statements'!J21)/SUM('Historical Financial Statements'!J61:J62)</f>
        <v>0.13519374518151048</v>
      </c>
      <c r="L17" s="399">
        <f>('Historical Financial Statements'!K39+'Historical Financial Statements'!K21)/SUM('Historical Financial Statements'!K61:K62)</f>
        <v>0.12770504516666423</v>
      </c>
      <c r="M17" s="399">
        <f>('Historical Financial Statements'!L39+'Historical Financial Statements'!L21)/SUM('Historical Financial Statements'!L61:L62)</f>
        <v>0.11790065548852897</v>
      </c>
      <c r="R17" s="383"/>
    </row>
    <row r="18" spans="2:18">
      <c r="B18" s="396" t="s">
        <v>9029</v>
      </c>
      <c r="C18" s="397"/>
      <c r="D18" s="397">
        <f>IF(D17&gt;$P$29,$Q$29,IF(D17&gt;$O$30,$Q$30,IF(D17&gt;$O$31,$Q$31,IF(D17&gt;$O$32,$Q$32,$Q$33))))</f>
        <v>0</v>
      </c>
      <c r="E18" s="397">
        <f t="shared" ref="E18:M18" si="12">IF(E17&gt;$P$29,$Q$29,IF(E17&gt;$O$30,$Q$30,IF(E17&gt;$O$31,$Q$31,IF(E17&gt;$O$32,$Q$32,$Q$33))))</f>
        <v>0</v>
      </c>
      <c r="F18" s="397">
        <f t="shared" si="12"/>
        <v>0</v>
      </c>
      <c r="G18" s="397">
        <f t="shared" si="12"/>
        <v>0</v>
      </c>
      <c r="H18" s="397">
        <f t="shared" si="12"/>
        <v>0</v>
      </c>
      <c r="I18" s="397">
        <f t="shared" si="12"/>
        <v>0</v>
      </c>
      <c r="J18" s="397">
        <f t="shared" si="12"/>
        <v>6</v>
      </c>
      <c r="K18" s="397">
        <f t="shared" si="12"/>
        <v>6</v>
      </c>
      <c r="L18" s="397">
        <f t="shared" si="12"/>
        <v>6</v>
      </c>
      <c r="M18" s="397">
        <f t="shared" si="12"/>
        <v>6</v>
      </c>
      <c r="O18" s="385" t="s">
        <v>8992</v>
      </c>
      <c r="P18" s="385"/>
      <c r="Q18" s="385" t="s">
        <v>8996</v>
      </c>
      <c r="R18" s="383"/>
    </row>
    <row r="19" spans="2:18">
      <c r="B19" s="20"/>
      <c r="P19">
        <v>2</v>
      </c>
      <c r="Q19" s="386">
        <v>20</v>
      </c>
      <c r="R19" s="383"/>
    </row>
    <row r="20" spans="2:18">
      <c r="B20" s="393" t="s">
        <v>8997</v>
      </c>
      <c r="C20" s="394"/>
      <c r="D20" s="399">
        <f>'Historical Financial Statements'!C104/SUM('Historical Financial Statements'!C61:C62)</f>
        <v>0.13838686765054062</v>
      </c>
      <c r="E20" s="399">
        <f>'Historical Financial Statements'!D104/SUM('Historical Financial Statements'!D61:D62)</f>
        <v>0.12576080942218007</v>
      </c>
      <c r="F20" s="399">
        <f>'Historical Financial Statements'!E104/SUM('Historical Financial Statements'!E61:E62)</f>
        <v>9.026503266039114E-2</v>
      </c>
      <c r="G20" s="399">
        <f>'Historical Financial Statements'!F104/SUM('Historical Financial Statements'!F61:F62)</f>
        <v>0.13589960934620771</v>
      </c>
      <c r="H20" s="399">
        <f>'Historical Financial Statements'!G104/SUM('Historical Financial Statements'!G61:G62)</f>
        <v>0.16812732950538933</v>
      </c>
      <c r="I20" s="399">
        <f>'Historical Financial Statements'!H104/SUM('Historical Financial Statements'!H61:H62)</f>
        <v>0.12217516702566536</v>
      </c>
      <c r="J20" s="399">
        <f>'Historical Financial Statements'!I104/SUM('Historical Financial Statements'!I61:I62)</f>
        <v>0.1228316763798423</v>
      </c>
      <c r="K20" s="399">
        <f>'Historical Financial Statements'!J104/SUM('Historical Financial Statements'!J61:J62)</f>
        <v>0.20956658733617137</v>
      </c>
      <c r="L20" s="399">
        <f>'Historical Financial Statements'!K104/SUM('Historical Financial Statements'!K61:K62)</f>
        <v>0.18210279904065718</v>
      </c>
      <c r="M20" s="399">
        <f>'Historical Financial Statements'!L104/SUM('Historical Financial Statements'!L61:L62)</f>
        <v>7.1165629601481969E-2</v>
      </c>
      <c r="O20">
        <v>2</v>
      </c>
      <c r="P20">
        <v>3</v>
      </c>
      <c r="Q20" s="386">
        <v>15</v>
      </c>
      <c r="R20" s="383"/>
    </row>
    <row r="21" spans="2:18">
      <c r="B21" s="396" t="s">
        <v>9030</v>
      </c>
      <c r="C21" s="397"/>
      <c r="D21" s="397">
        <f>IF(D20&gt;$P$40,$Q$40,IF(D20&gt;$O$41,$Q$41,IF(D20&gt;$O$42,$Q$42,IF(D20&gt;$O$43,$Q$43,$Q$44))))</f>
        <v>6</v>
      </c>
      <c r="E21" s="397">
        <f t="shared" ref="E21:M21" si="13">IF(E20&gt;$P$40,$Q$40,IF(E20&gt;$O$41,$Q$41,IF(E20&gt;$O$42,$Q$42,IF(E20&gt;$O$43,$Q$43,$Q$44))))</f>
        <v>6</v>
      </c>
      <c r="F21" s="397">
        <f t="shared" si="13"/>
        <v>3</v>
      </c>
      <c r="G21" s="397">
        <f t="shared" si="13"/>
        <v>6</v>
      </c>
      <c r="H21" s="397">
        <f t="shared" si="13"/>
        <v>8</v>
      </c>
      <c r="I21" s="397">
        <f t="shared" si="13"/>
        <v>6</v>
      </c>
      <c r="J21" s="397">
        <f t="shared" si="13"/>
        <v>6</v>
      </c>
      <c r="K21" s="397">
        <f t="shared" si="13"/>
        <v>8</v>
      </c>
      <c r="L21" s="397">
        <f t="shared" si="13"/>
        <v>8</v>
      </c>
      <c r="M21" s="397">
        <f t="shared" si="13"/>
        <v>3</v>
      </c>
      <c r="O21">
        <v>3</v>
      </c>
      <c r="P21">
        <v>4</v>
      </c>
      <c r="Q21" s="386">
        <v>10</v>
      </c>
      <c r="R21" s="383"/>
    </row>
    <row r="22" spans="2:18">
      <c r="B22" s="20"/>
      <c r="O22">
        <v>4</v>
      </c>
      <c r="P22">
        <v>5</v>
      </c>
      <c r="Q22" s="386">
        <v>5</v>
      </c>
    </row>
    <row r="23" spans="2:18">
      <c r="B23" s="393" t="s">
        <v>8998</v>
      </c>
      <c r="C23" s="394"/>
      <c r="D23" s="395">
        <f>'Historical Financial Statements'!C79/'Historical Financial Statements'!C69</f>
        <v>1.1717817336643601</v>
      </c>
      <c r="E23" s="395">
        <f>'Historical Financial Statements'!D79/'Historical Financial Statements'!D69</f>
        <v>1.5553167192852824</v>
      </c>
      <c r="F23" s="395">
        <f>'Historical Financial Statements'!E79/'Historical Financial Statements'!E69</f>
        <v>1.5667439549519708</v>
      </c>
      <c r="G23" s="395">
        <f>'Historical Financial Statements'!F79/'Historical Financial Statements'!F69</f>
        <v>1.6327419660332092</v>
      </c>
      <c r="H23" s="395">
        <f>'Historical Financial Statements'!G79/'Historical Financial Statements'!G69</f>
        <v>1.1258568378469491</v>
      </c>
      <c r="I23" s="395">
        <f>'Historical Financial Statements'!H79/'Historical Financial Statements'!H69</f>
        <v>1.0294392391088969</v>
      </c>
      <c r="J23" s="395">
        <f>'Historical Financial Statements'!I79/'Historical Financial Statements'!I69</f>
        <v>1.0814030120334888</v>
      </c>
      <c r="K23" s="395">
        <f>'Historical Financial Statements'!J79/'Historical Financial Statements'!J69</f>
        <v>0.93487412825310423</v>
      </c>
      <c r="L23" s="395">
        <f>'Historical Financial Statements'!K79/'Historical Financial Statements'!K69</f>
        <v>0.96259931783679342</v>
      </c>
      <c r="M23" s="395">
        <f>'Historical Financial Statements'!L79/'Historical Financial Statements'!L69</f>
        <v>1.1025469695778634</v>
      </c>
      <c r="P23">
        <v>5</v>
      </c>
      <c r="Q23" s="386">
        <v>0</v>
      </c>
    </row>
    <row r="24" spans="2:18">
      <c r="B24" s="396" t="s">
        <v>9027</v>
      </c>
      <c r="C24" s="397"/>
      <c r="D24" s="397">
        <f>IF(D23&gt;$P$52,$Q$52,IF(D23&gt;$O$53,$Q$53,IF(D23&gt;$O$54,$Q$54,IF(D23&gt;$O$55,$Q$55,$Q$56))))</f>
        <v>2</v>
      </c>
      <c r="E24" s="397">
        <f t="shared" ref="E24:M24" si="14">IF(E23&gt;$P$52,$Q$52,IF(E23&gt;$O$53,$Q$53,IF(E23&gt;$O$54,$Q$54,IF(E23&gt;$O$55,$Q$55,$Q$56))))</f>
        <v>4</v>
      </c>
      <c r="F24" s="397">
        <f t="shared" si="14"/>
        <v>4</v>
      </c>
      <c r="G24" s="397">
        <f t="shared" si="14"/>
        <v>4</v>
      </c>
      <c r="H24" s="397">
        <f t="shared" si="14"/>
        <v>2</v>
      </c>
      <c r="I24" s="397">
        <f t="shared" si="14"/>
        <v>2</v>
      </c>
      <c r="J24" s="397">
        <f t="shared" si="14"/>
        <v>2</v>
      </c>
      <c r="K24" s="397">
        <f t="shared" si="14"/>
        <v>0</v>
      </c>
      <c r="L24" s="397">
        <f t="shared" si="14"/>
        <v>0</v>
      </c>
      <c r="M24" s="397">
        <f t="shared" si="14"/>
        <v>2</v>
      </c>
    </row>
    <row r="25" spans="2:18">
      <c r="B25" s="20"/>
    </row>
    <row r="26" spans="2:18">
      <c r="B26" s="393" t="s">
        <v>9000</v>
      </c>
      <c r="C26" s="394"/>
      <c r="D26" s="398">
        <f>'Altman Z-Score (Credit Risk)'!C55</f>
        <v>0.85818581749564993</v>
      </c>
      <c r="E26" s="398">
        <f>'Altman Z-Score (Credit Risk)'!D55</f>
        <v>0.91748538800341606</v>
      </c>
      <c r="F26" s="398">
        <f>'Altman Z-Score (Credit Risk)'!E55</f>
        <v>0.93972035793580266</v>
      </c>
      <c r="G26" s="398">
        <f>'Altman Z-Score (Credit Risk)'!F55</f>
        <v>0.77675175466425483</v>
      </c>
      <c r="H26" s="398">
        <f>'Altman Z-Score (Credit Risk)'!G55</f>
        <v>0.95858471944496371</v>
      </c>
      <c r="I26" s="398">
        <f>'Altman Z-Score (Credit Risk)'!H55</f>
        <v>1.4440339885902036</v>
      </c>
      <c r="J26" s="398">
        <f>'Altman Z-Score (Credit Risk)'!I55</f>
        <v>1.3168672743616565</v>
      </c>
      <c r="K26" s="398">
        <f>'Altman Z-Score (Credit Risk)'!J55</f>
        <v>2.0402598729345325</v>
      </c>
      <c r="L26" s="398">
        <f>'Altman Z-Score (Credit Risk)'!K55</f>
        <v>1.8067539781609077</v>
      </c>
      <c r="M26" s="398">
        <f>'Altman Z-Score (Credit Risk)'!L55</f>
        <v>1.5501964240886048</v>
      </c>
      <c r="O26" s="381" t="s">
        <v>8999</v>
      </c>
      <c r="P26" s="381"/>
    </row>
    <row r="27" spans="2:18">
      <c r="B27" s="396" t="s">
        <v>9027</v>
      </c>
      <c r="C27" s="397"/>
      <c r="D27" s="397">
        <f>IF(D26&gt;$P$72,$Q$72,IF(D26&gt;$O$73,$Q$73,IF(D26&gt;$O$74,$Q$74,IF(D26&gt;$O$75,$Q$75,$Q$76))))</f>
        <v>0</v>
      </c>
      <c r="E27" s="397">
        <f t="shared" ref="E27:M27" si="15">IF(E26&gt;$P$72,$Q$72,IF(E26&gt;$O$73,$Q$73,IF(E26&gt;$O$74,$Q$74,IF(E26&gt;$O$75,$Q$75,$Q$76))))</f>
        <v>0</v>
      </c>
      <c r="F27" s="397">
        <f t="shared" si="15"/>
        <v>0</v>
      </c>
      <c r="G27" s="397">
        <f t="shared" si="15"/>
        <v>0</v>
      </c>
      <c r="H27" s="397">
        <f t="shared" si="15"/>
        <v>0</v>
      </c>
      <c r="I27" s="397">
        <f t="shared" si="15"/>
        <v>2</v>
      </c>
      <c r="J27" s="397">
        <f t="shared" si="15"/>
        <v>2</v>
      </c>
      <c r="K27" s="397">
        <f t="shared" si="15"/>
        <v>4</v>
      </c>
      <c r="L27" s="397">
        <f t="shared" si="15"/>
        <v>3</v>
      </c>
      <c r="M27" s="397">
        <f t="shared" si="15"/>
        <v>2</v>
      </c>
    </row>
    <row r="28" spans="2:18">
      <c r="B28" s="20"/>
      <c r="D28" s="127"/>
      <c r="E28" s="127"/>
      <c r="F28" s="127"/>
      <c r="G28" s="127"/>
      <c r="H28" s="127"/>
      <c r="I28" s="127"/>
      <c r="J28" s="127"/>
      <c r="K28" s="127"/>
      <c r="L28" s="127"/>
      <c r="M28" s="127"/>
      <c r="O28" s="385" t="s">
        <v>8995</v>
      </c>
      <c r="P28" s="385"/>
      <c r="Q28" s="385" t="s">
        <v>8996</v>
      </c>
    </row>
    <row r="29" spans="2:18">
      <c r="B29" s="393" t="s">
        <v>9021</v>
      </c>
      <c r="C29" s="394"/>
      <c r="D29" s="399">
        <f>SUM('Historical Financial Statements'!C61:C62)/('Altman Z-Score (Credit Risk)'!C43+SUM('Historical Financial Statements'!C61:C62))</f>
        <v>0.67457014559404305</v>
      </c>
      <c r="E29" s="399">
        <f>SUM('Historical Financial Statements'!D61:D62)/('Altman Z-Score (Credit Risk)'!D43+SUM('Historical Financial Statements'!D61:D62))</f>
        <v>0.70298209314128191</v>
      </c>
      <c r="F29" s="399">
        <f>SUM('Historical Financial Statements'!E61:E62)/('Altman Z-Score (Credit Risk)'!E43+SUM('Historical Financial Statements'!E61:E62))</f>
        <v>0.71727623597533952</v>
      </c>
      <c r="G29" s="399">
        <f>SUM('Historical Financial Statements'!F61:F62)/('Altman Z-Score (Credit Risk)'!F43+SUM('Historical Financial Statements'!F61:F62))</f>
        <v>0.85923361903054074</v>
      </c>
      <c r="H29" s="399">
        <f>SUM('Historical Financial Statements'!G61:G62)/('Altman Z-Score (Credit Risk)'!G43+SUM('Historical Financial Statements'!G61:G62))</f>
        <v>0.60058849453876806</v>
      </c>
      <c r="I29" s="399">
        <f>SUM('Historical Financial Statements'!H61:H62)/('Altman Z-Score (Credit Risk)'!H43+SUM('Historical Financial Statements'!H61:H62))</f>
        <v>0.41793368875612991</v>
      </c>
      <c r="J29" s="399">
        <f>SUM('Historical Financial Statements'!I61:I62)/('Altman Z-Score (Credit Risk)'!I43+SUM('Historical Financial Statements'!I61:I62))</f>
        <v>0.48958244302526688</v>
      </c>
      <c r="K29" s="399">
        <f>SUM('Historical Financial Statements'!J61:J62)/('Altman Z-Score (Credit Risk)'!J43+SUM('Historical Financial Statements'!J61:J62))</f>
        <v>0.32131802560956735</v>
      </c>
      <c r="L29" s="399">
        <f>SUM('Historical Financial Statements'!K61:K62)/('Altman Z-Score (Credit Risk)'!K43+SUM('Historical Financial Statements'!K61:K62))</f>
        <v>0.36716288692250437</v>
      </c>
      <c r="M29" s="399">
        <f>SUM('Historical Financial Statements'!L61:L62)/('Altman Z-Score (Credit Risk)'!L43+SUM('Historical Financial Statements'!L61:L62))</f>
        <v>0.41019382966744061</v>
      </c>
      <c r="P29" s="384">
        <v>0.3</v>
      </c>
      <c r="Q29" s="386">
        <v>15</v>
      </c>
    </row>
    <row r="30" spans="2:18">
      <c r="B30" s="396" t="s">
        <v>9027</v>
      </c>
      <c r="C30" s="397"/>
      <c r="D30" s="397">
        <f>IF(D29&lt;$P$83,$Q$83,IF(D29&lt;$P$84,$Q$84,IF(D29&lt;$P$85,$Q$85,IF(D29&lt;$P$86,$Q$86,IF(D29&gt;$P$87,$Q$87)))))</f>
        <v>1</v>
      </c>
      <c r="E30" s="397">
        <f t="shared" ref="E30:M30" si="16">IF(E29&lt;$P$83,$Q$83,IF(E29&lt;$P$84,$Q$84,IF(E29&lt;$P$85,$Q$85,IF(E29&lt;$P$86,$Q$86,IF(E29&gt;$P$87,$Q$87)))))</f>
        <v>1</v>
      </c>
      <c r="F30" s="397">
        <f t="shared" si="16"/>
        <v>1</v>
      </c>
      <c r="G30" s="397">
        <f t="shared" si="16"/>
        <v>1</v>
      </c>
      <c r="H30" s="397">
        <f t="shared" si="16"/>
        <v>2</v>
      </c>
      <c r="I30" s="397">
        <f t="shared" si="16"/>
        <v>4</v>
      </c>
      <c r="J30" s="397">
        <f t="shared" si="16"/>
        <v>3</v>
      </c>
      <c r="K30" s="397">
        <f t="shared" si="16"/>
        <v>5</v>
      </c>
      <c r="L30" s="397">
        <f t="shared" si="16"/>
        <v>4</v>
      </c>
      <c r="M30" s="397">
        <f t="shared" si="16"/>
        <v>4</v>
      </c>
      <c r="O30" s="384">
        <v>0.2</v>
      </c>
      <c r="P30" s="384">
        <v>0.3</v>
      </c>
      <c r="Q30" s="386">
        <v>12</v>
      </c>
    </row>
    <row r="31" spans="2:18">
      <c r="B31" s="389"/>
      <c r="O31" s="384">
        <v>0.15</v>
      </c>
      <c r="P31" s="384">
        <v>0.2</v>
      </c>
      <c r="Q31" s="386">
        <v>9</v>
      </c>
    </row>
    <row r="32" spans="2:18">
      <c r="B32" s="393" t="s">
        <v>9026</v>
      </c>
      <c r="C32" s="394"/>
      <c r="D32" s="400">
        <f>'Historical Financial Statements'!C52</f>
        <v>0.31978938370179111</v>
      </c>
      <c r="E32" s="400">
        <f>'Historical Financial Statements'!D52</f>
        <v>0.13468793687879418</v>
      </c>
      <c r="F32" s="400">
        <f>'Historical Financial Statements'!E52</f>
        <v>0.13495621071052999</v>
      </c>
      <c r="G32" s="400">
        <f>'Historical Financial Statements'!F52</f>
        <v>0.31849533590592805</v>
      </c>
      <c r="H32" s="400">
        <f>'Historical Financial Statements'!G52</f>
        <v>0.34429499878358244</v>
      </c>
      <c r="I32" s="400">
        <f>'Historical Financial Statements'!H52</f>
        <v>0.25943004532359709</v>
      </c>
      <c r="J32" s="400">
        <f>'Historical Financial Statements'!I52</f>
        <v>0.1677625621116787</v>
      </c>
      <c r="K32" s="400">
        <f>'Historical Financial Statements'!J52</f>
        <v>0.1493236139342537</v>
      </c>
      <c r="L32" s="400">
        <f>'Historical Financial Statements'!K52</f>
        <v>0.15056634355034282</v>
      </c>
      <c r="M32" s="400">
        <f>'Historical Financial Statements'!L52</f>
        <v>0.15610955220847436</v>
      </c>
      <c r="O32" s="384">
        <v>0.1</v>
      </c>
      <c r="P32" s="384">
        <v>0.15</v>
      </c>
      <c r="Q32" s="386">
        <v>6</v>
      </c>
    </row>
    <row r="33" spans="1:17">
      <c r="B33" s="396" t="s">
        <v>9027</v>
      </c>
      <c r="C33" s="397"/>
      <c r="D33" s="397">
        <f>IF(D32&lt;$P$93,$Q$93,IF(D32&lt;$P$94,$Q$94,IF(D32&lt;$P$95,$Q$95,IF(D32&lt;$P$96,$Q$96,IF(D32&gt;$P$97,$Q$97)))))</f>
        <v>2</v>
      </c>
      <c r="E33" s="397">
        <f t="shared" ref="E33:M33" si="17">IF(E32&lt;$P$93,$Q$93,IF(E32&lt;$P$94,$Q$94,IF(E32&lt;$P$95,$Q$95,IF(E32&lt;$P$96,$Q$96,IF(E32&gt;$P$97,$Q$97)))))</f>
        <v>5</v>
      </c>
      <c r="F33" s="397">
        <f t="shared" si="17"/>
        <v>5</v>
      </c>
      <c r="G33" s="397">
        <f t="shared" si="17"/>
        <v>2</v>
      </c>
      <c r="H33" s="397">
        <f t="shared" si="17"/>
        <v>2</v>
      </c>
      <c r="I33" s="397">
        <f t="shared" si="17"/>
        <v>3</v>
      </c>
      <c r="J33" s="397">
        <f t="shared" si="17"/>
        <v>4</v>
      </c>
      <c r="K33" s="397">
        <f t="shared" si="17"/>
        <v>5</v>
      </c>
      <c r="L33" s="397">
        <f t="shared" si="17"/>
        <v>5</v>
      </c>
      <c r="M33" s="397">
        <f t="shared" si="17"/>
        <v>5</v>
      </c>
      <c r="P33" s="384">
        <v>0.1</v>
      </c>
      <c r="Q33" s="386">
        <v>0</v>
      </c>
    </row>
    <row r="34" spans="1:17">
      <c r="B34" s="389"/>
    </row>
    <row r="35" spans="1:17">
      <c r="B35" s="140"/>
      <c r="C35" s="140"/>
      <c r="D35" s="140"/>
      <c r="E35" s="140"/>
      <c r="F35" s="140"/>
      <c r="G35" s="140"/>
      <c r="H35" s="140"/>
      <c r="I35" s="140"/>
      <c r="J35" s="140"/>
      <c r="K35" s="140"/>
      <c r="L35" s="140"/>
      <c r="M35" s="140"/>
    </row>
    <row r="36" spans="1:17">
      <c r="O36" s="381" t="s">
        <v>9002</v>
      </c>
      <c r="P36" s="381"/>
    </row>
    <row r="37" spans="1:17">
      <c r="B37" s="2" t="s">
        <v>9024</v>
      </c>
      <c r="C37" s="2"/>
      <c r="D37" s="2">
        <f>D9+D12+D15+D18+D21+D27+D24+D30+D33</f>
        <v>25</v>
      </c>
      <c r="E37" s="2">
        <f t="shared" ref="E37:M37" si="18">E9+E12+E15+E18+E21+E27+E24+E30+E33</f>
        <v>30</v>
      </c>
      <c r="F37" s="2">
        <f t="shared" si="18"/>
        <v>27</v>
      </c>
      <c r="G37" s="2">
        <f t="shared" si="18"/>
        <v>27</v>
      </c>
      <c r="H37" s="2">
        <f t="shared" si="18"/>
        <v>28</v>
      </c>
      <c r="I37" s="2">
        <f t="shared" si="18"/>
        <v>31</v>
      </c>
      <c r="J37" s="2">
        <f t="shared" si="18"/>
        <v>37</v>
      </c>
      <c r="K37" s="2">
        <f t="shared" si="18"/>
        <v>49</v>
      </c>
      <c r="L37" s="2">
        <f t="shared" si="18"/>
        <v>59</v>
      </c>
      <c r="M37" s="2">
        <f t="shared" si="18"/>
        <v>38</v>
      </c>
    </row>
    <row r="38" spans="1:17">
      <c r="A38" t="s">
        <v>235</v>
      </c>
      <c r="B38" s="406" t="s">
        <v>9046</v>
      </c>
      <c r="C38" s="2"/>
      <c r="D38" s="2"/>
      <c r="E38" s="2"/>
      <c r="F38" s="2"/>
      <c r="G38" s="2"/>
      <c r="H38" s="2"/>
      <c r="I38" s="2"/>
      <c r="J38" s="2"/>
      <c r="K38" s="2"/>
      <c r="L38" s="2"/>
      <c r="M38" s="2"/>
    </row>
    <row r="39" spans="1:17">
      <c r="O39" s="385" t="s">
        <v>9003</v>
      </c>
      <c r="P39" s="385"/>
      <c r="Q39" s="385" t="s">
        <v>8996</v>
      </c>
    </row>
    <row r="40" spans="1:17">
      <c r="B40" s="401" t="s">
        <v>9001</v>
      </c>
      <c r="C40" s="402"/>
      <c r="D40" s="403" t="str" cm="1">
        <f t="array" ref="D40">_xlfn.IFS(D37&gt;$O$126,$P$126,D37&gt;$O$127,$P$127,D37&gt;$O$128,$P$128,D37&gt;$O$129,$P$129,D37&gt;$O$130,$P$130,D37&gt;$O$131,$P$131,D37&lt;$O$131,$P$132)</f>
        <v>High Risk</v>
      </c>
      <c r="E40" s="403" t="str" cm="1">
        <f t="array" ref="E40">_xlfn.IFS(E37&gt;$O$126,$P$126,E37&gt;$O$127,$P$127,E37&gt;$O$128,$P$128,E37&gt;$O$129,$P$129,E37&gt;$O$130,$P$130,E37&gt;$O$131,$P$131,E37&lt;$O$131,$P$132)</f>
        <v>High Risk</v>
      </c>
      <c r="F40" s="403" t="str" cm="1">
        <f t="array" ref="F40">_xlfn.IFS(F37&gt;$O$126,$P$126,F37&gt;$O$127,$P$127,F37&gt;$O$128,$P$128,F37&gt;$O$129,$P$129,F37&gt;$O$130,$P$130,F37&gt;$O$131,$P$131,F37&lt;$O$131,$P$132)</f>
        <v>High Risk</v>
      </c>
      <c r="G40" s="403" t="str" cm="1">
        <f t="array" ref="G40">_xlfn.IFS(G37&gt;$O$126,$P$126,G37&gt;$O$127,$P$127,G37&gt;$O$128,$P$128,G37&gt;$O$129,$P$129,G37&gt;$O$130,$P$130,G37&gt;$O$131,$P$131,G37&lt;$O$131,$P$132)</f>
        <v>High Risk</v>
      </c>
      <c r="H40" s="403" t="str" cm="1">
        <f t="array" ref="H40">_xlfn.IFS(H37&gt;$O$126,$P$126,H37&gt;$O$127,$P$127,H37&gt;$O$128,$P$128,H37&gt;$O$129,$P$129,H37&gt;$O$130,$P$130,H37&gt;$O$131,$P$131,H37&lt;$O$131,$P$132)</f>
        <v>High Risk</v>
      </c>
      <c r="I40" s="403" t="str" cm="1">
        <f t="array" ref="I40">_xlfn.IFS(I37&gt;$O$126,$P$126,I37&gt;$O$127,$P$127,I37&gt;$O$128,$P$128,I37&gt;$O$129,$P$129,I37&gt;$O$130,$P$130,I37&gt;$O$131,$P$131,I37&lt;$O$131,$P$132)</f>
        <v>High Risk</v>
      </c>
      <c r="J40" s="403" t="str" cm="1">
        <f t="array" ref="J40">_xlfn.IFS(J37&gt;$O$126,$P$126,J37&gt;$O$127,$P$127,J37&gt;$O$128,$P$128,J37&gt;$O$129,$P$129,J37&gt;$O$130,$P$130,J37&gt;$O$131,$P$131,J37&lt;$O$131,$P$132)</f>
        <v>High Risk</v>
      </c>
      <c r="K40" s="403" t="str" cm="1">
        <f t="array" ref="K40">_xlfn.IFS(K37&gt;$O$126,$P$126,K37&gt;$O$127,$P$127,K37&gt;$O$128,$P$128,K37&gt;$O$129,$P$129,K37&gt;$O$130,$P$130,K37&gt;$O$131,$P$131,K37&lt;$O$131,$P$132)</f>
        <v>Weak</v>
      </c>
      <c r="L40" s="403" t="str" cm="1">
        <f t="array" ref="L40">_xlfn.IFS(L37&gt;$O$126,$P$126,L37&gt;$O$127,$P$127,L37&gt;$O$128,$P$128,L37&gt;$O$129,$P$129,L37&gt;$O$130,$P$130,L37&gt;$O$131,$P$131,L37&lt;$O$131,$P$132)</f>
        <v>Moderate</v>
      </c>
      <c r="M40" s="403" t="str" cm="1">
        <f t="array" ref="M40">_xlfn.IFS(M37&gt;$O$126,$P$126,M37&gt;$O$127,$P$127,M37&gt;$O$128,$P$128,M37&gt;$O$129,$P$129,M37&gt;$O$130,$P$130,M37&gt;$O$131,$P$131,M37&lt;$O$131,$P$132)</f>
        <v>High Risk</v>
      </c>
      <c r="P40" s="384">
        <v>0.25</v>
      </c>
      <c r="Q40" s="386">
        <v>10</v>
      </c>
    </row>
    <row r="41" spans="1:17">
      <c r="B41" s="2"/>
      <c r="C41" s="2"/>
      <c r="D41" s="2"/>
      <c r="E41" s="2"/>
      <c r="F41" s="2"/>
      <c r="G41" s="2"/>
      <c r="H41" s="2"/>
      <c r="I41" s="2"/>
      <c r="J41" s="2"/>
      <c r="K41" s="2"/>
      <c r="L41" s="2"/>
      <c r="M41" s="2"/>
      <c r="O41" s="384">
        <v>0.15</v>
      </c>
      <c r="P41" s="384">
        <v>0.25</v>
      </c>
      <c r="Q41" s="386">
        <v>8</v>
      </c>
    </row>
    <row r="42" spans="1:17" ht="15.75" thickBot="1">
      <c r="B42" s="404" t="s">
        <v>9045</v>
      </c>
      <c r="C42" s="404"/>
      <c r="D42" s="405" t="s">
        <v>9043</v>
      </c>
      <c r="E42" s="405" t="s">
        <v>9043</v>
      </c>
      <c r="F42" s="405" t="s">
        <v>9043</v>
      </c>
      <c r="G42" s="405" t="s">
        <v>9044</v>
      </c>
      <c r="H42" s="405" t="s">
        <v>9044</v>
      </c>
      <c r="I42" s="405" t="s">
        <v>9044</v>
      </c>
      <c r="J42" s="405" t="s">
        <v>9044</v>
      </c>
      <c r="K42" s="405" t="s">
        <v>9010</v>
      </c>
      <c r="L42" s="405" t="s">
        <v>9010</v>
      </c>
      <c r="M42" s="405" t="s">
        <v>9010</v>
      </c>
      <c r="O42" s="384">
        <v>0.1</v>
      </c>
      <c r="P42" s="384">
        <v>0.15</v>
      </c>
      <c r="Q42" s="386">
        <v>6</v>
      </c>
    </row>
    <row r="43" spans="1:17" ht="4.5" customHeight="1" thickTop="1">
      <c r="B43" s="283"/>
      <c r="O43" s="384">
        <v>0.05</v>
      </c>
      <c r="P43" s="384">
        <v>0.1</v>
      </c>
      <c r="Q43" s="386">
        <v>3</v>
      </c>
    </row>
    <row r="44" spans="1:17">
      <c r="B44" s="2" t="s">
        <v>8932</v>
      </c>
      <c r="P44" s="384">
        <v>0.05</v>
      </c>
      <c r="Q44" s="386">
        <v>0</v>
      </c>
    </row>
    <row r="49" spans="15:17">
      <c r="O49" s="381" t="s">
        <v>9004</v>
      </c>
      <c r="P49" s="381"/>
    </row>
    <row r="51" spans="15:17">
      <c r="O51" s="385" t="s">
        <v>8998</v>
      </c>
      <c r="P51" s="385"/>
      <c r="Q51" s="385" t="s">
        <v>8996</v>
      </c>
    </row>
    <row r="52" spans="15:17">
      <c r="P52">
        <v>2</v>
      </c>
      <c r="Q52" s="386">
        <v>5</v>
      </c>
    </row>
    <row r="53" spans="15:17">
      <c r="O53">
        <v>1.5</v>
      </c>
      <c r="P53">
        <v>2</v>
      </c>
      <c r="Q53" s="386">
        <v>4</v>
      </c>
    </row>
    <row r="54" spans="15:17">
      <c r="O54">
        <v>1.2</v>
      </c>
      <c r="P54">
        <v>1.5</v>
      </c>
      <c r="Q54" s="386">
        <v>3</v>
      </c>
    </row>
    <row r="55" spans="15:17">
      <c r="O55">
        <v>1</v>
      </c>
      <c r="P55">
        <v>1.2</v>
      </c>
      <c r="Q55" s="386">
        <v>2</v>
      </c>
    </row>
    <row r="56" spans="15:17">
      <c r="P56">
        <v>1</v>
      </c>
      <c r="Q56" s="386">
        <v>0</v>
      </c>
    </row>
    <row r="59" spans="15:17">
      <c r="O59" s="381" t="s">
        <v>9005</v>
      </c>
      <c r="P59" s="381"/>
    </row>
    <row r="61" spans="15:17">
      <c r="O61" s="385" t="s">
        <v>228</v>
      </c>
      <c r="P61" s="385"/>
      <c r="Q61" s="385" t="s">
        <v>8996</v>
      </c>
    </row>
    <row r="62" spans="15:17">
      <c r="O62" s="126"/>
      <c r="P62" s="126">
        <v>0.15</v>
      </c>
      <c r="Q62" s="386">
        <v>10</v>
      </c>
    </row>
    <row r="63" spans="15:17">
      <c r="O63" s="126">
        <v>0.1</v>
      </c>
      <c r="P63" s="126">
        <v>0.15</v>
      </c>
      <c r="Q63" s="386">
        <v>8</v>
      </c>
    </row>
    <row r="64" spans="15:17">
      <c r="O64" s="126">
        <v>7.0000000000000007E-2</v>
      </c>
      <c r="P64" s="126">
        <v>0.1</v>
      </c>
      <c r="Q64" s="386">
        <v>6</v>
      </c>
    </row>
    <row r="65" spans="15:17">
      <c r="O65" s="126">
        <v>0.05</v>
      </c>
      <c r="P65" s="126">
        <v>7.0000000000000007E-2</v>
      </c>
      <c r="Q65" s="386">
        <v>4</v>
      </c>
    </row>
    <row r="66" spans="15:17">
      <c r="O66" s="126"/>
      <c r="P66" s="126">
        <v>0.05</v>
      </c>
      <c r="Q66" s="386">
        <v>0</v>
      </c>
    </row>
    <row r="69" spans="15:17">
      <c r="O69" s="381" t="s">
        <v>9006</v>
      </c>
      <c r="P69" s="381"/>
    </row>
    <row r="71" spans="15:17">
      <c r="O71" s="385" t="s">
        <v>9007</v>
      </c>
      <c r="P71" s="385"/>
      <c r="Q71" s="385" t="s">
        <v>8996</v>
      </c>
    </row>
    <row r="72" spans="15:17">
      <c r="P72">
        <v>3</v>
      </c>
      <c r="Q72" s="386">
        <v>5</v>
      </c>
    </row>
    <row r="73" spans="15:17">
      <c r="O73">
        <v>2</v>
      </c>
      <c r="P73">
        <v>3</v>
      </c>
      <c r="Q73" s="386">
        <v>4</v>
      </c>
    </row>
    <row r="74" spans="15:17">
      <c r="O74">
        <v>1.8</v>
      </c>
      <c r="P74">
        <v>2</v>
      </c>
      <c r="Q74" s="386">
        <v>3</v>
      </c>
    </row>
    <row r="75" spans="15:17">
      <c r="O75">
        <v>1.1000000000000001</v>
      </c>
      <c r="P75">
        <v>1.8</v>
      </c>
      <c r="Q75" s="386">
        <v>2</v>
      </c>
    </row>
    <row r="76" spans="15:17">
      <c r="P76">
        <v>1.1000000000000001</v>
      </c>
      <c r="Q76" s="386">
        <v>0</v>
      </c>
    </row>
    <row r="77" spans="15:17">
      <c r="O77" s="387"/>
      <c r="P77" s="387"/>
    </row>
    <row r="78" spans="15:17">
      <c r="O78" s="388" t="s">
        <v>9008</v>
      </c>
      <c r="P78" s="388"/>
    </row>
    <row r="79" spans="15:17">
      <c r="O79" s="388"/>
      <c r="P79" s="388"/>
    </row>
    <row r="80" spans="15:17">
      <c r="O80" s="2" t="s">
        <v>9023</v>
      </c>
      <c r="P80" s="381"/>
    </row>
    <row r="82" spans="7:17">
      <c r="O82" s="385" t="s">
        <v>9022</v>
      </c>
      <c r="P82" s="385"/>
      <c r="Q82" s="385" t="s">
        <v>8996</v>
      </c>
    </row>
    <row r="83" spans="7:17">
      <c r="O83" s="126"/>
      <c r="P83" s="126">
        <v>0.35</v>
      </c>
      <c r="Q83" s="386">
        <v>5</v>
      </c>
    </row>
    <row r="84" spans="7:17">
      <c r="O84" s="126">
        <v>0.35</v>
      </c>
      <c r="P84" s="126">
        <v>0.45</v>
      </c>
      <c r="Q84" s="386">
        <v>4</v>
      </c>
    </row>
    <row r="85" spans="7:17">
      <c r="O85" s="126">
        <v>0.45</v>
      </c>
      <c r="P85" s="126">
        <v>0.55000000000000004</v>
      </c>
      <c r="Q85" s="386">
        <v>3</v>
      </c>
    </row>
    <row r="86" spans="7:17">
      <c r="O86" s="126">
        <v>0.55000000000000004</v>
      </c>
      <c r="P86" s="126">
        <v>0.65</v>
      </c>
      <c r="Q86" s="386">
        <v>2</v>
      </c>
    </row>
    <row r="87" spans="7:17">
      <c r="G87" s="383"/>
      <c r="O87" s="126"/>
      <c r="P87" s="126">
        <v>0.65</v>
      </c>
      <c r="Q87" s="386">
        <v>1</v>
      </c>
    </row>
    <row r="88" spans="7:17">
      <c r="G88" s="383"/>
      <c r="O88" s="126"/>
      <c r="P88" s="126"/>
      <c r="Q88" s="386"/>
    </row>
    <row r="89" spans="7:17">
      <c r="G89" s="383"/>
      <c r="O89" s="126"/>
      <c r="P89" s="126"/>
      <c r="Q89" s="386"/>
    </row>
    <row r="90" spans="7:17">
      <c r="G90" s="383"/>
      <c r="O90" s="2" t="s">
        <v>9032</v>
      </c>
      <c r="P90" s="381"/>
    </row>
    <row r="91" spans="7:17">
      <c r="G91" s="383"/>
    </row>
    <row r="92" spans="7:17">
      <c r="O92" s="385" t="s">
        <v>9026</v>
      </c>
      <c r="P92" s="385"/>
      <c r="Q92" s="385" t="s">
        <v>8996</v>
      </c>
    </row>
    <row r="93" spans="7:17">
      <c r="O93" s="126"/>
      <c r="P93" s="126">
        <v>0.16</v>
      </c>
      <c r="Q93" s="386">
        <v>5</v>
      </c>
    </row>
    <row r="94" spans="7:17">
      <c r="O94" s="126">
        <v>0.16</v>
      </c>
      <c r="P94" s="126">
        <v>0.2</v>
      </c>
      <c r="Q94" s="386">
        <v>4</v>
      </c>
    </row>
    <row r="95" spans="7:17">
      <c r="O95" s="126">
        <v>0.2</v>
      </c>
      <c r="P95" s="126">
        <v>0.3</v>
      </c>
      <c r="Q95" s="386">
        <v>3</v>
      </c>
    </row>
    <row r="96" spans="7:17">
      <c r="O96" s="126">
        <v>0.3</v>
      </c>
      <c r="P96" s="126">
        <v>0.35</v>
      </c>
      <c r="Q96" s="386">
        <v>2</v>
      </c>
    </row>
    <row r="97" spans="15:17">
      <c r="O97" s="126"/>
      <c r="P97" s="126">
        <v>0.5</v>
      </c>
      <c r="Q97" s="386">
        <v>1</v>
      </c>
    </row>
    <row r="98" spans="15:17">
      <c r="O98" s="126"/>
      <c r="P98" s="126"/>
      <c r="Q98" s="386"/>
    </row>
    <row r="99" spans="15:17">
      <c r="O99" s="126"/>
      <c r="P99" s="126"/>
      <c r="Q99" s="386"/>
    </row>
    <row r="100" spans="15:17">
      <c r="O100" s="126"/>
      <c r="P100" s="126"/>
      <c r="Q100" s="386"/>
    </row>
    <row r="101" spans="15:17">
      <c r="O101" s="126"/>
      <c r="P101" s="126"/>
      <c r="Q101" s="386"/>
    </row>
    <row r="102" spans="15:17">
      <c r="O102" s="126"/>
      <c r="P102" s="126"/>
      <c r="Q102" s="386"/>
    </row>
    <row r="106" spans="15:17">
      <c r="O106" s="381" t="s">
        <v>9025</v>
      </c>
      <c r="P106" s="381"/>
    </row>
    <row r="108" spans="15:17">
      <c r="O108" s="385" t="s">
        <v>9001</v>
      </c>
      <c r="P108" s="385"/>
      <c r="Q108" s="385" t="s">
        <v>8996</v>
      </c>
    </row>
    <row r="109" spans="15:17">
      <c r="O109" t="s">
        <v>9009</v>
      </c>
      <c r="P109" s="386"/>
      <c r="Q109" s="386">
        <v>5</v>
      </c>
    </row>
    <row r="110" spans="15:17">
      <c r="O110" t="s">
        <v>9010</v>
      </c>
      <c r="P110" s="386"/>
      <c r="Q110" s="386">
        <v>4</v>
      </c>
    </row>
    <row r="111" spans="15:17">
      <c r="O111" t="s">
        <v>9011</v>
      </c>
      <c r="P111" s="386"/>
      <c r="Q111" s="386">
        <v>4</v>
      </c>
    </row>
    <row r="112" spans="15:17">
      <c r="O112" t="s">
        <v>9012</v>
      </c>
      <c r="P112" s="386"/>
      <c r="Q112" s="386">
        <v>4</v>
      </c>
    </row>
    <row r="113" spans="15:17">
      <c r="O113" t="s">
        <v>9013</v>
      </c>
      <c r="P113" s="386"/>
      <c r="Q113" s="386">
        <v>3</v>
      </c>
    </row>
    <row r="114" spans="15:17">
      <c r="O114" t="s">
        <v>9014</v>
      </c>
      <c r="Q114" s="386">
        <v>3</v>
      </c>
    </row>
    <row r="115" spans="15:17">
      <c r="O115" t="s">
        <v>9015</v>
      </c>
      <c r="Q115" s="386">
        <v>3</v>
      </c>
    </row>
    <row r="116" spans="15:17">
      <c r="O116" t="s">
        <v>9016</v>
      </c>
      <c r="Q116" s="386">
        <v>2</v>
      </c>
    </row>
    <row r="117" spans="15:17">
      <c r="O117" t="s">
        <v>9017</v>
      </c>
      <c r="Q117" s="386">
        <v>2</v>
      </c>
    </row>
    <row r="118" spans="15:17">
      <c r="O118" t="s">
        <v>9018</v>
      </c>
      <c r="Q118" s="386">
        <v>2</v>
      </c>
    </row>
    <row r="119" spans="15:17">
      <c r="O119" s="383" t="s">
        <v>9019</v>
      </c>
      <c r="Q119" s="386">
        <v>0</v>
      </c>
    </row>
    <row r="123" spans="15:17" ht="31.5">
      <c r="O123" s="390" t="s">
        <v>9033</v>
      </c>
    </row>
    <row r="125" spans="15:17">
      <c r="O125" s="385" t="s">
        <v>9024</v>
      </c>
      <c r="P125" s="385" t="s">
        <v>9034</v>
      </c>
    </row>
    <row r="126" spans="15:17">
      <c r="O126" s="391">
        <v>90</v>
      </c>
      <c r="P126" s="391" t="s">
        <v>9035</v>
      </c>
    </row>
    <row r="127" spans="15:17">
      <c r="O127" s="391">
        <v>80</v>
      </c>
      <c r="P127" s="391" t="s">
        <v>9036</v>
      </c>
    </row>
    <row r="128" spans="15:17">
      <c r="O128" s="391">
        <v>70</v>
      </c>
      <c r="P128" s="391" t="s">
        <v>9037</v>
      </c>
    </row>
    <row r="129" spans="15:16">
      <c r="O129" s="391">
        <v>60</v>
      </c>
      <c r="P129" s="391" t="s">
        <v>9038</v>
      </c>
    </row>
    <row r="130" spans="15:16">
      <c r="O130" s="391">
        <v>50</v>
      </c>
      <c r="P130" s="391" t="s">
        <v>9039</v>
      </c>
    </row>
    <row r="131" spans="15:16">
      <c r="O131" s="391">
        <v>40</v>
      </c>
      <c r="P131" s="391" t="s">
        <v>9040</v>
      </c>
    </row>
    <row r="132" spans="15:16">
      <c r="O132" s="391" t="s">
        <v>9041</v>
      </c>
      <c r="P132" s="391" t="s">
        <v>9042</v>
      </c>
    </row>
  </sheetData>
  <mergeCells count="1">
    <mergeCell ref="B5:M5"/>
  </mergeCells>
  <pageMargins left="0.23622047244094491" right="0" top="0.94488188976377963" bottom="0.74803149606299213" header="0.31496062992125984" footer="0.31496062992125984"/>
  <pageSetup paperSize="9"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21</vt:i4>
      </vt:variant>
    </vt:vector>
  </HeadingPairs>
  <TitlesOfParts>
    <vt:vector size="47" baseType="lpstr">
      <vt:lpstr>Profit &amp; Loss</vt:lpstr>
      <vt:lpstr>Quarters</vt:lpstr>
      <vt:lpstr>Balance Sheet</vt:lpstr>
      <vt:lpstr>Cash Flow</vt:lpstr>
      <vt:lpstr>Customization</vt:lpstr>
      <vt:lpstr>Data Sheet</vt:lpstr>
      <vt:lpstr>Peer Company Database</vt:lpstr>
      <vt:lpstr>Financials -&gt;</vt:lpstr>
      <vt:lpstr>Historical Financial Statements</vt:lpstr>
      <vt:lpstr>Ratio Analysis</vt:lpstr>
      <vt:lpstr>Common Size Statement</vt:lpstr>
      <vt:lpstr>DCF -&gt;</vt:lpstr>
      <vt:lpstr>Beta Regression Historical Data</vt:lpstr>
      <vt:lpstr>Value at Risk (VaR)</vt:lpstr>
      <vt:lpstr>Valuation Drivers</vt:lpstr>
      <vt:lpstr>WACC</vt:lpstr>
      <vt:lpstr>DCF Assumptions</vt:lpstr>
      <vt:lpstr>DCF Model</vt:lpstr>
      <vt:lpstr>Peer Multiples Valuation</vt:lpstr>
      <vt:lpstr>Reg-Based Relative Valuation</vt:lpstr>
      <vt:lpstr>Reports-&gt;</vt:lpstr>
      <vt:lpstr>Football Field Analysis</vt:lpstr>
      <vt:lpstr>DuPont ROE Analysis</vt:lpstr>
      <vt:lpstr>Altman Z-Score (Credit Risk)</vt:lpstr>
      <vt:lpstr>Company Profile</vt:lpstr>
      <vt:lpstr>Utility Credit QualityScorecard</vt:lpstr>
      <vt:lpstr>Confidence_Interval</vt:lpstr>
      <vt:lpstr>Covariance</vt:lpstr>
      <vt:lpstr>Days</vt:lpstr>
      <vt:lpstr>Expected_Return</vt:lpstr>
      <vt:lpstr>Portfolio_St._dev.</vt:lpstr>
      <vt:lpstr>Portfolio_Value</vt:lpstr>
      <vt:lpstr>Portfolio_Variance</vt:lpstr>
      <vt:lpstr>'Altman Z-Score (Credit Risk)'!Print_Area</vt:lpstr>
      <vt:lpstr>'Common Size Statement'!Print_Area</vt:lpstr>
      <vt:lpstr>'Company Profile'!Print_Area</vt:lpstr>
      <vt:lpstr>'DuPont ROE Analysis'!Print_Area</vt:lpstr>
      <vt:lpstr>'Football Field Analysis'!Print_Area</vt:lpstr>
      <vt:lpstr>'Ratio Analysis'!Print_Area</vt:lpstr>
      <vt:lpstr>'Utility Credit QualityScorecard'!Print_Area</vt:lpstr>
      <vt:lpstr>'Value at Risk (VaR)'!Print_Area</vt:lpstr>
      <vt:lpstr>St._dev.</vt:lpstr>
      <vt:lpstr>St._dev._nifty</vt:lpstr>
      <vt:lpstr>UPDATE</vt:lpstr>
      <vt:lpstr>Weight_of_Nifty_50</vt:lpstr>
      <vt:lpstr>Weight_of_Tata_Power_Ltd.</vt:lpstr>
      <vt:lpstr>Z.score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MONOJIT SAMANTA</cp:lastModifiedBy>
  <cp:lastPrinted>2026-07-26T22:20:57Z</cp:lastPrinted>
  <dcterms:created xsi:type="dcterms:W3CDTF">2012-08-17T09:55:37Z</dcterms:created>
  <dcterms:modified xsi:type="dcterms:W3CDTF">2026-07-26T22:21:01Z</dcterms:modified>
</cp:coreProperties>
</file>