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a1b9be0e9f5584/Desktop/Tesla project/"/>
    </mc:Choice>
  </mc:AlternateContent>
  <xr:revisionPtr revIDLastSave="1" documentId="13_ncr:1_{176AB509-5099-48CF-95E0-CF102906F34F}" xr6:coauthVersionLast="47" xr6:coauthVersionMax="47" xr10:uidLastSave="{02A579B8-23B2-47E3-A501-068BDB3BB308}"/>
  <bookViews>
    <workbookView xWindow="-21720" yWindow="1950" windowWidth="21840" windowHeight="13740" tabRatio="897" firstSheet="25" activeTab="31" xr2:uid="{00000000-000D-0000-FFFF-FFFF00000000}"/>
  </bookViews>
  <sheets>
    <sheet name="Cover" sheetId="183" r:id="rId1"/>
    <sheet name="Drivers" sheetId="161" r:id="rId2"/>
    <sheet name="Input -&gt;" sheetId="157" r:id="rId3"/>
    <sheet name="P&amp;L Input" sheetId="155" r:id="rId4"/>
    <sheet name="Balance Sheet Input" sheetId="154" r:id="rId5"/>
    <sheet name="Workings 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Automotive Revenue" sheetId="182" r:id="rId13"/>
    <sheet name="Automotive Gross Margin" sheetId="185" r:id="rId14"/>
    <sheet name="Automotive Gross Profit" sheetId="186" r:id="rId15"/>
    <sheet name="Cost of sales automotive" sheetId="193" r:id="rId16"/>
    <sheet name="Automotive Revenue and GP " sheetId="212" r:id="rId17"/>
    <sheet name="Energy &amp; Other" sheetId="188" r:id="rId18"/>
    <sheet name="Revenue Energy &amp; Other" sheetId="191" r:id="rId19"/>
    <sheet name="Gross Profit Energy &amp; Other" sheetId="192" r:id="rId20"/>
    <sheet name="Cost of sales Energy &amp; Other" sheetId="206" r:id="rId21"/>
    <sheet name="Operating expenses" sheetId="194" r:id="rId22"/>
    <sheet name="Opex comparables" sheetId="197" r:id="rId23"/>
    <sheet name="Opex" sheetId="167" r:id="rId24"/>
    <sheet name="Balance Sheet -&gt;" sheetId="200" r:id="rId25"/>
    <sheet name="PP&amp;E -&gt;" sheetId="195" r:id="rId26"/>
    <sheet name="PP&amp;E" sheetId="168" r:id="rId27"/>
    <sheet name="Working Capital -&gt; " sheetId="202" r:id="rId28"/>
    <sheet name="WC comparables" sheetId="204" r:id="rId29"/>
    <sheet name="Working capital" sheetId="169" r:id="rId30"/>
    <sheet name="Financing -&gt;" sheetId="205" r:id="rId31"/>
    <sheet name="Financing" sheetId="172" r:id="rId32"/>
    <sheet name="Output -&gt;" sheetId="156" r:id="rId33"/>
    <sheet name="P&amp;L" sheetId="176" r:id="rId34"/>
    <sheet name="Balance Sheet" sheetId="177" r:id="rId35"/>
    <sheet name="Cash Flow" sheetId="178" r:id="rId36"/>
    <sheet name="WACC" sheetId="225" r:id="rId37"/>
    <sheet name="DCF Valuation" sheetId="224" r:id="rId38"/>
  </sheets>
  <definedNames>
    <definedName name="_xlchart.v1.0" hidden="1">'Opex comparables'!$C$6</definedName>
    <definedName name="_xlchart.v1.1" hidden="1">'Opex comparables'!$C$7:$C$18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68" l="1"/>
  <c r="H10" i="176"/>
  <c r="H22" i="178" s="1"/>
  <c r="I8" i="177"/>
  <c r="J8" i="177"/>
  <c r="K8" i="177"/>
  <c r="L8" i="177"/>
  <c r="M8" i="177"/>
  <c r="N8" i="177"/>
  <c r="O8" i="177" s="1"/>
  <c r="I11" i="177"/>
  <c r="J11" i="177"/>
  <c r="K11" i="177"/>
  <c r="L11" i="177"/>
  <c r="M11" i="177"/>
  <c r="N11" i="177"/>
  <c r="O11" i="177"/>
  <c r="P11" i="177"/>
  <c r="Q11" i="177"/>
  <c r="I13" i="177"/>
  <c r="J13" i="177" s="1"/>
  <c r="I14" i="177"/>
  <c r="J14" i="177" s="1"/>
  <c r="I16" i="177"/>
  <c r="J16" i="177" s="1"/>
  <c r="I17" i="177"/>
  <c r="J17" i="177" s="1"/>
  <c r="I18" i="177"/>
  <c r="J18" i="177" s="1"/>
  <c r="I19" i="177"/>
  <c r="I21" i="177"/>
  <c r="J21" i="177"/>
  <c r="K21" i="177"/>
  <c r="L21" i="177"/>
  <c r="M21" i="177"/>
  <c r="N21" i="177"/>
  <c r="O21" i="177"/>
  <c r="P21" i="177"/>
  <c r="Q21" i="177"/>
  <c r="I26" i="177"/>
  <c r="J26" i="177"/>
  <c r="K26" i="177"/>
  <c r="L26" i="177"/>
  <c r="M26" i="177"/>
  <c r="N26" i="177"/>
  <c r="O26" i="177"/>
  <c r="P26" i="177"/>
  <c r="Q26" i="177"/>
  <c r="I29" i="177"/>
  <c r="J29" i="177"/>
  <c r="K29" i="177"/>
  <c r="L29" i="177"/>
  <c r="M29" i="177"/>
  <c r="N29" i="177"/>
  <c r="O29" i="177"/>
  <c r="P29" i="177"/>
  <c r="Q29" i="177"/>
  <c r="I32" i="177"/>
  <c r="J32" i="177"/>
  <c r="K32" i="177"/>
  <c r="L32" i="177"/>
  <c r="M32" i="177"/>
  <c r="N32" i="177"/>
  <c r="O32" i="177"/>
  <c r="P32" i="177"/>
  <c r="Q32" i="177"/>
  <c r="I36" i="177"/>
  <c r="J36" i="177"/>
  <c r="K36" i="177"/>
  <c r="L36" i="177"/>
  <c r="M36" i="177"/>
  <c r="N36" i="177"/>
  <c r="O36" i="177"/>
  <c r="P36" i="177"/>
  <c r="Q36" i="177"/>
  <c r="I39" i="177"/>
  <c r="J39" i="177" s="1"/>
  <c r="K39" i="177" s="1"/>
  <c r="L39" i="177" s="1"/>
  <c r="M39" i="177" s="1"/>
  <c r="N39" i="177" s="1"/>
  <c r="O39" i="177" s="1"/>
  <c r="P39" i="177" s="1"/>
  <c r="Q39" i="177" s="1"/>
  <c r="H36" i="177"/>
  <c r="C17" i="176"/>
  <c r="C18" i="176" s="1"/>
  <c r="F32" i="178"/>
  <c r="C35" i="178"/>
  <c r="D35" i="178"/>
  <c r="D33" i="178"/>
  <c r="I17" i="168"/>
  <c r="J17" i="168"/>
  <c r="K17" i="168"/>
  <c r="L17" i="168"/>
  <c r="M17" i="168"/>
  <c r="N17" i="168"/>
  <c r="O17" i="168"/>
  <c r="P17" i="168"/>
  <c r="Q17" i="168"/>
  <c r="B7" i="172"/>
  <c r="E34" i="225"/>
  <c r="E30" i="225"/>
  <c r="I73" i="224"/>
  <c r="C15" i="225"/>
  <c r="H40" i="168"/>
  <c r="H39" i="168"/>
  <c r="D68" i="224"/>
  <c r="F54" i="224"/>
  <c r="E54" i="224"/>
  <c r="D54" i="224"/>
  <c r="G6" i="167"/>
  <c r="H17" i="167"/>
  <c r="D6" i="178"/>
  <c r="D49" i="224" s="1"/>
  <c r="D25" i="178"/>
  <c r="G46" i="224"/>
  <c r="G52" i="224" s="1"/>
  <c r="D85" i="224"/>
  <c r="G59" i="224"/>
  <c r="E46" i="224"/>
  <c r="F46" i="224"/>
  <c r="D40" i="224"/>
  <c r="E40" i="224"/>
  <c r="F40" i="224"/>
  <c r="G40" i="224"/>
  <c r="C40" i="224"/>
  <c r="D22" i="172"/>
  <c r="E22" i="172"/>
  <c r="F22" i="172"/>
  <c r="G22" i="172"/>
  <c r="H22" i="172"/>
  <c r="C22" i="172"/>
  <c r="D44" i="224"/>
  <c r="E44" i="224"/>
  <c r="F44" i="224"/>
  <c r="G44" i="224"/>
  <c r="D20" i="176"/>
  <c r="E20" i="176"/>
  <c r="F20" i="176"/>
  <c r="G20" i="176"/>
  <c r="D91" i="224"/>
  <c r="D88" i="224"/>
  <c r="D86" i="224"/>
  <c r="D75" i="224"/>
  <c r="N22" i="225"/>
  <c r="D7" i="225"/>
  <c r="E7" i="225"/>
  <c r="F7" i="225"/>
  <c r="G7" i="225"/>
  <c r="D8" i="225"/>
  <c r="D11" i="225" s="1"/>
  <c r="E8" i="225"/>
  <c r="E11" i="225" s="1"/>
  <c r="F8" i="225"/>
  <c r="F11" i="225" s="1"/>
  <c r="G8" i="225"/>
  <c r="C8" i="225"/>
  <c r="C7" i="225"/>
  <c r="C10" i="225" s="1"/>
  <c r="N23" i="225"/>
  <c r="N21" i="225"/>
  <c r="E22" i="225"/>
  <c r="E21" i="225"/>
  <c r="C7" i="224"/>
  <c r="C8" i="224"/>
  <c r="C9" i="224"/>
  <c r="C10" i="224"/>
  <c r="C11" i="224"/>
  <c r="C14" i="224"/>
  <c r="C15" i="224"/>
  <c r="C16" i="224"/>
  <c r="C17" i="224"/>
  <c r="C18" i="224"/>
  <c r="C23" i="224"/>
  <c r="C24" i="224"/>
  <c r="C25" i="224"/>
  <c r="C26" i="224"/>
  <c r="C27" i="224"/>
  <c r="C28" i="224"/>
  <c r="C29" i="224"/>
  <c r="C30" i="224"/>
  <c r="C31" i="224"/>
  <c r="C32" i="224"/>
  <c r="C36" i="224"/>
  <c r="D7" i="224"/>
  <c r="D8" i="224"/>
  <c r="D9" i="224"/>
  <c r="D10" i="224"/>
  <c r="D11" i="224"/>
  <c r="D14" i="224"/>
  <c r="D15" i="224"/>
  <c r="D16" i="224"/>
  <c r="D17" i="224"/>
  <c r="D18" i="224"/>
  <c r="D20" i="224" s="1"/>
  <c r="D23" i="224"/>
  <c r="D24" i="224"/>
  <c r="D25" i="224"/>
  <c r="D26" i="224"/>
  <c r="D27" i="224"/>
  <c r="D28" i="224"/>
  <c r="D29" i="224"/>
  <c r="D30" i="224"/>
  <c r="D32" i="224"/>
  <c r="D48" i="224"/>
  <c r="E7" i="224"/>
  <c r="E8" i="224"/>
  <c r="E9" i="224"/>
  <c r="E10" i="224"/>
  <c r="E11" i="224"/>
  <c r="E14" i="224"/>
  <c r="E15" i="224"/>
  <c r="E16" i="224"/>
  <c r="E17" i="224"/>
  <c r="E18" i="224"/>
  <c r="E23" i="224"/>
  <c r="E24" i="224"/>
  <c r="E25" i="224"/>
  <c r="E26" i="224"/>
  <c r="E27" i="224"/>
  <c r="E28" i="224"/>
  <c r="E29" i="224"/>
  <c r="E30" i="224"/>
  <c r="E31" i="224" s="1"/>
  <c r="E32" i="224"/>
  <c r="E36" i="224"/>
  <c r="E48" i="224"/>
  <c r="E49" i="224"/>
  <c r="E50" i="224"/>
  <c r="F7" i="224"/>
  <c r="F8" i="224"/>
  <c r="F9" i="224"/>
  <c r="F10" i="224"/>
  <c r="F11" i="224"/>
  <c r="F14" i="224"/>
  <c r="F15" i="224"/>
  <c r="F16" i="224"/>
  <c r="F17" i="224"/>
  <c r="F18" i="224"/>
  <c r="F23" i="224"/>
  <c r="F24" i="224"/>
  <c r="F25" i="224"/>
  <c r="F26" i="224"/>
  <c r="F27" i="224"/>
  <c r="F28" i="224"/>
  <c r="F29" i="224"/>
  <c r="F30" i="224"/>
  <c r="F31" i="224"/>
  <c r="F32" i="224"/>
  <c r="F36" i="224"/>
  <c r="F48" i="224"/>
  <c r="F49" i="224"/>
  <c r="F50" i="224"/>
  <c r="G7" i="224"/>
  <c r="G8" i="224"/>
  <c r="G9" i="224"/>
  <c r="G10" i="224"/>
  <c r="H10" i="224"/>
  <c r="I10" i="224"/>
  <c r="J10" i="224"/>
  <c r="K10" i="224"/>
  <c r="L10" i="224"/>
  <c r="M10" i="224"/>
  <c r="N10" i="224"/>
  <c r="G11" i="224"/>
  <c r="G14" i="224"/>
  <c r="G15" i="224"/>
  <c r="G16" i="224"/>
  <c r="G17" i="224"/>
  <c r="G18" i="224"/>
  <c r="G20" i="224"/>
  <c r="G23" i="224"/>
  <c r="H23" i="224"/>
  <c r="I23" i="224"/>
  <c r="G24" i="224"/>
  <c r="H24" i="224"/>
  <c r="I24" i="224"/>
  <c r="G25" i="224"/>
  <c r="G26" i="224"/>
  <c r="H26" i="224"/>
  <c r="I26" i="224"/>
  <c r="G27" i="224"/>
  <c r="H27" i="224"/>
  <c r="I27" i="224"/>
  <c r="G28" i="224"/>
  <c r="H28" i="224"/>
  <c r="I28" i="224"/>
  <c r="G29" i="224"/>
  <c r="H29" i="224"/>
  <c r="G30" i="224"/>
  <c r="G31" i="224"/>
  <c r="G32" i="224"/>
  <c r="G33" i="224" s="1"/>
  <c r="G35" i="224" s="1"/>
  <c r="G36" i="224"/>
  <c r="G48" i="224"/>
  <c r="G49" i="224"/>
  <c r="G50" i="224"/>
  <c r="C39" i="168"/>
  <c r="I22" i="178"/>
  <c r="H27" i="178"/>
  <c r="I27" i="178"/>
  <c r="J27" i="178"/>
  <c r="K27" i="178"/>
  <c r="L27" i="178"/>
  <c r="M27" i="178"/>
  <c r="N27" i="178"/>
  <c r="O27" i="178"/>
  <c r="P27" i="178"/>
  <c r="Q27" i="178"/>
  <c r="D22" i="178"/>
  <c r="C10" i="176"/>
  <c r="H8" i="185"/>
  <c r="H9" i="185"/>
  <c r="H10" i="185"/>
  <c r="D8" i="178"/>
  <c r="E8" i="178"/>
  <c r="F8" i="178"/>
  <c r="G8" i="178"/>
  <c r="D17" i="176"/>
  <c r="E17" i="176"/>
  <c r="F17" i="176"/>
  <c r="G17" i="176"/>
  <c r="D10" i="176"/>
  <c r="E10" i="176"/>
  <c r="F10" i="176"/>
  <c r="G10" i="176"/>
  <c r="D12" i="172"/>
  <c r="E12" i="172"/>
  <c r="F12" i="172"/>
  <c r="G12" i="172"/>
  <c r="C12" i="172"/>
  <c r="D11" i="172"/>
  <c r="E11" i="172"/>
  <c r="F11" i="172"/>
  <c r="G11" i="172"/>
  <c r="C11" i="172"/>
  <c r="C8" i="176"/>
  <c r="D39" i="177"/>
  <c r="E39" i="177"/>
  <c r="E26" i="178" s="1"/>
  <c r="F39" i="177"/>
  <c r="F26" i="178" s="1"/>
  <c r="G39" i="177"/>
  <c r="C39" i="177"/>
  <c r="D40" i="177"/>
  <c r="E40" i="177"/>
  <c r="E24" i="178" s="1"/>
  <c r="F40" i="177"/>
  <c r="F24" i="178" s="1"/>
  <c r="G40" i="177"/>
  <c r="G24" i="178" s="1"/>
  <c r="C40" i="177"/>
  <c r="D35" i="177"/>
  <c r="E35" i="177"/>
  <c r="F35" i="177"/>
  <c r="G35" i="177"/>
  <c r="C35" i="177"/>
  <c r="D34" i="177"/>
  <c r="E34" i="177"/>
  <c r="F34" i="177"/>
  <c r="G34" i="177"/>
  <c r="C34" i="177"/>
  <c r="D31" i="177"/>
  <c r="E31" i="177"/>
  <c r="F31" i="177"/>
  <c r="G31" i="177"/>
  <c r="C31" i="177"/>
  <c r="D28" i="177"/>
  <c r="E28" i="177"/>
  <c r="F28" i="177"/>
  <c r="G28" i="177"/>
  <c r="D24" i="177"/>
  <c r="E24" i="177"/>
  <c r="F24" i="177"/>
  <c r="G24" i="177"/>
  <c r="D25" i="177"/>
  <c r="E25" i="177"/>
  <c r="E18" i="178" s="1"/>
  <c r="F25" i="177"/>
  <c r="G25" i="177"/>
  <c r="C28" i="177"/>
  <c r="C25" i="177"/>
  <c r="C24" i="177"/>
  <c r="C38" i="177" s="1"/>
  <c r="D20" i="177"/>
  <c r="E20" i="177"/>
  <c r="F20" i="177"/>
  <c r="G20" i="177"/>
  <c r="C20" i="177"/>
  <c r="D17" i="177"/>
  <c r="E17" i="177"/>
  <c r="F17" i="177"/>
  <c r="G17" i="177"/>
  <c r="D18" i="177"/>
  <c r="E18" i="177"/>
  <c r="F18" i="177"/>
  <c r="G18" i="177"/>
  <c r="D19" i="177"/>
  <c r="E19" i="177"/>
  <c r="F19" i="177"/>
  <c r="G19" i="177"/>
  <c r="C18" i="177"/>
  <c r="C19" i="177"/>
  <c r="C17" i="177"/>
  <c r="C13" i="177"/>
  <c r="D8" i="177"/>
  <c r="E8" i="177"/>
  <c r="F8" i="177"/>
  <c r="G8" i="177"/>
  <c r="C8" i="177"/>
  <c r="C10" i="177"/>
  <c r="C7" i="177"/>
  <c r="C6" i="177"/>
  <c r="C5" i="177"/>
  <c r="D13" i="177"/>
  <c r="E13" i="177"/>
  <c r="F13" i="177"/>
  <c r="G13" i="177"/>
  <c r="H13" i="177" s="1"/>
  <c r="D14" i="177"/>
  <c r="E14" i="177"/>
  <c r="F14" i="177"/>
  <c r="G14" i="177"/>
  <c r="D15" i="177"/>
  <c r="E15" i="177"/>
  <c r="F15" i="177"/>
  <c r="G15" i="177"/>
  <c r="D16" i="177"/>
  <c r="E16" i="177"/>
  <c r="F16" i="177"/>
  <c r="G16" i="177"/>
  <c r="H16" i="177" s="1"/>
  <c r="C16" i="177"/>
  <c r="C15" i="177"/>
  <c r="C14" i="177"/>
  <c r="D10" i="177"/>
  <c r="D17" i="178" s="1"/>
  <c r="E10" i="177"/>
  <c r="E17" i="178" s="1"/>
  <c r="F10" i="177"/>
  <c r="G10" i="177"/>
  <c r="D6" i="177"/>
  <c r="D11" i="178" s="1"/>
  <c r="E6" i="177"/>
  <c r="E11" i="178" s="1"/>
  <c r="F6" i="177"/>
  <c r="G6" i="177"/>
  <c r="D7" i="177"/>
  <c r="D12" i="178" s="1"/>
  <c r="E7" i="177"/>
  <c r="E12" i="178" s="1"/>
  <c r="F7" i="177"/>
  <c r="G7" i="177"/>
  <c r="D5" i="177"/>
  <c r="D22" i="177" s="1"/>
  <c r="E5" i="177"/>
  <c r="E22" i="177" s="1"/>
  <c r="F5" i="177"/>
  <c r="F22" i="177" s="1"/>
  <c r="G5" i="177"/>
  <c r="G22" i="177" s="1"/>
  <c r="G13" i="176"/>
  <c r="F13" i="176"/>
  <c r="E13" i="176"/>
  <c r="D13" i="176"/>
  <c r="G12" i="176"/>
  <c r="F12" i="176"/>
  <c r="E12" i="176"/>
  <c r="D12" i="176"/>
  <c r="C13" i="176"/>
  <c r="C12" i="176"/>
  <c r="J13" i="169"/>
  <c r="K13" i="169" s="1"/>
  <c r="L13" i="169" s="1"/>
  <c r="M13" i="169" s="1"/>
  <c r="N13" i="169" s="1"/>
  <c r="O13" i="169" s="1"/>
  <c r="P13" i="169" s="1"/>
  <c r="Q13" i="169" s="1"/>
  <c r="J12" i="169"/>
  <c r="K12" i="169" s="1"/>
  <c r="L12" i="169" s="1"/>
  <c r="M12" i="169" s="1"/>
  <c r="N12" i="169" s="1"/>
  <c r="O12" i="169" s="1"/>
  <c r="P12" i="169" s="1"/>
  <c r="Q12" i="169" s="1"/>
  <c r="J11" i="169"/>
  <c r="K11" i="169" s="1"/>
  <c r="I13" i="169"/>
  <c r="I12" i="169"/>
  <c r="I11" i="169"/>
  <c r="H12" i="169"/>
  <c r="H11" i="169"/>
  <c r="G7" i="169"/>
  <c r="F7" i="169"/>
  <c r="E7" i="169"/>
  <c r="D7" i="169"/>
  <c r="G6" i="169"/>
  <c r="F6" i="169"/>
  <c r="E6" i="169"/>
  <c r="D6" i="169"/>
  <c r="G5" i="169"/>
  <c r="F5" i="169"/>
  <c r="E5" i="169"/>
  <c r="D5" i="169"/>
  <c r="C7" i="169"/>
  <c r="C6" i="169"/>
  <c r="C5" i="169"/>
  <c r="H17" i="192"/>
  <c r="H21" i="192" s="1"/>
  <c r="G17" i="192"/>
  <c r="F17" i="192"/>
  <c r="E17" i="192"/>
  <c r="D17" i="192"/>
  <c r="C17" i="192"/>
  <c r="H13" i="169"/>
  <c r="C10" i="168"/>
  <c r="D10" i="168"/>
  <c r="E10" i="168"/>
  <c r="F7" i="168" s="1"/>
  <c r="F10" i="168"/>
  <c r="G7" i="168" s="1"/>
  <c r="G10" i="168"/>
  <c r="H7" i="168" s="1"/>
  <c r="C7" i="167"/>
  <c r="C6" i="167"/>
  <c r="D5" i="167"/>
  <c r="E5" i="167"/>
  <c r="F5" i="167"/>
  <c r="G5" i="167"/>
  <c r="C5" i="167"/>
  <c r="D7" i="167"/>
  <c r="E7" i="167"/>
  <c r="F7" i="167"/>
  <c r="G7" i="167"/>
  <c r="C19" i="197"/>
  <c r="D7" i="197"/>
  <c r="C6" i="192"/>
  <c r="D6" i="192"/>
  <c r="E6" i="192"/>
  <c r="F6" i="192"/>
  <c r="G6" i="192"/>
  <c r="D5" i="192"/>
  <c r="E5" i="192"/>
  <c r="F5" i="192"/>
  <c r="G5" i="192"/>
  <c r="C5" i="192"/>
  <c r="H6" i="185"/>
  <c r="D6" i="191"/>
  <c r="E6" i="191"/>
  <c r="F6" i="191"/>
  <c r="G6" i="191"/>
  <c r="C6" i="191"/>
  <c r="D5" i="191"/>
  <c r="E5" i="191"/>
  <c r="F5" i="191"/>
  <c r="G5" i="191"/>
  <c r="C5" i="191"/>
  <c r="D4" i="212"/>
  <c r="E4" i="212"/>
  <c r="F4" i="212"/>
  <c r="G4" i="212"/>
  <c r="D5" i="212"/>
  <c r="E5" i="212"/>
  <c r="F5" i="212"/>
  <c r="G5" i="212"/>
  <c r="D6" i="212"/>
  <c r="E6" i="212"/>
  <c r="F6" i="212"/>
  <c r="G6" i="212"/>
  <c r="C4" i="212"/>
  <c r="C6" i="212" s="1"/>
  <c r="C10" i="193"/>
  <c r="D10" i="193"/>
  <c r="E10" i="193"/>
  <c r="F10" i="193"/>
  <c r="C10" i="186"/>
  <c r="D10" i="186"/>
  <c r="E10" i="186"/>
  <c r="F10" i="186"/>
  <c r="G10" i="186"/>
  <c r="C10" i="182"/>
  <c r="E9" i="182"/>
  <c r="E9" i="185"/>
  <c r="E6" i="185"/>
  <c r="D10" i="182"/>
  <c r="E10" i="182"/>
  <c r="F10" i="182"/>
  <c r="G10" i="182"/>
  <c r="R9" i="182"/>
  <c r="R8" i="182"/>
  <c r="R7" i="182"/>
  <c r="R6" i="182"/>
  <c r="F8" i="223"/>
  <c r="D24" i="207"/>
  <c r="D11" i="207"/>
  <c r="D12" i="207"/>
  <c r="D13" i="207"/>
  <c r="D14" i="207"/>
  <c r="D15" i="207"/>
  <c r="D16" i="207"/>
  <c r="D17" i="207"/>
  <c r="D18" i="207"/>
  <c r="D19" i="207"/>
  <c r="F7" i="223"/>
  <c r="F14" i="223"/>
  <c r="F12" i="223"/>
  <c r="F10" i="223"/>
  <c r="F6" i="223"/>
  <c r="F4" i="223"/>
  <c r="R5" i="182" s="1"/>
  <c r="E5" i="182" s="1"/>
  <c r="I24" i="180"/>
  <c r="I5" i="180" s="1"/>
  <c r="J24" i="180"/>
  <c r="J5" i="180" s="1"/>
  <c r="K24" i="180"/>
  <c r="K5" i="180" s="1"/>
  <c r="L24" i="180"/>
  <c r="L5" i="180" s="1"/>
  <c r="M24" i="180"/>
  <c r="M5" i="180" s="1"/>
  <c r="N24" i="180"/>
  <c r="N5" i="180" s="1"/>
  <c r="N14" i="180" s="1"/>
  <c r="O24" i="180"/>
  <c r="O5" i="180" s="1"/>
  <c r="O14" i="180" s="1"/>
  <c r="P24" i="180"/>
  <c r="P5" i="180" s="1"/>
  <c r="P14" i="180" s="1"/>
  <c r="Q24" i="180"/>
  <c r="Q5" i="180" s="1"/>
  <c r="I25" i="180"/>
  <c r="I6" i="180" s="1"/>
  <c r="J25" i="180"/>
  <c r="J6" i="180" s="1"/>
  <c r="J15" i="180" s="1"/>
  <c r="K25" i="180"/>
  <c r="K6" i="180" s="1"/>
  <c r="L25" i="180"/>
  <c r="L6" i="180" s="1"/>
  <c r="M25" i="180"/>
  <c r="M6" i="180" s="1"/>
  <c r="N25" i="180"/>
  <c r="N6" i="180" s="1"/>
  <c r="O25" i="180"/>
  <c r="O6" i="180" s="1"/>
  <c r="P25" i="180"/>
  <c r="P6" i="180" s="1"/>
  <c r="Q25" i="180"/>
  <c r="Q6" i="180" s="1"/>
  <c r="I26" i="180"/>
  <c r="I7" i="180" s="1"/>
  <c r="J26" i="180"/>
  <c r="J7" i="180" s="1"/>
  <c r="J16" i="180" s="1"/>
  <c r="K26" i="180"/>
  <c r="K7" i="180" s="1"/>
  <c r="K16" i="180" s="1"/>
  <c r="L26" i="180"/>
  <c r="L7" i="180" s="1"/>
  <c r="L16" i="180" s="1"/>
  <c r="M26" i="180"/>
  <c r="M7" i="180" s="1"/>
  <c r="M16" i="180" s="1"/>
  <c r="N26" i="180"/>
  <c r="N7" i="180" s="1"/>
  <c r="N16" i="180" s="1"/>
  <c r="O26" i="180"/>
  <c r="O7" i="180" s="1"/>
  <c r="O16" i="180" s="1"/>
  <c r="P26" i="180"/>
  <c r="P7" i="180" s="1"/>
  <c r="P16" i="180" s="1"/>
  <c r="Q26" i="180"/>
  <c r="Q7" i="180" s="1"/>
  <c r="I27" i="180"/>
  <c r="I8" i="180" s="1"/>
  <c r="J27" i="180"/>
  <c r="J8" i="180" s="1"/>
  <c r="J17" i="180" s="1"/>
  <c r="K27" i="180"/>
  <c r="K8" i="180" s="1"/>
  <c r="K17" i="180" s="1"/>
  <c r="L27" i="180"/>
  <c r="L8" i="180" s="1"/>
  <c r="M27" i="180"/>
  <c r="M8" i="180" s="1"/>
  <c r="N27" i="180"/>
  <c r="N8" i="180" s="1"/>
  <c r="N17" i="180" s="1"/>
  <c r="O27" i="180"/>
  <c r="O8" i="180" s="1"/>
  <c r="O17" i="180" s="1"/>
  <c r="P27" i="180"/>
  <c r="P8" i="180" s="1"/>
  <c r="Q27" i="180"/>
  <c r="Q8" i="180" s="1"/>
  <c r="I28" i="180"/>
  <c r="I9" i="180" s="1"/>
  <c r="J28" i="180"/>
  <c r="J9" i="180" s="1"/>
  <c r="J18" i="180" s="1"/>
  <c r="K28" i="180"/>
  <c r="K9" i="180" s="1"/>
  <c r="K18" i="180" s="1"/>
  <c r="L28" i="180"/>
  <c r="L9" i="180" s="1"/>
  <c r="L18" i="180" s="1"/>
  <c r="M28" i="180"/>
  <c r="M9" i="180" s="1"/>
  <c r="M18" i="180" s="1"/>
  <c r="N28" i="180"/>
  <c r="N9" i="180" s="1"/>
  <c r="N18" i="180" s="1"/>
  <c r="O28" i="180"/>
  <c r="O9" i="180" s="1"/>
  <c r="O18" i="180" s="1"/>
  <c r="P28" i="180"/>
  <c r="P9" i="180" s="1"/>
  <c r="P18" i="180" s="1"/>
  <c r="Q28" i="180"/>
  <c r="Q9" i="180" s="1"/>
  <c r="Q18" i="180" s="1"/>
  <c r="H25" i="180"/>
  <c r="H6" i="180" s="1"/>
  <c r="H15" i="180" s="1"/>
  <c r="H26" i="180"/>
  <c r="H7" i="180" s="1"/>
  <c r="H16" i="180" s="1"/>
  <c r="H27" i="180"/>
  <c r="H8" i="180" s="1"/>
  <c r="H17" i="180" s="1"/>
  <c r="H28" i="180"/>
  <c r="H9" i="180" s="1"/>
  <c r="H18" i="180" s="1"/>
  <c r="H24" i="180"/>
  <c r="H5" i="180" s="1"/>
  <c r="H32" i="180"/>
  <c r="I32" i="180"/>
  <c r="J32" i="180"/>
  <c r="K32" i="180"/>
  <c r="L32" i="180"/>
  <c r="M32" i="180"/>
  <c r="N32" i="180"/>
  <c r="O32" i="180"/>
  <c r="P32" i="180"/>
  <c r="Q32" i="180"/>
  <c r="H33" i="180"/>
  <c r="I33" i="180"/>
  <c r="J33" i="180"/>
  <c r="K33" i="180"/>
  <c r="L33" i="180"/>
  <c r="M33" i="180"/>
  <c r="N33" i="180"/>
  <c r="O33" i="180"/>
  <c r="P33" i="180"/>
  <c r="Q33" i="180"/>
  <c r="H34" i="180"/>
  <c r="I34" i="180"/>
  <c r="J34" i="180"/>
  <c r="K34" i="180"/>
  <c r="L34" i="180"/>
  <c r="M34" i="180"/>
  <c r="N34" i="180"/>
  <c r="O34" i="180"/>
  <c r="P34" i="180"/>
  <c r="Q34" i="180"/>
  <c r="H35" i="180"/>
  <c r="I35" i="180"/>
  <c r="J35" i="180"/>
  <c r="K35" i="180"/>
  <c r="L35" i="180"/>
  <c r="M35" i="180"/>
  <c r="N35" i="180"/>
  <c r="O35" i="180"/>
  <c r="P35" i="180"/>
  <c r="Q35" i="180"/>
  <c r="I31" i="180"/>
  <c r="J31" i="180"/>
  <c r="K31" i="180"/>
  <c r="L31" i="180"/>
  <c r="M31" i="180"/>
  <c r="N31" i="180"/>
  <c r="O31" i="180"/>
  <c r="P31" i="180"/>
  <c r="Q31" i="180"/>
  <c r="H46" i="180"/>
  <c r="I46" i="180"/>
  <c r="J46" i="180"/>
  <c r="K46" i="180"/>
  <c r="L46" i="180"/>
  <c r="M46" i="180"/>
  <c r="N46" i="180"/>
  <c r="O46" i="180"/>
  <c r="P46" i="180"/>
  <c r="Q46" i="180"/>
  <c r="H47" i="180"/>
  <c r="I47" i="180"/>
  <c r="J47" i="180"/>
  <c r="K47" i="180"/>
  <c r="L47" i="180"/>
  <c r="M47" i="180"/>
  <c r="N47" i="180"/>
  <c r="O47" i="180"/>
  <c r="P47" i="180"/>
  <c r="Q47" i="180"/>
  <c r="H48" i="180"/>
  <c r="I48" i="180"/>
  <c r="J48" i="180"/>
  <c r="K48" i="180"/>
  <c r="L48" i="180"/>
  <c r="M48" i="180"/>
  <c r="N48" i="180"/>
  <c r="O48" i="180"/>
  <c r="P48" i="180"/>
  <c r="Q48" i="180"/>
  <c r="H49" i="180"/>
  <c r="I49" i="180"/>
  <c r="J49" i="180"/>
  <c r="K49" i="180"/>
  <c r="L49" i="180"/>
  <c r="M49" i="180"/>
  <c r="N49" i="180"/>
  <c r="O49" i="180"/>
  <c r="P49" i="180"/>
  <c r="Q49" i="180"/>
  <c r="I45" i="180"/>
  <c r="J45" i="180"/>
  <c r="K45" i="180"/>
  <c r="L45" i="180"/>
  <c r="M45" i="180"/>
  <c r="N45" i="180"/>
  <c r="O45" i="180"/>
  <c r="P45" i="180"/>
  <c r="Q45" i="180"/>
  <c r="H45" i="180"/>
  <c r="H31" i="180"/>
  <c r="G14" i="180"/>
  <c r="G17" i="180"/>
  <c r="F17" i="180"/>
  <c r="G18" i="180"/>
  <c r="F18" i="180"/>
  <c r="E18" i="180"/>
  <c r="G16" i="180"/>
  <c r="D16" i="180"/>
  <c r="E16" i="180"/>
  <c r="F16" i="180"/>
  <c r="E15" i="180"/>
  <c r="F15" i="180"/>
  <c r="D14" i="180"/>
  <c r="E14" i="180"/>
  <c r="F14" i="180"/>
  <c r="G15" i="180"/>
  <c r="D15" i="180"/>
  <c r="C27" i="154"/>
  <c r="C33" i="154" s="1"/>
  <c r="C37" i="154" s="1"/>
  <c r="D27" i="154"/>
  <c r="C9" i="154"/>
  <c r="D9" i="154"/>
  <c r="E9" i="154"/>
  <c r="G9" i="154"/>
  <c r="F9" i="154"/>
  <c r="F20" i="154" s="1"/>
  <c r="G11" i="155"/>
  <c r="E11" i="155"/>
  <c r="C7" i="155"/>
  <c r="C11" i="155" s="1"/>
  <c r="C15" i="155" s="1"/>
  <c r="D7" i="155"/>
  <c r="D11" i="155" s="1"/>
  <c r="E7" i="155"/>
  <c r="G32" i="155"/>
  <c r="G28" i="155"/>
  <c r="G29" i="155"/>
  <c r="G45" i="154"/>
  <c r="G44" i="154"/>
  <c r="M17" i="180" l="1"/>
  <c r="K14" i="180"/>
  <c r="Q17" i="180"/>
  <c r="L14" i="180"/>
  <c r="L17" i="180"/>
  <c r="P17" i="180"/>
  <c r="Q16" i="180"/>
  <c r="O10" i="224"/>
  <c r="P8" i="177"/>
  <c r="J23" i="224"/>
  <c r="K13" i="177"/>
  <c r="J24" i="224"/>
  <c r="K14" i="177"/>
  <c r="J26" i="224"/>
  <c r="K16" i="177"/>
  <c r="J27" i="224"/>
  <c r="K17" i="177"/>
  <c r="J28" i="224"/>
  <c r="K18" i="177"/>
  <c r="J19" i="177"/>
  <c r="I29" i="224"/>
  <c r="J14" i="180"/>
  <c r="H73" i="224"/>
  <c r="J73" i="224"/>
  <c r="K73" i="224" s="1"/>
  <c r="L73" i="224" s="1"/>
  <c r="C11" i="225"/>
  <c r="C13" i="225" s="1"/>
  <c r="E23" i="225"/>
  <c r="M36" i="225" s="1"/>
  <c r="N31" i="225"/>
  <c r="Q14" i="180"/>
  <c r="H10" i="180"/>
  <c r="D29" i="207" s="1"/>
  <c r="H14" i="180"/>
  <c r="I14" i="180"/>
  <c r="M14" i="180"/>
  <c r="I18" i="180"/>
  <c r="I15" i="180"/>
  <c r="I16" i="180"/>
  <c r="I17" i="180"/>
  <c r="G38" i="224"/>
  <c r="C33" i="224"/>
  <c r="E33" i="224"/>
  <c r="D31" i="224"/>
  <c r="D33" i="224" s="1"/>
  <c r="D35" i="224" s="1"/>
  <c r="C20" i="224"/>
  <c r="D10" i="225"/>
  <c r="D13" i="225" s="1"/>
  <c r="D15" i="225" s="1"/>
  <c r="F10" i="225"/>
  <c r="F13" i="225" s="1"/>
  <c r="F15" i="225" s="1"/>
  <c r="E10" i="225"/>
  <c r="E13" i="225" s="1"/>
  <c r="E15" i="225" s="1"/>
  <c r="C30" i="225"/>
  <c r="G10" i="225"/>
  <c r="C31" i="225"/>
  <c r="G11" i="225"/>
  <c r="C32" i="225"/>
  <c r="F33" i="224"/>
  <c r="E20" i="224"/>
  <c r="F20" i="224"/>
  <c r="G45" i="224"/>
  <c r="C42" i="177"/>
  <c r="D26" i="178"/>
  <c r="D24" i="178"/>
  <c r="D23" i="178"/>
  <c r="D13" i="178"/>
  <c r="D18" i="178"/>
  <c r="C22" i="177"/>
  <c r="F13" i="178"/>
  <c r="F18" i="178"/>
  <c r="F17" i="178"/>
  <c r="G17" i="178"/>
  <c r="F11" i="178"/>
  <c r="G11" i="178"/>
  <c r="F12" i="178"/>
  <c r="G12" i="178"/>
  <c r="D38" i="177"/>
  <c r="F38" i="177"/>
  <c r="G38" i="177"/>
  <c r="G26" i="178"/>
  <c r="H39" i="177"/>
  <c r="E38" i="177"/>
  <c r="E13" i="178"/>
  <c r="G13" i="178"/>
  <c r="G18" i="178"/>
  <c r="H17" i="177"/>
  <c r="H18" i="177"/>
  <c r="H19" i="177"/>
  <c r="H8" i="177"/>
  <c r="H14" i="177"/>
  <c r="L11" i="169"/>
  <c r="D7" i="168"/>
  <c r="C8" i="168"/>
  <c r="D8" i="168"/>
  <c r="E7" i="168"/>
  <c r="C9" i="182"/>
  <c r="G9" i="182"/>
  <c r="D9" i="182"/>
  <c r="F9" i="182"/>
  <c r="C8" i="182"/>
  <c r="E8" i="182"/>
  <c r="G8" i="182"/>
  <c r="D8" i="182"/>
  <c r="F8" i="182"/>
  <c r="D7" i="182"/>
  <c r="E7" i="182"/>
  <c r="C7" i="182"/>
  <c r="F7" i="182"/>
  <c r="G7" i="182"/>
  <c r="F6" i="182"/>
  <c r="C6" i="182"/>
  <c r="E6" i="182"/>
  <c r="G6" i="182"/>
  <c r="D6" i="182"/>
  <c r="F5" i="182"/>
  <c r="C5" i="182"/>
  <c r="D5" i="182"/>
  <c r="G5" i="182"/>
  <c r="D33" i="154"/>
  <c r="D37" i="154" s="1"/>
  <c r="D41" i="154"/>
  <c r="C41" i="154"/>
  <c r="P10" i="224" l="1"/>
  <c r="Q8" i="177"/>
  <c r="Q10" i="224" s="1"/>
  <c r="K23" i="224"/>
  <c r="L13" i="177"/>
  <c r="L14" i="177"/>
  <c r="K24" i="224"/>
  <c r="K26" i="224"/>
  <c r="L16" i="177"/>
  <c r="K27" i="224"/>
  <c r="L17" i="177"/>
  <c r="K28" i="224"/>
  <c r="L18" i="177"/>
  <c r="J29" i="224"/>
  <c r="K19" i="177"/>
  <c r="G13" i="225"/>
  <c r="G15" i="225" s="1"/>
  <c r="N29" i="225" s="1"/>
  <c r="G54" i="224"/>
  <c r="D45" i="224"/>
  <c r="D46" i="224" s="1"/>
  <c r="C35" i="224"/>
  <c r="C38" i="224" s="1"/>
  <c r="E35" i="224"/>
  <c r="E38" i="224" s="1"/>
  <c r="E45" i="224"/>
  <c r="D30" i="225"/>
  <c r="D31" i="225"/>
  <c r="D34" i="225" s="1"/>
  <c r="F35" i="224"/>
  <c r="F38" i="224" s="1"/>
  <c r="F45" i="224"/>
  <c r="D42" i="177"/>
  <c r="F42" i="177"/>
  <c r="G42" i="177"/>
  <c r="E42" i="177"/>
  <c r="H26" i="178"/>
  <c r="M11" i="169"/>
  <c r="C40" i="168"/>
  <c r="D39" i="168"/>
  <c r="D40" i="168"/>
  <c r="G28" i="168"/>
  <c r="F28" i="168"/>
  <c r="E28" i="168"/>
  <c r="D28" i="168"/>
  <c r="C28" i="168"/>
  <c r="L23" i="224" l="1"/>
  <c r="M13" i="177"/>
  <c r="M14" i="177"/>
  <c r="L24" i="224"/>
  <c r="L26" i="224"/>
  <c r="M16" i="177"/>
  <c r="L27" i="224"/>
  <c r="M17" i="177"/>
  <c r="L28" i="224"/>
  <c r="M18" i="177"/>
  <c r="L19" i="177"/>
  <c r="K29" i="224"/>
  <c r="E52" i="224"/>
  <c r="F52" i="224"/>
  <c r="D32" i="225"/>
  <c r="E32" i="225" s="1"/>
  <c r="I26" i="178"/>
  <c r="N11" i="169"/>
  <c r="J17" i="192"/>
  <c r="J21" i="192" s="1"/>
  <c r="K17" i="192"/>
  <c r="K21" i="192" s="1"/>
  <c r="L17" i="192"/>
  <c r="L21" i="192" s="1"/>
  <c r="M17" i="192"/>
  <c r="M21" i="192" s="1"/>
  <c r="N17" i="192"/>
  <c r="N21" i="192" s="1"/>
  <c r="O17" i="192"/>
  <c r="O21" i="192" s="1"/>
  <c r="P17" i="192"/>
  <c r="P21" i="192" s="1"/>
  <c r="Q17" i="192"/>
  <c r="Q21" i="192" s="1"/>
  <c r="I17" i="192"/>
  <c r="I21" i="192" s="1"/>
  <c r="D8" i="207"/>
  <c r="D9" i="207"/>
  <c r="D10" i="207"/>
  <c r="D7" i="207"/>
  <c r="M23" i="224" l="1"/>
  <c r="N13" i="177"/>
  <c r="M24" i="224"/>
  <c r="N14" i="177"/>
  <c r="M26" i="224"/>
  <c r="N16" i="177"/>
  <c r="M27" i="224"/>
  <c r="N17" i="177"/>
  <c r="M28" i="224"/>
  <c r="N18" i="177"/>
  <c r="L29" i="224"/>
  <c r="M19" i="177"/>
  <c r="J26" i="178"/>
  <c r="O11" i="169"/>
  <c r="H14" i="192"/>
  <c r="I14" i="192"/>
  <c r="I20" i="19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N23" i="224" l="1"/>
  <c r="O13" i="177"/>
  <c r="N24" i="224"/>
  <c r="O14" i="177"/>
  <c r="N26" i="224"/>
  <c r="O16" i="177"/>
  <c r="N27" i="224"/>
  <c r="O17" i="177"/>
  <c r="O18" i="177"/>
  <c r="N28" i="224"/>
  <c r="N19" i="177"/>
  <c r="M29" i="224"/>
  <c r="K26" i="178"/>
  <c r="P11" i="169"/>
  <c r="O23" i="224" l="1"/>
  <c r="P13" i="177"/>
  <c r="O24" i="224"/>
  <c r="P14" i="177"/>
  <c r="O26" i="224"/>
  <c r="P16" i="177"/>
  <c r="O27" i="224"/>
  <c r="P17" i="177"/>
  <c r="O28" i="224"/>
  <c r="P18" i="177"/>
  <c r="N29" i="224"/>
  <c r="O19" i="177"/>
  <c r="L26" i="178"/>
  <c r="Q11" i="169"/>
  <c r="N14" i="192"/>
  <c r="M14" i="192"/>
  <c r="J14" i="192"/>
  <c r="K14" i="192"/>
  <c r="L14" i="192"/>
  <c r="B6" i="178"/>
  <c r="P23" i="224" l="1"/>
  <c r="Q13" i="177"/>
  <c r="Q23" i="224" s="1"/>
  <c r="P24" i="224"/>
  <c r="Q14" i="177"/>
  <c r="Q24" i="224" s="1"/>
  <c r="P26" i="224"/>
  <c r="Q16" i="177"/>
  <c r="Q26" i="224" s="1"/>
  <c r="P27" i="224"/>
  <c r="Q17" i="177"/>
  <c r="Q27" i="224" s="1"/>
  <c r="P28" i="224"/>
  <c r="Q18" i="177"/>
  <c r="Q28" i="224" s="1"/>
  <c r="P19" i="177"/>
  <c r="O29" i="224"/>
  <c r="M26" i="178"/>
  <c r="O14" i="192"/>
  <c r="B37" i="168"/>
  <c r="B3" i="168"/>
  <c r="P29" i="224" l="1"/>
  <c r="Q19" i="177"/>
  <c r="Q29" i="224" s="1"/>
  <c r="N26" i="178"/>
  <c r="Q14" i="192"/>
  <c r="P14" i="192"/>
  <c r="F8" i="185"/>
  <c r="E8" i="185"/>
  <c r="O26" i="178" l="1"/>
  <c r="F10" i="185"/>
  <c r="F6" i="185"/>
  <c r="C45" i="154"/>
  <c r="Q26" i="178" l="1"/>
  <c r="P26" i="178"/>
  <c r="B43" i="168"/>
  <c r="B40" i="168"/>
  <c r="E7" i="185" l="1"/>
  <c r="E10" i="185" s="1"/>
  <c r="F9" i="185"/>
  <c r="E10" i="180" l="1"/>
  <c r="D10" i="180"/>
  <c r="C10" i="180"/>
  <c r="F10" i="180"/>
  <c r="E45" i="154" l="1"/>
  <c r="E27" i="154"/>
  <c r="D20" i="154"/>
  <c r="C20" i="154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15" i="155"/>
  <c r="D15" i="155"/>
  <c r="E33" i="154" l="1"/>
  <c r="E37" i="154" s="1"/>
  <c r="E41" i="154"/>
  <c r="D48" i="154"/>
  <c r="C48" i="154"/>
  <c r="E20" i="154"/>
  <c r="E48" i="154" s="1"/>
  <c r="F27" i="155"/>
  <c r="F27" i="154"/>
  <c r="F41" i="154" s="1"/>
  <c r="G26" i="155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F33" i="154" l="1"/>
  <c r="F37" i="154" s="1"/>
  <c r="H7" i="185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48" i="154" l="1"/>
  <c r="F35" i="155"/>
  <c r="F34" i="155"/>
  <c r="G31" i="155" l="1"/>
  <c r="G30" i="155"/>
  <c r="Q10" i="191" l="1"/>
  <c r="P10" i="191"/>
  <c r="O10" i="191"/>
  <c r="N10" i="191"/>
  <c r="M10" i="191"/>
  <c r="Q19" i="182"/>
  <c r="Q9" i="182" s="1"/>
  <c r="Q18" i="182"/>
  <c r="Q8" i="182" s="1"/>
  <c r="Q17" i="182"/>
  <c r="Q7" i="182" s="1"/>
  <c r="Q16" i="182"/>
  <c r="Q6" i="182" s="1"/>
  <c r="Q15" i="182"/>
  <c r="Q5" i="182" s="1"/>
  <c r="P19" i="182"/>
  <c r="P9" i="182" s="1"/>
  <c r="P18" i="182"/>
  <c r="P8" i="182" s="1"/>
  <c r="P17" i="182"/>
  <c r="P7" i="182" s="1"/>
  <c r="P16" i="182"/>
  <c r="P6" i="182" s="1"/>
  <c r="P15" i="182"/>
  <c r="P5" i="182" s="1"/>
  <c r="O19" i="182"/>
  <c r="O9" i="182" s="1"/>
  <c r="O18" i="182"/>
  <c r="O8" i="182" s="1"/>
  <c r="O17" i="182"/>
  <c r="O7" i="182" s="1"/>
  <c r="O16" i="182"/>
  <c r="O6" i="182" s="1"/>
  <c r="O15" i="182"/>
  <c r="O5" i="182" s="1"/>
  <c r="N19" i="182"/>
  <c r="N9" i="182" s="1"/>
  <c r="N18" i="182"/>
  <c r="N8" i="182" s="1"/>
  <c r="N17" i="182"/>
  <c r="N7" i="182" s="1"/>
  <c r="N16" i="182"/>
  <c r="N6" i="182" s="1"/>
  <c r="N15" i="182"/>
  <c r="N5" i="182" s="1"/>
  <c r="M19" i="182"/>
  <c r="M9" i="182" s="1"/>
  <c r="M18" i="182"/>
  <c r="M8" i="182" s="1"/>
  <c r="M17" i="182"/>
  <c r="M7" i="182" s="1"/>
  <c r="M16" i="182"/>
  <c r="M6" i="182" s="1"/>
  <c r="M15" i="182"/>
  <c r="M5" i="182" s="1"/>
  <c r="C5" i="212" l="1"/>
  <c r="D27" i="178"/>
  <c r="E27" i="178"/>
  <c r="C7" i="172"/>
  <c r="H13" i="172" s="1"/>
  <c r="J14" i="204"/>
  <c r="G14" i="204"/>
  <c r="D14" i="204"/>
  <c r="J13" i="204"/>
  <c r="G13" i="204"/>
  <c r="J11" i="204"/>
  <c r="G11" i="204"/>
  <c r="D11" i="204"/>
  <c r="J10" i="204"/>
  <c r="G10" i="204"/>
  <c r="D10" i="204"/>
  <c r="J9" i="204"/>
  <c r="G9" i="204"/>
  <c r="D9" i="204"/>
  <c r="J8" i="204"/>
  <c r="G8" i="204"/>
  <c r="D8" i="204"/>
  <c r="J7" i="204"/>
  <c r="G7" i="204"/>
  <c r="H12" i="172" l="1"/>
  <c r="H11" i="172"/>
  <c r="G13" i="172"/>
  <c r="G27" i="178"/>
  <c r="G6" i="178"/>
  <c r="L7" i="204"/>
  <c r="M7" i="204" s="1"/>
  <c r="L13" i="204"/>
  <c r="M13" i="204" s="1"/>
  <c r="L14" i="204"/>
  <c r="L12" i="204"/>
  <c r="L8" i="204"/>
  <c r="M8" i="204" s="1"/>
  <c r="G15" i="204"/>
  <c r="M14" i="204"/>
  <c r="L9" i="204"/>
  <c r="M9" i="204" s="1"/>
  <c r="D13" i="204"/>
  <c r="J15" i="204"/>
  <c r="L10" i="204"/>
  <c r="M10" i="204" s="1"/>
  <c r="D7" i="204"/>
  <c r="L11" i="204"/>
  <c r="M11" i="204" s="1"/>
  <c r="F27" i="178"/>
  <c r="L13" i="172"/>
  <c r="K13" i="172"/>
  <c r="I13" i="172"/>
  <c r="J13" i="172"/>
  <c r="Q13" i="172"/>
  <c r="O13" i="172"/>
  <c r="N13" i="172"/>
  <c r="P13" i="172"/>
  <c r="M13" i="172"/>
  <c r="G10" i="193"/>
  <c r="I15" i="204"/>
  <c r="F15" i="204"/>
  <c r="C15" i="204"/>
  <c r="I12" i="172" l="1"/>
  <c r="L15" i="204"/>
  <c r="G8" i="169"/>
  <c r="M15" i="204"/>
  <c r="D15" i="204"/>
  <c r="D8" i="197" l="1"/>
  <c r="D17" i="197"/>
  <c r="D16" i="197"/>
  <c r="D12" i="197"/>
  <c r="D11" i="197"/>
  <c r="D9" i="197"/>
  <c r="F8" i="176"/>
  <c r="E8" i="176"/>
  <c r="D8" i="176"/>
  <c r="D19" i="197" l="1"/>
  <c r="G7" i="192"/>
  <c r="G8" i="176"/>
  <c r="D7" i="192"/>
  <c r="L10" i="191"/>
  <c r="K10" i="191"/>
  <c r="J10" i="191"/>
  <c r="I10" i="191"/>
  <c r="H10" i="191"/>
  <c r="D5" i="206"/>
  <c r="C6" i="206"/>
  <c r="C7" i="192" l="1"/>
  <c r="F7" i="192"/>
  <c r="E7" i="192"/>
  <c r="E5" i="206"/>
  <c r="E6" i="206"/>
  <c r="F5" i="206"/>
  <c r="F6" i="206"/>
  <c r="D6" i="206"/>
  <c r="D7" i="206" s="1"/>
  <c r="D6" i="176" s="1"/>
  <c r="C5" i="206"/>
  <c r="C7" i="206" s="1"/>
  <c r="C6" i="176" s="1"/>
  <c r="G5" i="206"/>
  <c r="G6" i="206"/>
  <c r="Q17" i="167"/>
  <c r="I17" i="167"/>
  <c r="N17" i="167"/>
  <c r="K17" i="167"/>
  <c r="J17" i="167"/>
  <c r="P17" i="167"/>
  <c r="O17" i="167"/>
  <c r="M17" i="167"/>
  <c r="L17" i="167"/>
  <c r="E7" i="191"/>
  <c r="D7" i="191"/>
  <c r="F7" i="191"/>
  <c r="C7" i="191"/>
  <c r="G7" i="191"/>
  <c r="F17" i="191" l="1"/>
  <c r="E7" i="206"/>
  <c r="E6" i="176" s="1"/>
  <c r="D17" i="191"/>
  <c r="G17" i="191"/>
  <c r="E17" i="191"/>
  <c r="G7" i="206"/>
  <c r="G6" i="176" s="1"/>
  <c r="F7" i="206"/>
  <c r="F6" i="176" s="1"/>
  <c r="H7" i="191"/>
  <c r="P27" i="186"/>
  <c r="N27" i="186"/>
  <c r="O27" i="186"/>
  <c r="Q27" i="186"/>
  <c r="M27" i="186"/>
  <c r="J27" i="186"/>
  <c r="I27" i="186"/>
  <c r="G27" i="186"/>
  <c r="L27" i="186"/>
  <c r="K27" i="186"/>
  <c r="H27" i="186"/>
  <c r="Q31" i="186"/>
  <c r="M31" i="186"/>
  <c r="N31" i="186"/>
  <c r="O31" i="186"/>
  <c r="P31" i="186"/>
  <c r="L31" i="186"/>
  <c r="K31" i="186"/>
  <c r="J31" i="186"/>
  <c r="I31" i="186"/>
  <c r="G31" i="186"/>
  <c r="H31" i="186"/>
  <c r="P30" i="186"/>
  <c r="Q30" i="186"/>
  <c r="M30" i="186"/>
  <c r="N30" i="186"/>
  <c r="O30" i="186"/>
  <c r="J30" i="186"/>
  <c r="I30" i="186"/>
  <c r="G30" i="186"/>
  <c r="H30" i="186"/>
  <c r="L30" i="186"/>
  <c r="K30" i="186"/>
  <c r="O28" i="186"/>
  <c r="N28" i="186"/>
  <c r="P28" i="186"/>
  <c r="Q28" i="186"/>
  <c r="M28" i="186"/>
  <c r="L28" i="186"/>
  <c r="K28" i="186"/>
  <c r="H28" i="186"/>
  <c r="G28" i="186"/>
  <c r="J28" i="186"/>
  <c r="I28" i="186"/>
  <c r="M29" i="186"/>
  <c r="P29" i="186"/>
  <c r="Q29" i="186"/>
  <c r="N29" i="186"/>
  <c r="O29" i="186"/>
  <c r="G29" i="186"/>
  <c r="I29" i="186"/>
  <c r="H29" i="186"/>
  <c r="L29" i="186"/>
  <c r="K29" i="186"/>
  <c r="J29" i="186"/>
  <c r="P10" i="167"/>
  <c r="P6" i="167" s="1"/>
  <c r="P14" i="167"/>
  <c r="P20" i="167"/>
  <c r="J20" i="167"/>
  <c r="J14" i="167"/>
  <c r="Q14" i="167"/>
  <c r="Q20" i="167"/>
  <c r="Q10" i="167"/>
  <c r="Q6" i="167" s="1"/>
  <c r="F5" i="176"/>
  <c r="O20" i="167"/>
  <c r="O14" i="167"/>
  <c r="O10" i="167" s="1"/>
  <c r="O6" i="167" s="1"/>
  <c r="H14" i="167"/>
  <c r="H20" i="167"/>
  <c r="K20" i="167"/>
  <c r="K14" i="167"/>
  <c r="M14" i="167"/>
  <c r="M10" i="167" s="1"/>
  <c r="M6" i="167" s="1"/>
  <c r="M20" i="167"/>
  <c r="N14" i="167"/>
  <c r="N10" i="167" s="1"/>
  <c r="N6" i="167" s="1"/>
  <c r="N20" i="167"/>
  <c r="L20" i="167"/>
  <c r="L14" i="167"/>
  <c r="I14" i="167"/>
  <c r="I20" i="167"/>
  <c r="L19" i="182"/>
  <c r="L9" i="182" s="1"/>
  <c r="K19" i="182"/>
  <c r="K9" i="182" s="1"/>
  <c r="J19" i="182"/>
  <c r="J9" i="182" s="1"/>
  <c r="I19" i="182"/>
  <c r="I9" i="182" s="1"/>
  <c r="H19" i="182"/>
  <c r="H9" i="182" s="1"/>
  <c r="L18" i="182"/>
  <c r="L8" i="182" s="1"/>
  <c r="K18" i="182"/>
  <c r="K8" i="182" s="1"/>
  <c r="J18" i="182"/>
  <c r="J8" i="182" s="1"/>
  <c r="I18" i="182"/>
  <c r="I8" i="182" s="1"/>
  <c r="H18" i="182"/>
  <c r="H8" i="182" s="1"/>
  <c r="L17" i="182"/>
  <c r="L7" i="182" s="1"/>
  <c r="K17" i="182"/>
  <c r="K7" i="182" s="1"/>
  <c r="J17" i="182"/>
  <c r="J7" i="182" s="1"/>
  <c r="I17" i="182"/>
  <c r="I7" i="182" s="1"/>
  <c r="H17" i="182"/>
  <c r="H7" i="182" s="1"/>
  <c r="L16" i="182"/>
  <c r="L6" i="182" s="1"/>
  <c r="K16" i="182"/>
  <c r="K6" i="182" s="1"/>
  <c r="J16" i="182"/>
  <c r="J6" i="182" s="1"/>
  <c r="I16" i="182"/>
  <c r="I6" i="182" s="1"/>
  <c r="H16" i="182"/>
  <c r="H6" i="182" s="1"/>
  <c r="L15" i="182"/>
  <c r="L5" i="182" s="1"/>
  <c r="K15" i="182"/>
  <c r="K5" i="182" s="1"/>
  <c r="J15" i="182"/>
  <c r="J5" i="182" s="1"/>
  <c r="I15" i="182"/>
  <c r="I5" i="182" s="1"/>
  <c r="H15" i="182"/>
  <c r="H5" i="182" s="1"/>
  <c r="H10" i="182" s="1"/>
  <c r="N24" i="186" l="1"/>
  <c r="N17" i="186" s="1"/>
  <c r="N9" i="186" s="1"/>
  <c r="N38" i="186"/>
  <c r="K22" i="186"/>
  <c r="K36" i="186"/>
  <c r="K15" i="186"/>
  <c r="K7" i="186" s="1"/>
  <c r="K23" i="186"/>
  <c r="K16" i="186" s="1"/>
  <c r="K8" i="186" s="1"/>
  <c r="K37" i="186"/>
  <c r="M24" i="186"/>
  <c r="M17" i="186" s="1"/>
  <c r="M9" i="186" s="1"/>
  <c r="M38" i="186"/>
  <c r="P15" i="186"/>
  <c r="P7" i="186" s="1"/>
  <c r="P36" i="186"/>
  <c r="P22" i="186"/>
  <c r="J20" i="186"/>
  <c r="J34" i="186"/>
  <c r="J13" i="186"/>
  <c r="J5" i="186" s="1"/>
  <c r="H22" i="186"/>
  <c r="H36" i="186"/>
  <c r="H15" i="186"/>
  <c r="H7" i="186" s="1"/>
  <c r="M16" i="186"/>
  <c r="M8" i="186" s="1"/>
  <c r="M37" i="186"/>
  <c r="M23" i="186"/>
  <c r="I36" i="186"/>
  <c r="I22" i="186"/>
  <c r="I15" i="186" s="1"/>
  <c r="I7" i="186" s="1"/>
  <c r="I21" i="186"/>
  <c r="I35" i="186"/>
  <c r="I14" i="186"/>
  <c r="I6" i="186" s="1"/>
  <c r="M21" i="186"/>
  <c r="M14" i="186" s="1"/>
  <c r="M6" i="186" s="1"/>
  <c r="M35" i="186"/>
  <c r="Q23" i="186"/>
  <c r="Q16" i="186" s="1"/>
  <c r="Q8" i="186" s="1"/>
  <c r="Q37" i="186"/>
  <c r="K17" i="186"/>
  <c r="K9" i="186" s="1"/>
  <c r="K24" i="186"/>
  <c r="K38" i="186"/>
  <c r="Q34" i="186"/>
  <c r="Q20" i="186"/>
  <c r="Q13" i="186" s="1"/>
  <c r="Q5" i="186" s="1"/>
  <c r="F6" i="167"/>
  <c r="N22" i="186"/>
  <c r="N15" i="186" s="1"/>
  <c r="N7" i="186" s="1"/>
  <c r="N36" i="186"/>
  <c r="O21" i="186"/>
  <c r="O14" i="186" s="1"/>
  <c r="O6" i="186" s="1"/>
  <c r="O35" i="186"/>
  <c r="G20" i="186"/>
  <c r="G13" i="186" s="1"/>
  <c r="G34" i="186"/>
  <c r="O37" i="186"/>
  <c r="O23" i="186"/>
  <c r="O16" i="186" s="1"/>
  <c r="O8" i="186" s="1"/>
  <c r="L22" i="186"/>
  <c r="L15" i="186" s="1"/>
  <c r="L7" i="186" s="1"/>
  <c r="L36" i="186"/>
  <c r="L37" i="186"/>
  <c r="L23" i="186"/>
  <c r="L16" i="186" s="1"/>
  <c r="L8" i="186" s="1"/>
  <c r="Q24" i="186"/>
  <c r="Q17" i="186" s="1"/>
  <c r="Q9" i="186" s="1"/>
  <c r="Q38" i="186"/>
  <c r="M22" i="186"/>
  <c r="M15" i="186" s="1"/>
  <c r="M7" i="186" s="1"/>
  <c r="M36" i="186"/>
  <c r="M13" i="186"/>
  <c r="M5" i="186" s="1"/>
  <c r="M20" i="186"/>
  <c r="M34" i="186"/>
  <c r="J14" i="186"/>
  <c r="J6" i="186" s="1"/>
  <c r="J21" i="186"/>
  <c r="J35" i="186"/>
  <c r="Q21" i="186"/>
  <c r="Q14" i="186" s="1"/>
  <c r="Q6" i="186" s="1"/>
  <c r="Q35" i="186"/>
  <c r="H37" i="186"/>
  <c r="H23" i="186"/>
  <c r="H16" i="186" s="1"/>
  <c r="H8" i="186" s="1"/>
  <c r="H8" i="193" s="1"/>
  <c r="P23" i="186"/>
  <c r="P16" i="186" s="1"/>
  <c r="P8" i="186" s="1"/>
  <c r="P37" i="186"/>
  <c r="L17" i="186"/>
  <c r="L9" i="186" s="1"/>
  <c r="L24" i="186"/>
  <c r="L38" i="186"/>
  <c r="H34" i="186"/>
  <c r="H20" i="186"/>
  <c r="H13" i="186" s="1"/>
  <c r="O20" i="186"/>
  <c r="O13" i="186" s="1"/>
  <c r="O5" i="186" s="1"/>
  <c r="O34" i="186"/>
  <c r="H21" i="186"/>
  <c r="H14" i="186" s="1"/>
  <c r="H6" i="186" s="1"/>
  <c r="H35" i="186"/>
  <c r="I38" i="186"/>
  <c r="I24" i="186"/>
  <c r="I17" i="186"/>
  <c r="I9" i="186" s="1"/>
  <c r="Q36" i="186"/>
  <c r="Q22" i="186"/>
  <c r="Q15" i="186" s="1"/>
  <c r="Q7" i="186" s="1"/>
  <c r="J38" i="186"/>
  <c r="J24" i="186"/>
  <c r="J17" i="186" s="1"/>
  <c r="J9" i="186" s="1"/>
  <c r="N23" i="186"/>
  <c r="N16" i="186" s="1"/>
  <c r="N8" i="186" s="1"/>
  <c r="N37" i="186"/>
  <c r="L35" i="186"/>
  <c r="L21" i="186"/>
  <c r="L14" i="186"/>
  <c r="L6" i="186" s="1"/>
  <c r="G22" i="186"/>
  <c r="G36" i="186"/>
  <c r="G15" i="186"/>
  <c r="G35" i="186"/>
  <c r="G21" i="186"/>
  <c r="G14" i="186" s="1"/>
  <c r="P21" i="186"/>
  <c r="P14" i="186" s="1"/>
  <c r="P6" i="186" s="1"/>
  <c r="P35" i="186"/>
  <c r="G37" i="186"/>
  <c r="G23" i="186"/>
  <c r="G16" i="186" s="1"/>
  <c r="H38" i="186"/>
  <c r="H24" i="186"/>
  <c r="H17" i="186" s="1"/>
  <c r="H9" i="186" s="1"/>
  <c r="H9" i="193" s="1"/>
  <c r="P38" i="186"/>
  <c r="P24" i="186"/>
  <c r="P17" i="186" s="1"/>
  <c r="P9" i="186" s="1"/>
  <c r="K13" i="186"/>
  <c r="K5" i="186" s="1"/>
  <c r="K34" i="186"/>
  <c r="K20" i="186"/>
  <c r="N20" i="186"/>
  <c r="N13" i="186" s="1"/>
  <c r="N5" i="186" s="1"/>
  <c r="N34" i="186"/>
  <c r="J22" i="186"/>
  <c r="J36" i="186"/>
  <c r="J15" i="186"/>
  <c r="J7" i="186" s="1"/>
  <c r="J23" i="186"/>
  <c r="J37" i="186"/>
  <c r="J16" i="186"/>
  <c r="J8" i="186" s="1"/>
  <c r="K35" i="186"/>
  <c r="K21" i="186"/>
  <c r="K14" i="186" s="1"/>
  <c r="K6" i="186" s="1"/>
  <c r="I34" i="186"/>
  <c r="I20" i="186"/>
  <c r="I13" i="186" s="1"/>
  <c r="I5" i="186" s="1"/>
  <c r="O36" i="186"/>
  <c r="O22" i="186"/>
  <c r="O15" i="186" s="1"/>
  <c r="O7" i="186" s="1"/>
  <c r="N35" i="186"/>
  <c r="N21" i="186"/>
  <c r="N14" i="186" s="1"/>
  <c r="N6" i="186" s="1"/>
  <c r="I23" i="186"/>
  <c r="I16" i="186" s="1"/>
  <c r="I8" i="186" s="1"/>
  <c r="I37" i="186"/>
  <c r="G24" i="186"/>
  <c r="G17" i="186" s="1"/>
  <c r="G38" i="186"/>
  <c r="O38" i="186"/>
  <c r="O24" i="186"/>
  <c r="O17" i="186" s="1"/>
  <c r="O9" i="186" s="1"/>
  <c r="L20" i="186"/>
  <c r="L34" i="186"/>
  <c r="L13" i="186"/>
  <c r="L5" i="186" s="1"/>
  <c r="P34" i="186"/>
  <c r="P20" i="186"/>
  <c r="P13" i="186" s="1"/>
  <c r="P5" i="186" s="1"/>
  <c r="G10" i="180"/>
  <c r="M5" i="193" l="1"/>
  <c r="D6" i="167"/>
  <c r="E6" i="167"/>
  <c r="H5" i="186"/>
  <c r="H5" i="193" s="1"/>
  <c r="I7" i="191"/>
  <c r="L5" i="193"/>
  <c r="K5" i="193"/>
  <c r="H7" i="193"/>
  <c r="I5" i="193"/>
  <c r="D5" i="176"/>
  <c r="E5" i="176"/>
  <c r="J5" i="193" l="1"/>
  <c r="J7" i="191"/>
  <c r="N5" i="193"/>
  <c r="G5" i="176"/>
  <c r="C5" i="176"/>
  <c r="K7" i="191" l="1"/>
  <c r="G21" i="177"/>
  <c r="G11" i="177"/>
  <c r="G29" i="177"/>
  <c r="G26" i="177"/>
  <c r="G32" i="177"/>
  <c r="H10" i="167"/>
  <c r="H6" i="167" s="1"/>
  <c r="L7" i="191" l="1"/>
  <c r="O5" i="193"/>
  <c r="L10" i="167"/>
  <c r="L6" i="167" s="1"/>
  <c r="J10" i="167"/>
  <c r="J6" i="167" s="1"/>
  <c r="K10" i="167"/>
  <c r="K6" i="167" s="1"/>
  <c r="I10" i="167"/>
  <c r="I6" i="167" s="1"/>
  <c r="G13" i="169"/>
  <c r="G12" i="169"/>
  <c r="G27" i="154"/>
  <c r="G20" i="154"/>
  <c r="G7" i="155"/>
  <c r="G41" i="154" l="1"/>
  <c r="G42" i="154"/>
  <c r="G33" i="154"/>
  <c r="G37" i="154" s="1"/>
  <c r="G15" i="155"/>
  <c r="G33" i="155" s="1"/>
  <c r="G43" i="154"/>
  <c r="G11" i="169" s="1"/>
  <c r="G14" i="169" s="1"/>
  <c r="P5" i="193"/>
  <c r="M7" i="191"/>
  <c r="G36" i="177"/>
  <c r="G48" i="154" l="1"/>
  <c r="G19" i="155"/>
  <c r="G21" i="155" s="1"/>
  <c r="G23" i="155" s="1"/>
  <c r="G46" i="154"/>
  <c r="N7" i="191"/>
  <c r="Q5" i="193"/>
  <c r="G34" i="155" l="1"/>
  <c r="G36" i="155"/>
  <c r="G35" i="155"/>
  <c r="O7" i="191"/>
  <c r="P7" i="191" l="1"/>
  <c r="C33" i="178"/>
  <c r="F6" i="178" l="1"/>
  <c r="F25" i="178" s="1"/>
  <c r="Q7" i="191"/>
  <c r="C32" i="178"/>
  <c r="E36" i="177" l="1"/>
  <c r="D36" i="177"/>
  <c r="C36" i="177"/>
  <c r="F32" i="177"/>
  <c r="E32" i="177"/>
  <c r="D32" i="177"/>
  <c r="C32" i="177"/>
  <c r="F29" i="177"/>
  <c r="E29" i="177"/>
  <c r="D29" i="177"/>
  <c r="C29" i="177"/>
  <c r="C26" i="177"/>
  <c r="F21" i="177"/>
  <c r="E21" i="177"/>
  <c r="D21" i="177"/>
  <c r="C21" i="177"/>
  <c r="F11" i="177"/>
  <c r="D11" i="177"/>
  <c r="C11" i="177"/>
  <c r="E22" i="178"/>
  <c r="B12" i="172"/>
  <c r="H29" i="177" l="1"/>
  <c r="H32" i="177"/>
  <c r="F26" i="177"/>
  <c r="D26" i="177"/>
  <c r="H21" i="177"/>
  <c r="H11" i="177"/>
  <c r="E6" i="178"/>
  <c r="E25" i="178" s="1"/>
  <c r="E11" i="177"/>
  <c r="E26" i="177"/>
  <c r="E23" i="178"/>
  <c r="D31" i="178"/>
  <c r="F22" i="178"/>
  <c r="F8" i="169"/>
  <c r="C8" i="169"/>
  <c r="D8" i="169"/>
  <c r="E8" i="169"/>
  <c r="F23" i="178"/>
  <c r="G22" i="178"/>
  <c r="F13" i="172"/>
  <c r="C13" i="172"/>
  <c r="D13" i="172"/>
  <c r="E13" i="172"/>
  <c r="H26" i="177" l="1"/>
  <c r="D14" i="178"/>
  <c r="E14" i="178"/>
  <c r="F14" i="178"/>
  <c r="E44" i="177"/>
  <c r="C44" i="177"/>
  <c r="D44" i="177"/>
  <c r="F45" i="154" l="1"/>
  <c r="F13" i="169" s="1"/>
  <c r="F44" i="154"/>
  <c r="F12" i="169" s="1"/>
  <c r="F43" i="154" l="1"/>
  <c r="F11" i="169" s="1"/>
  <c r="F14" i="169" s="1"/>
  <c r="F36" i="177"/>
  <c r="G8" i="168"/>
  <c r="F42" i="154"/>
  <c r="F8" i="168"/>
  <c r="G40" i="168" l="1"/>
  <c r="G39" i="168"/>
  <c r="F40" i="168"/>
  <c r="F39" i="168"/>
  <c r="F16" i="178"/>
  <c r="F46" i="154"/>
  <c r="F44" i="177"/>
  <c r="D16" i="178"/>
  <c r="G16" i="178" l="1"/>
  <c r="E8" i="168"/>
  <c r="E40" i="168" l="1"/>
  <c r="E39" i="168"/>
  <c r="E16" i="178"/>
  <c r="H37" i="168" l="1"/>
  <c r="H33" i="168" s="1"/>
  <c r="I40" i="168"/>
  <c r="H43" i="168"/>
  <c r="I39" i="168"/>
  <c r="H32" i="168"/>
  <c r="H8" i="168" s="1"/>
  <c r="H18" i="168" s="1"/>
  <c r="H42" i="168"/>
  <c r="H36" i="168"/>
  <c r="E13" i="169"/>
  <c r="D45" i="154"/>
  <c r="D13" i="169" s="1"/>
  <c r="C13" i="169"/>
  <c r="E44" i="154"/>
  <c r="E12" i="169" s="1"/>
  <c r="D44" i="154"/>
  <c r="D12" i="169" s="1"/>
  <c r="C44" i="154"/>
  <c r="C12" i="169" s="1"/>
  <c r="E42" i="154"/>
  <c r="D42" i="154"/>
  <c r="C42" i="154"/>
  <c r="H16" i="178" l="1"/>
  <c r="I18" i="168"/>
  <c r="J18" i="168"/>
  <c r="K18" i="168"/>
  <c r="L18" i="168"/>
  <c r="M18" i="168"/>
  <c r="N18" i="168"/>
  <c r="O18" i="168"/>
  <c r="P18" i="168"/>
  <c r="Q18" i="168"/>
  <c r="I37" i="168"/>
  <c r="I33" i="168" s="1"/>
  <c r="J40" i="168"/>
  <c r="I43" i="168"/>
  <c r="J39" i="168"/>
  <c r="I36" i="168"/>
  <c r="I32" i="168" s="1"/>
  <c r="I42" i="168"/>
  <c r="H28" i="168"/>
  <c r="H9" i="168" s="1"/>
  <c r="D43" i="154"/>
  <c r="D11" i="169" s="1"/>
  <c r="D14" i="169" s="1"/>
  <c r="C43" i="154"/>
  <c r="E43" i="154"/>
  <c r="F7" i="176"/>
  <c r="H10" i="168" l="1"/>
  <c r="H15" i="177" s="1"/>
  <c r="H8" i="178"/>
  <c r="H32" i="224" s="1"/>
  <c r="K40" i="168"/>
  <c r="J43" i="168"/>
  <c r="J33" i="168"/>
  <c r="J37" i="168"/>
  <c r="K39" i="168"/>
  <c r="J32" i="168"/>
  <c r="J36" i="168"/>
  <c r="J42" i="168"/>
  <c r="F9" i="176"/>
  <c r="E7" i="176"/>
  <c r="D46" i="154"/>
  <c r="C11" i="169"/>
  <c r="C46" i="154"/>
  <c r="E11" i="169"/>
  <c r="E14" i="169" s="1"/>
  <c r="E46" i="154"/>
  <c r="K43" i="168" l="1"/>
  <c r="L40" i="168"/>
  <c r="K37" i="168"/>
  <c r="K33" i="168" s="1"/>
  <c r="K32" i="168"/>
  <c r="L39" i="168"/>
  <c r="K36" i="168"/>
  <c r="K42" i="168"/>
  <c r="E9" i="176"/>
  <c r="E11" i="176" s="1"/>
  <c r="F11" i="176"/>
  <c r="F14" i="176" s="1"/>
  <c r="F5" i="178"/>
  <c r="F7" i="178" s="1"/>
  <c r="F9" i="178" s="1"/>
  <c r="F20" i="178" s="1"/>
  <c r="C14" i="169"/>
  <c r="D7" i="176"/>
  <c r="L37" i="168" l="1"/>
  <c r="L33" i="168" s="1"/>
  <c r="M40" i="168"/>
  <c r="L43" i="168"/>
  <c r="L32" i="168"/>
  <c r="L42" i="168"/>
  <c r="M39" i="168"/>
  <c r="L36" i="168"/>
  <c r="E14" i="176"/>
  <c r="J14" i="169"/>
  <c r="H14" i="169"/>
  <c r="I14" i="169"/>
  <c r="K14" i="169"/>
  <c r="L14" i="169"/>
  <c r="O14" i="169"/>
  <c r="P14" i="169"/>
  <c r="Q14" i="169"/>
  <c r="N14" i="169"/>
  <c r="M14" i="169"/>
  <c r="E5" i="178"/>
  <c r="E7" i="178" s="1"/>
  <c r="E9" i="178" s="1"/>
  <c r="E20" i="178" s="1"/>
  <c r="D9" i="176"/>
  <c r="F18" i="176"/>
  <c r="G7" i="176"/>
  <c r="N40" i="168" l="1"/>
  <c r="M33" i="168"/>
  <c r="M37" i="168"/>
  <c r="M43" i="168"/>
  <c r="N39" i="168"/>
  <c r="M36" i="168"/>
  <c r="M32" i="168" s="1"/>
  <c r="M42" i="168"/>
  <c r="E18" i="176"/>
  <c r="D11" i="176"/>
  <c r="D14" i="176" s="1"/>
  <c r="D5" i="178"/>
  <c r="D7" i="178" s="1"/>
  <c r="G9" i="176"/>
  <c r="D50" i="224" l="1"/>
  <c r="D52" i="224" s="1"/>
  <c r="D36" i="224"/>
  <c r="D38" i="224" s="1"/>
  <c r="N33" i="168"/>
  <c r="N37" i="168"/>
  <c r="N43" i="168"/>
  <c r="O40" i="168"/>
  <c r="N32" i="168"/>
  <c r="N36" i="168"/>
  <c r="O39" i="168"/>
  <c r="N42" i="168"/>
  <c r="D9" i="178"/>
  <c r="D20" i="178" s="1"/>
  <c r="D29" i="178" s="1"/>
  <c r="D18" i="176"/>
  <c r="G5" i="178"/>
  <c r="G7" i="178" s="1"/>
  <c r="G9" i="178" s="1"/>
  <c r="G14" i="178"/>
  <c r="G11" i="176"/>
  <c r="G14" i="176" s="1"/>
  <c r="O33" i="168" l="1"/>
  <c r="P40" i="168"/>
  <c r="O37" i="168"/>
  <c r="O43" i="168"/>
  <c r="P39" i="168"/>
  <c r="O42" i="168"/>
  <c r="O36" i="168"/>
  <c r="O32" i="168" s="1"/>
  <c r="D32" i="178"/>
  <c r="G18" i="176"/>
  <c r="P37" i="168" l="1"/>
  <c r="P33" i="168" s="1"/>
  <c r="Q40" i="168"/>
  <c r="P43" i="168"/>
  <c r="Q39" i="168"/>
  <c r="P42" i="168"/>
  <c r="P36" i="168"/>
  <c r="P32" i="168" s="1"/>
  <c r="G25" i="178"/>
  <c r="Q43" i="168" l="1"/>
  <c r="Q37" i="168"/>
  <c r="Q33" i="168" s="1"/>
  <c r="Q42" i="168"/>
  <c r="Q36" i="168"/>
  <c r="Q32" i="168" s="1"/>
  <c r="C7" i="176"/>
  <c r="C9" i="176" l="1"/>
  <c r="C11" i="176" s="1"/>
  <c r="C14" i="176" s="1"/>
  <c r="G20" i="178" l="1"/>
  <c r="F29" i="178"/>
  <c r="E29" i="178"/>
  <c r="E32" i="178" s="1"/>
  <c r="E31" i="178" l="1"/>
  <c r="E33" i="178" s="1"/>
  <c r="E35" i="178" s="1"/>
  <c r="F31" i="178" l="1"/>
  <c r="F33" i="178" s="1"/>
  <c r="F35" i="178" s="1"/>
  <c r="G23" i="178"/>
  <c r="G31" i="178" l="1"/>
  <c r="G29" i="178"/>
  <c r="G32" i="178" l="1"/>
  <c r="G33" i="178" s="1"/>
  <c r="H31" i="178" s="1"/>
  <c r="G44" i="177"/>
  <c r="G35" i="178" l="1"/>
  <c r="M8" i="193" l="1"/>
  <c r="M9" i="193"/>
  <c r="I7" i="193"/>
  <c r="I8" i="193"/>
  <c r="I9" i="193"/>
  <c r="I10" i="180"/>
  <c r="J10" i="180"/>
  <c r="H6" i="193"/>
  <c r="I6" i="193"/>
  <c r="I10" i="182"/>
  <c r="H5" i="176" l="1"/>
  <c r="H4" i="212"/>
  <c r="H5" i="167"/>
  <c r="H7" i="167" s="1"/>
  <c r="I4" i="212"/>
  <c r="I5" i="167"/>
  <c r="M7" i="193"/>
  <c r="I5" i="176"/>
  <c r="N8" i="193"/>
  <c r="N9" i="193"/>
  <c r="K10" i="180"/>
  <c r="J9" i="193"/>
  <c r="J7" i="193"/>
  <c r="J8" i="193"/>
  <c r="I10" i="186"/>
  <c r="I5" i="212" s="1"/>
  <c r="I10" i="193"/>
  <c r="H10" i="186"/>
  <c r="H5" i="212" s="1"/>
  <c r="H10" i="193"/>
  <c r="H20" i="176" l="1"/>
  <c r="H5" i="169"/>
  <c r="H6" i="177" s="1"/>
  <c r="H8" i="224" s="1"/>
  <c r="I25" i="177"/>
  <c r="I15" i="224" s="1"/>
  <c r="I31" i="177"/>
  <c r="I17" i="224" s="1"/>
  <c r="I35" i="177"/>
  <c r="I10" i="177"/>
  <c r="I9" i="224" s="1"/>
  <c r="I20" i="177"/>
  <c r="I30" i="224" s="1"/>
  <c r="I28" i="177"/>
  <c r="I16" i="224" s="1"/>
  <c r="H6" i="212"/>
  <c r="I6" i="212"/>
  <c r="I20" i="176"/>
  <c r="I5" i="169"/>
  <c r="I6" i="177" s="1"/>
  <c r="I8" i="224" s="1"/>
  <c r="N7" i="193"/>
  <c r="H20" i="177"/>
  <c r="H30" i="224" s="1"/>
  <c r="H35" i="177"/>
  <c r="H25" i="177"/>
  <c r="J10" i="182"/>
  <c r="O9" i="193"/>
  <c r="O8" i="193"/>
  <c r="L9" i="193"/>
  <c r="K9" i="193"/>
  <c r="K8" i="193"/>
  <c r="L8" i="193"/>
  <c r="L7" i="193"/>
  <c r="K7" i="193"/>
  <c r="H10" i="177"/>
  <c r="H9" i="224" s="1"/>
  <c r="H31" i="177"/>
  <c r="H17" i="224" s="1"/>
  <c r="H28" i="177"/>
  <c r="H16" i="224" s="1"/>
  <c r="I7" i="167"/>
  <c r="I8" i="176" s="1"/>
  <c r="H15" i="224" l="1"/>
  <c r="H18" i="178"/>
  <c r="J4" i="212"/>
  <c r="J5" i="167"/>
  <c r="J7" i="167" s="1"/>
  <c r="J8" i="176" s="1"/>
  <c r="I11" i="178"/>
  <c r="I18" i="178"/>
  <c r="H11" i="178"/>
  <c r="H17" i="178"/>
  <c r="I17" i="178"/>
  <c r="O7" i="193"/>
  <c r="L10" i="180"/>
  <c r="D30" i="207" s="1"/>
  <c r="J6" i="193"/>
  <c r="J10" i="193" s="1"/>
  <c r="J10" i="186"/>
  <c r="J5" i="212" s="1"/>
  <c r="H8" i="176"/>
  <c r="J5" i="176"/>
  <c r="K10" i="182"/>
  <c r="P9" i="193"/>
  <c r="Q9" i="193"/>
  <c r="P8" i="193"/>
  <c r="Q8" i="193"/>
  <c r="J10" i="177" l="1"/>
  <c r="J9" i="224" s="1"/>
  <c r="J20" i="177"/>
  <c r="J30" i="224" s="1"/>
  <c r="J28" i="177"/>
  <c r="J16" i="224" s="1"/>
  <c r="J25" i="177"/>
  <c r="J15" i="224" s="1"/>
  <c r="J31" i="177"/>
  <c r="J17" i="224" s="1"/>
  <c r="J35" i="177"/>
  <c r="J6" i="212"/>
  <c r="J20" i="176"/>
  <c r="J5" i="169"/>
  <c r="J6" i="177" s="1"/>
  <c r="J8" i="224" s="1"/>
  <c r="K4" i="212"/>
  <c r="K5" i="167"/>
  <c r="K7" i="167" s="1"/>
  <c r="K8" i="176" s="1"/>
  <c r="Q7" i="193"/>
  <c r="P7" i="193"/>
  <c r="L10" i="182"/>
  <c r="N10" i="180"/>
  <c r="L6" i="193"/>
  <c r="L10" i="193" s="1"/>
  <c r="M10" i="180"/>
  <c r="K5" i="176"/>
  <c r="K6" i="193"/>
  <c r="K10" i="193" s="1"/>
  <c r="K10" i="186"/>
  <c r="K5" i="212" s="1"/>
  <c r="M10" i="182"/>
  <c r="L10" i="186"/>
  <c r="L5" i="212" s="1"/>
  <c r="K10" i="177" l="1"/>
  <c r="K9" i="224" s="1"/>
  <c r="K20" i="177"/>
  <c r="K30" i="224" s="1"/>
  <c r="K25" i="177"/>
  <c r="K15" i="224" s="1"/>
  <c r="K31" i="177"/>
  <c r="K17" i="224" s="1"/>
  <c r="K28" i="177"/>
  <c r="K16" i="224" s="1"/>
  <c r="K35" i="177"/>
  <c r="K6" i="212"/>
  <c r="L4" i="212"/>
  <c r="L6" i="212" s="1"/>
  <c r="L5" i="167"/>
  <c r="L7" i="167" s="1"/>
  <c r="L8" i="176" s="1"/>
  <c r="K20" i="176"/>
  <c r="K5" i="169"/>
  <c r="K6" i="177" s="1"/>
  <c r="K8" i="224" s="1"/>
  <c r="M4" i="212"/>
  <c r="M5" i="167"/>
  <c r="M7" i="167" s="1"/>
  <c r="M8" i="176" s="1"/>
  <c r="J18" i="178"/>
  <c r="J17" i="178"/>
  <c r="J11" i="178"/>
  <c r="L5" i="176"/>
  <c r="M5" i="176"/>
  <c r="M6" i="193"/>
  <c r="M10" i="193" s="1"/>
  <c r="M10" i="186"/>
  <c r="M5" i="212" s="1"/>
  <c r="M6" i="212" s="1"/>
  <c r="L28" i="177" l="1"/>
  <c r="L16" i="224" s="1"/>
  <c r="L35" i="177"/>
  <c r="L10" i="177"/>
  <c r="L9" i="224" s="1"/>
  <c r="L20" i="177"/>
  <c r="L30" i="224" s="1"/>
  <c r="L25" i="177"/>
  <c r="L15" i="224" s="1"/>
  <c r="L31" i="177"/>
  <c r="L17" i="224" s="1"/>
  <c r="M10" i="177"/>
  <c r="M9" i="224" s="1"/>
  <c r="M20" i="177"/>
  <c r="M30" i="224" s="1"/>
  <c r="M25" i="177"/>
  <c r="M15" i="224" s="1"/>
  <c r="M31" i="177"/>
  <c r="M17" i="224" s="1"/>
  <c r="M28" i="177"/>
  <c r="M16" i="224" s="1"/>
  <c r="M35" i="177"/>
  <c r="L20" i="176"/>
  <c r="L5" i="169"/>
  <c r="L6" i="177" s="1"/>
  <c r="L8" i="224" s="1"/>
  <c r="M20" i="176"/>
  <c r="M5" i="169"/>
  <c r="M6" i="177" s="1"/>
  <c r="K18" i="178"/>
  <c r="K17" i="178"/>
  <c r="K11" i="178"/>
  <c r="O10" i="180"/>
  <c r="N10" i="182"/>
  <c r="N4" i="212" l="1"/>
  <c r="N5" i="167"/>
  <c r="N7" i="167" s="1"/>
  <c r="N8" i="176" s="1"/>
  <c r="L18" i="178"/>
  <c r="L17" i="178"/>
  <c r="L11" i="178"/>
  <c r="M18" i="178"/>
  <c r="M17" i="178"/>
  <c r="P10" i="180"/>
  <c r="O10" i="182"/>
  <c r="N6" i="193"/>
  <c r="N10" i="193" s="1"/>
  <c r="N10" i="186"/>
  <c r="N5" i="212" s="1"/>
  <c r="N5" i="176"/>
  <c r="M8" i="224"/>
  <c r="N6" i="212" l="1"/>
  <c r="N28" i="177"/>
  <c r="N16" i="224" s="1"/>
  <c r="N35" i="177"/>
  <c r="N10" i="177"/>
  <c r="N9" i="224" s="1"/>
  <c r="N20" i="177"/>
  <c r="N30" i="224" s="1"/>
  <c r="N25" i="177"/>
  <c r="N15" i="224" s="1"/>
  <c r="N31" i="177"/>
  <c r="N17" i="224" s="1"/>
  <c r="O4" i="212"/>
  <c r="O5" i="167"/>
  <c r="O7" i="167" s="1"/>
  <c r="O8" i="176" s="1"/>
  <c r="N20" i="176"/>
  <c r="N5" i="169"/>
  <c r="N6" i="177" s="1"/>
  <c r="N8" i="224" s="1"/>
  <c r="M11" i="178"/>
  <c r="Q10" i="180"/>
  <c r="D31" i="207" s="1"/>
  <c r="P10" i="182"/>
  <c r="O6" i="193"/>
  <c r="O10" i="193" s="1"/>
  <c r="O10" i="186"/>
  <c r="O5" i="212" s="1"/>
  <c r="O5" i="176"/>
  <c r="I7" i="168"/>
  <c r="O6" i="212" l="1"/>
  <c r="O10" i="177"/>
  <c r="O9" i="224" s="1"/>
  <c r="O20" i="177"/>
  <c r="O30" i="224" s="1"/>
  <c r="O25" i="177"/>
  <c r="O15" i="224" s="1"/>
  <c r="O31" i="177"/>
  <c r="O17" i="224" s="1"/>
  <c r="O28" i="177"/>
  <c r="O16" i="224" s="1"/>
  <c r="O35" i="177"/>
  <c r="P4" i="212"/>
  <c r="P5" i="167"/>
  <c r="P7" i="167" s="1"/>
  <c r="P8" i="176" s="1"/>
  <c r="O20" i="176"/>
  <c r="O5" i="169"/>
  <c r="O6" i="177" s="1"/>
  <c r="O8" i="224" s="1"/>
  <c r="N11" i="178"/>
  <c r="N18" i="178"/>
  <c r="N17" i="178"/>
  <c r="Q10" i="182"/>
  <c r="P6" i="193"/>
  <c r="P10" i="193" s="1"/>
  <c r="P10" i="186"/>
  <c r="P5" i="212" s="1"/>
  <c r="P5" i="176"/>
  <c r="I8" i="168"/>
  <c r="H44" i="224"/>
  <c r="P6" i="212" l="1"/>
  <c r="P28" i="177"/>
  <c r="P16" i="224" s="1"/>
  <c r="P35" i="177"/>
  <c r="P10" i="177"/>
  <c r="P9" i="224" s="1"/>
  <c r="P20" i="177"/>
  <c r="P30" i="224" s="1"/>
  <c r="P25" i="177"/>
  <c r="P15" i="224" s="1"/>
  <c r="P31" i="177"/>
  <c r="P17" i="224" s="1"/>
  <c r="I16" i="178"/>
  <c r="I19" i="168"/>
  <c r="I28" i="168" s="1"/>
  <c r="I9" i="168" s="1"/>
  <c r="I8" i="178" s="1"/>
  <c r="I32" i="224" s="1"/>
  <c r="Q4" i="212"/>
  <c r="Q5" i="167"/>
  <c r="Q7" i="167" s="1"/>
  <c r="Q8" i="176" s="1"/>
  <c r="P20" i="176"/>
  <c r="P5" i="169"/>
  <c r="P6" i="177" s="1"/>
  <c r="P8" i="224" s="1"/>
  <c r="H25" i="224"/>
  <c r="H31" i="224" s="1"/>
  <c r="H33" i="224" s="1"/>
  <c r="O11" i="178"/>
  <c r="O18" i="178"/>
  <c r="O17" i="178"/>
  <c r="Q5" i="176"/>
  <c r="Q6" i="193"/>
  <c r="Q10" i="193" s="1"/>
  <c r="Q10" i="186"/>
  <c r="Q5" i="212" s="1"/>
  <c r="O19" i="168"/>
  <c r="N19" i="168"/>
  <c r="M19" i="168"/>
  <c r="L19" i="168"/>
  <c r="K19" i="168"/>
  <c r="Q19" i="168"/>
  <c r="J19" i="168"/>
  <c r="P19" i="168"/>
  <c r="Q6" i="212" l="1"/>
  <c r="Q10" i="177"/>
  <c r="Q9" i="224" s="1"/>
  <c r="Q20" i="177"/>
  <c r="Q30" i="224" s="1"/>
  <c r="Q25" i="177"/>
  <c r="Q15" i="224" s="1"/>
  <c r="Q28" i="177"/>
  <c r="Q16" i="224" s="1"/>
  <c r="Q31" i="177"/>
  <c r="Q17" i="224" s="1"/>
  <c r="Q35" i="177"/>
  <c r="Q20" i="176"/>
  <c r="Q5" i="169"/>
  <c r="Q6" i="177" s="1"/>
  <c r="Q8" i="224" s="1"/>
  <c r="P11" i="178"/>
  <c r="P18" i="178"/>
  <c r="P17" i="178"/>
  <c r="I10" i="168"/>
  <c r="I15" i="177" s="1"/>
  <c r="Q17" i="178" l="1"/>
  <c r="Q11" i="178"/>
  <c r="Q18" i="178"/>
  <c r="J7" i="168"/>
  <c r="J8" i="168" l="1"/>
  <c r="I44" i="224"/>
  <c r="K20" i="168" l="1"/>
  <c r="L20" i="168"/>
  <c r="M20" i="168"/>
  <c r="N20" i="168"/>
  <c r="O20" i="168"/>
  <c r="P20" i="168"/>
  <c r="Q20" i="168"/>
  <c r="J20" i="168"/>
  <c r="J28" i="168" s="1"/>
  <c r="J9" i="168" s="1"/>
  <c r="J8" i="178" s="1"/>
  <c r="J32" i="224" s="1"/>
  <c r="J16" i="178"/>
  <c r="I25" i="224"/>
  <c r="I31" i="224" s="1"/>
  <c r="I33" i="224" s="1"/>
  <c r="J10" i="168" l="1"/>
  <c r="J15" i="177" s="1"/>
  <c r="K7" i="168" l="1"/>
  <c r="K8" i="168" s="1"/>
  <c r="K16" i="178" s="1"/>
  <c r="J44" i="224"/>
  <c r="J25" i="224" l="1"/>
  <c r="J31" i="224" s="1"/>
  <c r="J33" i="224" s="1"/>
  <c r="L21" i="168"/>
  <c r="K21" i="168"/>
  <c r="K28" i="168" s="1"/>
  <c r="K9" i="168" s="1"/>
  <c r="P21" i="168"/>
  <c r="O21" i="168"/>
  <c r="M21" i="168"/>
  <c r="Q21" i="168"/>
  <c r="N21" i="168"/>
  <c r="K10" i="168" l="1"/>
  <c r="K15" i="177" s="1"/>
  <c r="K8" i="178"/>
  <c r="K32" i="224" s="1"/>
  <c r="L7" i="168" l="1"/>
  <c r="L8" i="168" s="1"/>
  <c r="L16" i="178" s="1"/>
  <c r="K44" i="224"/>
  <c r="K25" i="224" l="1"/>
  <c r="K31" i="224" s="1"/>
  <c r="K33" i="224" s="1"/>
  <c r="Q22" i="168"/>
  <c r="P22" i="168"/>
  <c r="O22" i="168"/>
  <c r="N22" i="168"/>
  <c r="M22" i="168"/>
  <c r="L22" i="168"/>
  <c r="L28" i="168" s="1"/>
  <c r="L9" i="168" s="1"/>
  <c r="L10" i="168" l="1"/>
  <c r="L15" i="177" s="1"/>
  <c r="L8" i="178"/>
  <c r="L32" i="224" s="1"/>
  <c r="M7" i="168" l="1"/>
  <c r="M8" i="168" s="1"/>
  <c r="L44" i="224"/>
  <c r="L25" i="224" l="1"/>
  <c r="L31" i="224" s="1"/>
  <c r="L33" i="224" s="1"/>
  <c r="M16" i="178"/>
  <c r="M23" i="168"/>
  <c r="M28" i="168" s="1"/>
  <c r="M9" i="168" s="1"/>
  <c r="Q23" i="168"/>
  <c r="O23" i="168"/>
  <c r="N23" i="168"/>
  <c r="P23" i="168"/>
  <c r="M10" i="168" l="1"/>
  <c r="M15" i="177" s="1"/>
  <c r="M8" i="178"/>
  <c r="M32" i="224" s="1"/>
  <c r="N7" i="168" l="1"/>
  <c r="N8" i="168" s="1"/>
  <c r="N16" i="178" s="1"/>
  <c r="M44" i="224"/>
  <c r="M25" i="224" l="1"/>
  <c r="M31" i="224" s="1"/>
  <c r="M33" i="224" s="1"/>
  <c r="P24" i="168"/>
  <c r="N24" i="168"/>
  <c r="N28" i="168" s="1"/>
  <c r="N9" i="168" s="1"/>
  <c r="N8" i="178" s="1"/>
  <c r="N32" i="224" s="1"/>
  <c r="Q24" i="168"/>
  <c r="O24" i="168"/>
  <c r="N10" i="168" l="1"/>
  <c r="N15" i="177" s="1"/>
  <c r="O7" i="168" l="1"/>
  <c r="O8" i="168" s="1"/>
  <c r="N44" i="224"/>
  <c r="N25" i="224" l="1"/>
  <c r="N31" i="224" s="1"/>
  <c r="N33" i="224" s="1"/>
  <c r="O25" i="168"/>
  <c r="O28" i="168" s="1"/>
  <c r="O9" i="168" s="1"/>
  <c r="O16" i="178"/>
  <c r="Q25" i="168"/>
  <c r="P25" i="168"/>
  <c r="O8" i="178" l="1"/>
  <c r="O32" i="224" s="1"/>
  <c r="O10" i="168"/>
  <c r="O15" i="177" s="1"/>
  <c r="P7" i="168" l="1"/>
  <c r="P8" i="168" s="1"/>
  <c r="O44" i="224"/>
  <c r="O25" i="224" l="1"/>
  <c r="O31" i="224" s="1"/>
  <c r="O33" i="224" s="1"/>
  <c r="P16" i="178"/>
  <c r="P26" i="168"/>
  <c r="P28" i="168" s="1"/>
  <c r="P9" i="168" s="1"/>
  <c r="Q26" i="168"/>
  <c r="P8" i="178" l="1"/>
  <c r="P32" i="224" s="1"/>
  <c r="P10" i="168"/>
  <c r="P15" i="177" s="1"/>
  <c r="Q7" i="168" l="1"/>
  <c r="Q8" i="168" s="1"/>
  <c r="P44" i="224"/>
  <c r="Q16" i="178" l="1"/>
  <c r="Q27" i="168"/>
  <c r="Q28" i="168" s="1"/>
  <c r="Q9" i="168" s="1"/>
  <c r="P25" i="224"/>
  <c r="P31" i="224" s="1"/>
  <c r="P33" i="224" s="1"/>
  <c r="Q10" i="168" l="1"/>
  <c r="Q15" i="177" s="1"/>
  <c r="Q44" i="224" s="1"/>
  <c r="Q8" i="178"/>
  <c r="Q32" i="224" s="1"/>
  <c r="J11" i="192"/>
  <c r="J7" i="192" s="1"/>
  <c r="J7" i="206" s="1"/>
  <c r="J6" i="176" s="1"/>
  <c r="K11" i="192"/>
  <c r="K7" i="192" s="1"/>
  <c r="K7" i="206" s="1"/>
  <c r="K6" i="176" s="1"/>
  <c r="N11" i="192"/>
  <c r="N7" i="192" s="1"/>
  <c r="N7" i="206" s="1"/>
  <c r="N6" i="176" s="1"/>
  <c r="H11" i="192"/>
  <c r="H7" i="192" s="1"/>
  <c r="H7" i="206" s="1"/>
  <c r="H6" i="176" s="1"/>
  <c r="H6" i="169" s="1"/>
  <c r="H7" i="177" s="1"/>
  <c r="H7" i="224" s="1"/>
  <c r="H11" i="224" s="1"/>
  <c r="Q25" i="224" l="1"/>
  <c r="Q31" i="224" s="1"/>
  <c r="Q33" i="224" s="1"/>
  <c r="H12" i="178"/>
  <c r="M11" i="192"/>
  <c r="M7" i="192" s="1"/>
  <c r="M7" i="206" s="1"/>
  <c r="M6" i="176" s="1"/>
  <c r="M7" i="176" s="1"/>
  <c r="I11" i="192"/>
  <c r="I7" i="192" s="1"/>
  <c r="I7" i="206" s="1"/>
  <c r="I6" i="176" s="1"/>
  <c r="I7" i="169" s="1"/>
  <c r="I24" i="177" s="1"/>
  <c r="I14" i="224" s="1"/>
  <c r="I18" i="224" s="1"/>
  <c r="Q11" i="192"/>
  <c r="Q7" i="192" s="1"/>
  <c r="Q7" i="206" s="1"/>
  <c r="Q6" i="176" s="1"/>
  <c r="Q7" i="176" s="1"/>
  <c r="O11" i="192"/>
  <c r="O7" i="192" s="1"/>
  <c r="O7" i="206" s="1"/>
  <c r="O6" i="176" s="1"/>
  <c r="O6" i="169" s="1"/>
  <c r="O7" i="177" s="1"/>
  <c r="P11" i="192"/>
  <c r="P7" i="192" s="1"/>
  <c r="P7" i="206" s="1"/>
  <c r="P6" i="176" s="1"/>
  <c r="P6" i="169" s="1"/>
  <c r="P7" i="177" s="1"/>
  <c r="L11" i="192"/>
  <c r="L7" i="192" s="1"/>
  <c r="L7" i="206" s="1"/>
  <c r="L6" i="176" s="1"/>
  <c r="L7" i="176" s="1"/>
  <c r="N7" i="169"/>
  <c r="N24" i="177" s="1"/>
  <c r="N14" i="224" s="1"/>
  <c r="N18" i="224" s="1"/>
  <c r="N7" i="176"/>
  <c r="N6" i="169"/>
  <c r="N7" i="177" s="1"/>
  <c r="H7" i="169"/>
  <c r="H24" i="177" s="1"/>
  <c r="H14" i="224" s="1"/>
  <c r="H18" i="224" s="1"/>
  <c r="H20" i="224" s="1"/>
  <c r="H7" i="176"/>
  <c r="J6" i="169"/>
  <c r="J7" i="177" s="1"/>
  <c r="J7" i="176"/>
  <c r="J7" i="169"/>
  <c r="J24" i="177" s="1"/>
  <c r="J14" i="224" s="1"/>
  <c r="J18" i="224" s="1"/>
  <c r="K7" i="176"/>
  <c r="K6" i="169"/>
  <c r="K7" i="177" s="1"/>
  <c r="K7" i="169"/>
  <c r="K24" i="177" s="1"/>
  <c r="K14" i="224" s="1"/>
  <c r="K18" i="224" s="1"/>
  <c r="H45" i="224" l="1"/>
  <c r="H46" i="224" s="1"/>
  <c r="H35" i="224"/>
  <c r="H13" i="178"/>
  <c r="H14" i="178" s="1"/>
  <c r="K13" i="178"/>
  <c r="J13" i="178"/>
  <c r="I13" i="178"/>
  <c r="Q7" i="169"/>
  <c r="Q24" i="177" s="1"/>
  <c r="Q14" i="224" s="1"/>
  <c r="Q18" i="224" s="1"/>
  <c r="Q6" i="169"/>
  <c r="Q7" i="177" s="1"/>
  <c r="Q7" i="224" s="1"/>
  <c r="Q11" i="224" s="1"/>
  <c r="I6" i="169"/>
  <c r="M6" i="169"/>
  <c r="M7" i="177" s="1"/>
  <c r="M7" i="169"/>
  <c r="M24" i="177" s="1"/>
  <c r="M14" i="224" s="1"/>
  <c r="M18" i="224" s="1"/>
  <c r="I7" i="176"/>
  <c r="I9" i="176" s="1"/>
  <c r="I5" i="178" s="1"/>
  <c r="O7" i="176"/>
  <c r="O9" i="176" s="1"/>
  <c r="O5" i="178" s="1"/>
  <c r="O7" i="169"/>
  <c r="O24" i="177" s="1"/>
  <c r="O14" i="224" s="1"/>
  <c r="O18" i="224" s="1"/>
  <c r="L6" i="169"/>
  <c r="L7" i="177" s="1"/>
  <c r="L7" i="224" s="1"/>
  <c r="L11" i="224" s="1"/>
  <c r="L7" i="169"/>
  <c r="L24" i="177" s="1"/>
  <c r="L14" i="224" s="1"/>
  <c r="L18" i="224" s="1"/>
  <c r="P7" i="176"/>
  <c r="P7" i="169"/>
  <c r="P24" i="177" s="1"/>
  <c r="P14" i="224" s="1"/>
  <c r="P18" i="224" s="1"/>
  <c r="P7" i="224"/>
  <c r="P11" i="224" s="1"/>
  <c r="K9" i="176"/>
  <c r="K5" i="178" s="1"/>
  <c r="M9" i="176"/>
  <c r="M5" i="178" s="1"/>
  <c r="N7" i="224"/>
  <c r="N11" i="224" s="1"/>
  <c r="N20" i="224" s="1"/>
  <c r="N8" i="169"/>
  <c r="O7" i="224"/>
  <c r="O11" i="224" s="1"/>
  <c r="J9" i="176"/>
  <c r="J5" i="178" s="1"/>
  <c r="Q9" i="176"/>
  <c r="Q5" i="178" s="1"/>
  <c r="H9" i="176"/>
  <c r="N9" i="176"/>
  <c r="N5" i="178" s="1"/>
  <c r="K8" i="169"/>
  <c r="K7" i="224"/>
  <c r="K11" i="224" s="1"/>
  <c r="K20" i="224" s="1"/>
  <c r="J7" i="224"/>
  <c r="J11" i="224" s="1"/>
  <c r="J20" i="224" s="1"/>
  <c r="J8" i="169"/>
  <c r="L9" i="176"/>
  <c r="L5" i="178" s="1"/>
  <c r="H8" i="169"/>
  <c r="I8" i="169" l="1"/>
  <c r="I7" i="177"/>
  <c r="I7" i="224" s="1"/>
  <c r="I11" i="224" s="1"/>
  <c r="I20" i="224" s="1"/>
  <c r="H5" i="178"/>
  <c r="H11" i="176"/>
  <c r="H12" i="176" s="1"/>
  <c r="O20" i="224"/>
  <c r="I6" i="178"/>
  <c r="I48" i="224"/>
  <c r="O6" i="178"/>
  <c r="O49" i="224" s="1"/>
  <c r="O48" i="224"/>
  <c r="K6" i="178"/>
  <c r="K49" i="224" s="1"/>
  <c r="K48" i="224"/>
  <c r="M6" i="178"/>
  <c r="M49" i="224" s="1"/>
  <c r="M48" i="224"/>
  <c r="N35" i="224"/>
  <c r="J6" i="178"/>
  <c r="J49" i="224" s="1"/>
  <c r="J48" i="224"/>
  <c r="Q6" i="178"/>
  <c r="Q49" i="224" s="1"/>
  <c r="Q48" i="224"/>
  <c r="N6" i="178"/>
  <c r="N49" i="224" s="1"/>
  <c r="N48" i="224"/>
  <c r="K35" i="224"/>
  <c r="K45" i="224"/>
  <c r="K46" i="224" s="1"/>
  <c r="J35" i="224"/>
  <c r="L6" i="178"/>
  <c r="L49" i="224" s="1"/>
  <c r="L48" i="224"/>
  <c r="Q20" i="224"/>
  <c r="L20" i="224"/>
  <c r="P20" i="224"/>
  <c r="P13" i="178"/>
  <c r="O13" i="178"/>
  <c r="L13" i="178"/>
  <c r="O12" i="178"/>
  <c r="Q13" i="178"/>
  <c r="Q12" i="178"/>
  <c r="Q14" i="178" s="1"/>
  <c r="L12" i="178"/>
  <c r="K12" i="178"/>
  <c r="K14" i="178" s="1"/>
  <c r="P12" i="178"/>
  <c r="M13" i="178"/>
  <c r="N13" i="178"/>
  <c r="M8" i="169"/>
  <c r="Q8" i="169"/>
  <c r="O8" i="169"/>
  <c r="M7" i="224"/>
  <c r="M11" i="224" s="1"/>
  <c r="M20" i="224" s="1"/>
  <c r="L8" i="169"/>
  <c r="P9" i="176"/>
  <c r="P5" i="178" s="1"/>
  <c r="P8" i="169"/>
  <c r="H48" i="224" l="1"/>
  <c r="H6" i="178"/>
  <c r="O35" i="224"/>
  <c r="O45" i="224"/>
  <c r="O46" i="224" s="1"/>
  <c r="H25" i="178"/>
  <c r="I49" i="224"/>
  <c r="I7" i="178"/>
  <c r="Q45" i="224"/>
  <c r="Q46" i="224" s="1"/>
  <c r="Q35" i="224"/>
  <c r="L45" i="224"/>
  <c r="L46" i="224" s="1"/>
  <c r="L35" i="224"/>
  <c r="P45" i="224"/>
  <c r="P46" i="224" s="1"/>
  <c r="P35" i="224"/>
  <c r="J45" i="224"/>
  <c r="J46" i="224" s="1"/>
  <c r="I35" i="224"/>
  <c r="I45" i="224"/>
  <c r="I46" i="224" s="1"/>
  <c r="N45" i="224"/>
  <c r="N46" i="224" s="1"/>
  <c r="M35" i="224"/>
  <c r="M45" i="224"/>
  <c r="M46" i="224" s="1"/>
  <c r="P6" i="178"/>
  <c r="P49" i="224" s="1"/>
  <c r="P48" i="224"/>
  <c r="L14" i="178"/>
  <c r="O14" i="178"/>
  <c r="P14" i="178"/>
  <c r="I12" i="178"/>
  <c r="I14" i="178" s="1"/>
  <c r="J12" i="178"/>
  <c r="J14" i="178" s="1"/>
  <c r="M12" i="178"/>
  <c r="M14" i="178" s="1"/>
  <c r="N12" i="178"/>
  <c r="N14" i="178" s="1"/>
  <c r="H7" i="178" l="1"/>
  <c r="H49" i="224"/>
  <c r="I36" i="224"/>
  <c r="I38" i="224" s="1"/>
  <c r="I50" i="224"/>
  <c r="I9" i="178"/>
  <c r="I20" i="178" s="1"/>
  <c r="I18" i="172" s="1"/>
  <c r="H14" i="176"/>
  <c r="H50" i="224" l="1"/>
  <c r="H52" i="224" s="1"/>
  <c r="H54" i="224" s="1"/>
  <c r="H36" i="224"/>
  <c r="H38" i="224" s="1"/>
  <c r="H9" i="178"/>
  <c r="H20" i="178" s="1"/>
  <c r="H59" i="224" s="1"/>
  <c r="H18" i="172"/>
  <c r="H20" i="172" s="1"/>
  <c r="H40" i="177" s="1"/>
  <c r="I59" i="224"/>
  <c r="I19" i="172" l="1"/>
  <c r="I20" i="172"/>
  <c r="H19" i="172"/>
  <c r="H34" i="177" s="1"/>
  <c r="H40" i="224"/>
  <c r="I34" i="177" l="1"/>
  <c r="I38" i="177" s="1"/>
  <c r="H23" i="178"/>
  <c r="H24" i="178"/>
  <c r="H38" i="177"/>
  <c r="I11" i="172"/>
  <c r="J12" i="172" l="1"/>
  <c r="I22" i="172"/>
  <c r="I52" i="224" s="1"/>
  <c r="I54" i="224" s="1"/>
  <c r="H42" i="177"/>
  <c r="J11" i="172"/>
  <c r="K12" i="172" s="1"/>
  <c r="I10" i="176"/>
  <c r="J22" i="172" l="1"/>
  <c r="I23" i="178"/>
  <c r="H29" i="178"/>
  <c r="I11" i="176"/>
  <c r="J10" i="176"/>
  <c r="J22" i="178" s="1"/>
  <c r="H5" i="177" l="1"/>
  <c r="H32" i="178"/>
  <c r="H33" i="178" s="1"/>
  <c r="I31" i="178" s="1"/>
  <c r="K10" i="176"/>
  <c r="K22" i="178" s="1"/>
  <c r="J11" i="176"/>
  <c r="I12" i="176"/>
  <c r="I25" i="178" s="1"/>
  <c r="H22" i="177" l="1"/>
  <c r="H44" i="177" s="1"/>
  <c r="H35" i="178"/>
  <c r="I14" i="176"/>
  <c r="I40" i="177" s="1"/>
  <c r="K11" i="176"/>
  <c r="J12" i="176"/>
  <c r="J25" i="178" l="1"/>
  <c r="J7" i="178"/>
  <c r="J14" i="176"/>
  <c r="K12" i="176"/>
  <c r="J9" i="178" l="1"/>
  <c r="J20" i="178" s="1"/>
  <c r="J18" i="172" s="1"/>
  <c r="J50" i="224"/>
  <c r="J52" i="224" s="1"/>
  <c r="J36" i="224"/>
  <c r="J38" i="224" s="1"/>
  <c r="I40" i="224"/>
  <c r="I24" i="178"/>
  <c r="I29" i="178" s="1"/>
  <c r="I5" i="177" s="1"/>
  <c r="K25" i="178"/>
  <c r="K7" i="178"/>
  <c r="I42" i="177"/>
  <c r="K14" i="176"/>
  <c r="I22" i="177" l="1"/>
  <c r="I44" i="177" s="1"/>
  <c r="J59" i="224"/>
  <c r="J54" i="224"/>
  <c r="K9" i="178"/>
  <c r="K20" i="178" s="1"/>
  <c r="K18" i="172" s="1"/>
  <c r="K36" i="224"/>
  <c r="K38" i="224" s="1"/>
  <c r="K50" i="224"/>
  <c r="I32" i="178"/>
  <c r="I33" i="178" s="1"/>
  <c r="J31" i="178" s="1"/>
  <c r="J19" i="172" l="1"/>
  <c r="J34" i="177" s="1"/>
  <c r="J20" i="172"/>
  <c r="J40" i="177" s="1"/>
  <c r="K59" i="224"/>
  <c r="I35" i="178"/>
  <c r="J38" i="177" l="1"/>
  <c r="K20" i="172"/>
  <c r="K40" i="177" s="1"/>
  <c r="K19" i="172"/>
  <c r="K34" i="177" s="1"/>
  <c r="K11" i="172"/>
  <c r="J40" i="224"/>
  <c r="J24" i="178"/>
  <c r="K38" i="177" l="1"/>
  <c r="K40" i="224"/>
  <c r="K24" i="178"/>
  <c r="J23" i="178"/>
  <c r="J29" i="178" s="1"/>
  <c r="J5" i="177" s="1"/>
  <c r="J42" i="177"/>
  <c r="K22" i="172"/>
  <c r="K52" i="224" s="1"/>
  <c r="K54" i="224" s="1"/>
  <c r="L12" i="172"/>
  <c r="L10" i="176" s="1"/>
  <c r="L11" i="172"/>
  <c r="J22" i="177" l="1"/>
  <c r="J44" i="177" s="1"/>
  <c r="K23" i="178"/>
  <c r="K29" i="178" s="1"/>
  <c r="K5" i="177" s="1"/>
  <c r="K42" i="177"/>
  <c r="L11" i="176"/>
  <c r="L22" i="178"/>
  <c r="L22" i="172"/>
  <c r="M12" i="172"/>
  <c r="M10" i="176" s="1"/>
  <c r="J32" i="178"/>
  <c r="J33" i="178" s="1"/>
  <c r="K22" i="177" l="1"/>
  <c r="L12" i="176"/>
  <c r="L14" i="176" s="1"/>
  <c r="K32" i="178"/>
  <c r="K31" i="178"/>
  <c r="J35" i="178"/>
  <c r="M22" i="178"/>
  <c r="M11" i="176"/>
  <c r="M12" i="176" s="1"/>
  <c r="M7" i="178" s="1"/>
  <c r="L25" i="178" l="1"/>
  <c r="L7" i="178"/>
  <c r="K33" i="178"/>
  <c r="K44" i="177"/>
  <c r="M9" i="178"/>
  <c r="M20" i="178" s="1"/>
  <c r="M18" i="172" s="1"/>
  <c r="M50" i="224"/>
  <c r="M36" i="224"/>
  <c r="M38" i="224" s="1"/>
  <c r="M14" i="176"/>
  <c r="M25" i="178"/>
  <c r="M59" i="224" l="1"/>
  <c r="L9" i="178"/>
  <c r="L20" i="178" s="1"/>
  <c r="L18" i="172" s="1"/>
  <c r="L36" i="224"/>
  <c r="L38" i="224" s="1"/>
  <c r="L50" i="224"/>
  <c r="L52" i="224" s="1"/>
  <c r="L31" i="178"/>
  <c r="K35" i="178"/>
  <c r="L54" i="224" l="1"/>
  <c r="L59" i="224"/>
  <c r="L19" i="172" l="1"/>
  <c r="L34" i="177" s="1"/>
  <c r="L20" i="172"/>
  <c r="L40" i="177" s="1"/>
  <c r="M40" i="177" s="1"/>
  <c r="M20" i="172"/>
  <c r="M19" i="172"/>
  <c r="M34" i="177" l="1"/>
  <c r="L38" i="177"/>
  <c r="M11" i="172"/>
  <c r="N11" i="172" s="1"/>
  <c r="L24" i="178"/>
  <c r="L40" i="224"/>
  <c r="M38" i="177" l="1"/>
  <c r="M40" i="224"/>
  <c r="M24" i="178"/>
  <c r="N12" i="172"/>
  <c r="M22" i="172"/>
  <c r="M52" i="224" s="1"/>
  <c r="M54" i="224" s="1"/>
  <c r="L42" i="177"/>
  <c r="L23" i="178"/>
  <c r="L29" i="178" s="1"/>
  <c r="L5" i="177" s="1"/>
  <c r="M23" i="178"/>
  <c r="O12" i="172"/>
  <c r="L22" i="177" l="1"/>
  <c r="M29" i="178"/>
  <c r="M5" i="177" s="1"/>
  <c r="N22" i="172"/>
  <c r="N10" i="176"/>
  <c r="L32" i="178"/>
  <c r="L33" i="178" s="1"/>
  <c r="M31" i="178" s="1"/>
  <c r="O10" i="176"/>
  <c r="M42" i="177"/>
  <c r="M22" i="177" l="1"/>
  <c r="M44" i="177" s="1"/>
  <c r="M32" i="178"/>
  <c r="M33" i="178" s="1"/>
  <c r="N22" i="178"/>
  <c r="N11" i="176"/>
  <c r="L35" i="178"/>
  <c r="L44" i="177"/>
  <c r="O22" i="178"/>
  <c r="O11" i="176"/>
  <c r="O12" i="176" s="1"/>
  <c r="O7" i="178" s="1"/>
  <c r="N31" i="178" l="1"/>
  <c r="M35" i="178"/>
  <c r="N12" i="176"/>
  <c r="N14" i="176" s="1"/>
  <c r="O9" i="178"/>
  <c r="O20" i="178" s="1"/>
  <c r="O18" i="172" s="1"/>
  <c r="O19" i="172" s="1"/>
  <c r="O50" i="224"/>
  <c r="O36" i="224"/>
  <c r="O38" i="224" s="1"/>
  <c r="O14" i="176"/>
  <c r="O25" i="178"/>
  <c r="O59" i="224" l="1"/>
  <c r="N25" i="178"/>
  <c r="N7" i="178"/>
  <c r="O20" i="172" l="1"/>
  <c r="N50" i="224"/>
  <c r="N52" i="224" s="1"/>
  <c r="N36" i="224"/>
  <c r="N38" i="224" s="1"/>
  <c r="N9" i="178"/>
  <c r="N20" i="178" s="1"/>
  <c r="N18" i="172" s="1"/>
  <c r="N19" i="172" s="1"/>
  <c r="N54" i="224" l="1"/>
  <c r="N59" i="224"/>
  <c r="N20" i="172" l="1"/>
  <c r="N40" i="177" s="1"/>
  <c r="O40" i="177" s="1"/>
  <c r="O24" i="178" s="1"/>
  <c r="N34" i="177"/>
  <c r="O34" i="177" l="1"/>
  <c r="N38" i="177"/>
  <c r="O40" i="224"/>
  <c r="N24" i="178"/>
  <c r="N40" i="224"/>
  <c r="O11" i="172"/>
  <c r="O38" i="177" l="1"/>
  <c r="N42" i="177"/>
  <c r="N23" i="178"/>
  <c r="N29" i="178" s="1"/>
  <c r="N5" i="177" s="1"/>
  <c r="P11" i="172"/>
  <c r="P12" i="172"/>
  <c r="P10" i="176" s="1"/>
  <c r="O22" i="172"/>
  <c r="O52" i="224" s="1"/>
  <c r="O54" i="224" s="1"/>
  <c r="N22" i="177" l="1"/>
  <c r="O23" i="178"/>
  <c r="O29" i="178" s="1"/>
  <c r="O42" i="177"/>
  <c r="N32" i="178"/>
  <c r="N33" i="178" s="1"/>
  <c r="O31" i="178" s="1"/>
  <c r="Q12" i="172"/>
  <c r="P22" i="172"/>
  <c r="P11" i="176"/>
  <c r="P22" i="178"/>
  <c r="O32" i="178" l="1"/>
  <c r="O33" i="178" s="1"/>
  <c r="P31" i="178" s="1"/>
  <c r="O5" i="177"/>
  <c r="O22" i="177" s="1"/>
  <c r="N35" i="178"/>
  <c r="N44" i="177"/>
  <c r="P12" i="176"/>
  <c r="P14" i="176" s="1"/>
  <c r="O44" i="177" l="1"/>
  <c r="O35" i="178"/>
  <c r="P25" i="178"/>
  <c r="P7" i="178"/>
  <c r="Q10" i="176"/>
  <c r="P50" i="224" l="1"/>
  <c r="P52" i="224" s="1"/>
  <c r="P9" i="178"/>
  <c r="P20" i="178" s="1"/>
  <c r="P18" i="172" s="1"/>
  <c r="P36" i="224"/>
  <c r="P38" i="224" s="1"/>
  <c r="Q22" i="178"/>
  <c r="Q11" i="176"/>
  <c r="Q12" i="176" s="1"/>
  <c r="Q7" i="178" s="1"/>
  <c r="P20" i="172" l="1"/>
  <c r="P40" i="177" s="1"/>
  <c r="P19" i="172"/>
  <c r="P54" i="224"/>
  <c r="P59" i="224"/>
  <c r="Q9" i="178"/>
  <c r="Q20" i="178" s="1"/>
  <c r="Q18" i="172" s="1"/>
  <c r="Q50" i="224"/>
  <c r="Q52" i="224" s="1"/>
  <c r="Q36" i="224"/>
  <c r="Q38" i="224" s="1"/>
  <c r="Q14" i="176"/>
  <c r="Q25" i="178"/>
  <c r="Q59" i="224" l="1"/>
  <c r="P34" i="177"/>
  <c r="Q54" i="224"/>
  <c r="D67" i="224" s="1"/>
  <c r="D73" i="224" s="1"/>
  <c r="Q20" i="172" l="1"/>
  <c r="Q40" i="177" s="1"/>
  <c r="Q19" i="172"/>
  <c r="Q34" i="177" s="1"/>
  <c r="P38" i="177"/>
  <c r="P24" i="178"/>
  <c r="P40" i="224"/>
  <c r="Q11" i="172"/>
  <c r="Q22" i="172" s="1"/>
  <c r="Q40" i="224" l="1"/>
  <c r="Q24" i="178"/>
  <c r="Q38" i="177"/>
  <c r="Q23" i="178"/>
  <c r="P42" i="177"/>
  <c r="P23" i="178"/>
  <c r="P29" i="178" s="1"/>
  <c r="P5" i="177" s="1"/>
  <c r="P22" i="177" s="1"/>
  <c r="P44" i="177" l="1"/>
  <c r="Q29" i="178"/>
  <c r="Q5" i="177" s="1"/>
  <c r="Q22" i="177" s="1"/>
  <c r="Q42" i="177"/>
  <c r="P32" i="178"/>
  <c r="P33" i="178" s="1"/>
  <c r="Q31" i="178" s="1"/>
  <c r="Q44" i="177" l="1"/>
  <c r="P35" i="178"/>
  <c r="Q32" i="178"/>
  <c r="Q33" i="178" s="1"/>
  <c r="Q35" i="178" s="1"/>
  <c r="E31" i="225" l="1"/>
  <c r="N36" i="225"/>
  <c r="N37" i="225" l="1"/>
  <c r="N30" i="225"/>
  <c r="N32" i="225" s="1"/>
  <c r="N24" i="225" s="1"/>
  <c r="N25" i="225" s="1"/>
  <c r="M37" i="225" l="1"/>
  <c r="N38" i="225" s="1"/>
  <c r="D69" i="224" s="1"/>
  <c r="D74" i="224" s="1"/>
  <c r="G75" i="224" l="1"/>
  <c r="D77" i="224"/>
  <c r="G73" i="224" s="1"/>
  <c r="G76" i="224"/>
  <c r="I63" i="224"/>
  <c r="I62" i="224" s="1"/>
  <c r="I65" i="224" s="1"/>
  <c r="J63" i="224"/>
  <c r="J62" i="224" s="1"/>
  <c r="J65" i="224" s="1"/>
  <c r="K63" i="224"/>
  <c r="K62" i="224" s="1"/>
  <c r="K65" i="224" s="1"/>
  <c r="L63" i="224"/>
  <c r="L62" i="224" s="1"/>
  <c r="L65" i="224" s="1"/>
  <c r="M63" i="224"/>
  <c r="M62" i="224" s="1"/>
  <c r="M65" i="224" s="1"/>
  <c r="N63" i="224"/>
  <c r="N62" i="224" s="1"/>
  <c r="N65" i="224" s="1"/>
  <c r="O63" i="224"/>
  <c r="O62" i="224" s="1"/>
  <c r="O65" i="224" s="1"/>
  <c r="P63" i="224"/>
  <c r="P62" i="224" s="1"/>
  <c r="P65" i="224" s="1"/>
  <c r="Q63" i="224"/>
  <c r="Q62" i="224" s="1"/>
  <c r="H63" i="224"/>
  <c r="H62" i="224" s="1"/>
  <c r="H65" i="224" s="1"/>
  <c r="I75" i="224" l="1"/>
  <c r="L75" i="224"/>
  <c r="K75" i="224"/>
  <c r="J75" i="224"/>
  <c r="H75" i="224"/>
  <c r="H76" i="224"/>
  <c r="J76" i="224"/>
  <c r="K76" i="224"/>
  <c r="L76" i="224"/>
  <c r="I76" i="224"/>
  <c r="G74" i="224"/>
  <c r="G77" i="224"/>
  <c r="Q65" i="224"/>
  <c r="D82" i="224"/>
  <c r="D81" i="224"/>
  <c r="H74" i="224" l="1"/>
  <c r="J74" i="224"/>
  <c r="K74" i="224"/>
  <c r="L74" i="224"/>
  <c r="I74" i="224"/>
  <c r="G78" i="224"/>
  <c r="H77" i="224"/>
  <c r="J77" i="224"/>
  <c r="K77" i="224"/>
  <c r="L77" i="224"/>
  <c r="I77" i="224"/>
  <c r="D83" i="224"/>
  <c r="D87" i="224" s="1"/>
  <c r="D89" i="224" s="1"/>
  <c r="I78" i="224" l="1"/>
  <c r="L78" i="224"/>
  <c r="K78" i="224"/>
  <c r="J78" i="224"/>
  <c r="H78" i="224"/>
  <c r="G79" i="224"/>
  <c r="D93" i="224"/>
  <c r="I79" i="224" l="1"/>
  <c r="L79" i="224"/>
  <c r="K79" i="224"/>
  <c r="J79" i="224"/>
  <c r="H79" i="224"/>
</calcChain>
</file>

<file path=xl/sharedStrings.xml><?xml version="1.0" encoding="utf-8"?>
<sst xmlns="http://schemas.openxmlformats.org/spreadsheetml/2006/main" count="1065" uniqueCount="364">
  <si>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</si>
  <si>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</si>
  <si>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</si>
  <si>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</si>
  <si>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</si>
  <si>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</si>
  <si>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</si>
  <si>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</si>
  <si>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</si>
  <si>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</si>
  <si>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</si>
  <si>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</si>
  <si>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</si>
  <si>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</si>
  <si>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</si>
  <si>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</si>
  <si>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</si>
  <si>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Other assets</t>
  </si>
  <si>
    <t>Total assets</t>
  </si>
  <si>
    <t>Accounts payable</t>
  </si>
  <si>
    <t>Deferred revenue</t>
  </si>
  <si>
    <t>Customer deposits</t>
  </si>
  <si>
    <t>Current portion of long-term debt and capital leases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</si>
  <si>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</si>
  <si>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</si>
  <si>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</si>
  <si>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</si>
  <si>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</si>
  <si>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</si>
  <si>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</si>
  <si>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</si>
  <si>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</si>
  <si>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Accrued liabilities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</si>
  <si>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</si>
  <si>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</si>
  <si>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</si>
  <si>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</si>
  <si>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</si>
  <si>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DSO</t>
  </si>
  <si>
    <t>DIO</t>
  </si>
  <si>
    <t>DPO</t>
  </si>
  <si>
    <t>Net Trading Cycle</t>
  </si>
  <si>
    <t>ROA</t>
  </si>
  <si>
    <t>ROE</t>
  </si>
  <si>
    <t>EBIT %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</si>
  <si>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</si>
  <si>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</si>
  <si>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</si>
  <si>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</si>
  <si>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</si>
  <si>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</si>
  <si>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</si>
  <si>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</si>
  <si>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</si>
  <si>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Output --&gt;</t>
  </si>
  <si>
    <t>Total</t>
  </si>
  <si>
    <t>Selected case: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</si>
  <si>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</si>
  <si>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</si>
  <si>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</si>
  <si>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</si>
  <si>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</si>
  <si>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</si>
  <si>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</si>
  <si>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</si>
  <si>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</si>
  <si>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</si>
  <si>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Beginning PP&amp;E</t>
  </si>
  <si>
    <t>Capex</t>
  </si>
  <si>
    <t>D&amp;A</t>
  </si>
  <si>
    <t>Ending PP&amp;E</t>
  </si>
  <si>
    <t>Capex as a % of PP&amp;E</t>
  </si>
  <si>
    <t>Useful life historical assets</t>
  </si>
  <si>
    <t>Useful life Capex</t>
  </si>
  <si>
    <t>Working capital</t>
  </si>
  <si>
    <t>Trade receivables</t>
  </si>
  <si>
    <t>Trade payables</t>
  </si>
  <si>
    <t>Cost of sales</t>
  </si>
  <si>
    <t>Financing</t>
  </si>
  <si>
    <t>Workings  --&gt;</t>
  </si>
  <si>
    <t>P&amp;L</t>
  </si>
  <si>
    <t>Taxes</t>
  </si>
  <si>
    <t>Net Income</t>
  </si>
  <si>
    <t>Revenues</t>
  </si>
  <si>
    <t>Operating expenses</t>
  </si>
  <si>
    <t>Interest expenses/income</t>
  </si>
  <si>
    <t>Corporate tax rate</t>
  </si>
  <si>
    <t>Cash</t>
  </si>
  <si>
    <t>Prepaid expenses</t>
  </si>
  <si>
    <t>Operating lease vehicles</t>
  </si>
  <si>
    <t>Solar energy systems leased</t>
  </si>
  <si>
    <t>PP&amp;E</t>
  </si>
  <si>
    <t>Long-term debt</t>
  </si>
  <si>
    <t>Intangible assets</t>
  </si>
  <si>
    <t>Total liabilities &amp; equity</t>
  </si>
  <si>
    <t>Equity</t>
  </si>
  <si>
    <t>Check</t>
  </si>
  <si>
    <t>as a % of revenues</t>
  </si>
  <si>
    <t>Stays flat</t>
  </si>
  <si>
    <t>Assumption</t>
  </si>
  <si>
    <t>PP&amp;E sheet</t>
  </si>
  <si>
    <t>Working capital sheet</t>
  </si>
  <si>
    <t>Cash flow sheet</t>
  </si>
  <si>
    <t>Grows as a % of revenues</t>
  </si>
  <si>
    <t>Financing sheet</t>
  </si>
  <si>
    <t>Interest rate</t>
  </si>
  <si>
    <t>Cash Flow</t>
  </si>
  <si>
    <t>NOPAT</t>
  </si>
  <si>
    <t>Investments in Working Capital</t>
  </si>
  <si>
    <t>Unlevered Free Cash Flow</t>
  </si>
  <si>
    <t>Interest expenses</t>
  </si>
  <si>
    <t>Delta Financial liabilities</t>
  </si>
  <si>
    <t>Net Cash Flow</t>
  </si>
  <si>
    <t>Opening cash</t>
  </si>
  <si>
    <t>Closing cash</t>
  </si>
  <si>
    <t>Other liabilties</t>
  </si>
  <si>
    <t>Delta equity/Other equity movements</t>
  </si>
  <si>
    <t>Cover negative cash flows with:</t>
  </si>
  <si>
    <t>Debt</t>
  </si>
  <si>
    <t>Tax adjustment</t>
  </si>
  <si>
    <t>Add-back D&amp;A</t>
  </si>
  <si>
    <t>Expected inflation</t>
  </si>
  <si>
    <t>Fixed asset roll forward</t>
  </si>
  <si>
    <t>Gross Cash Flow</t>
  </si>
  <si>
    <t>P&amp;L Input</t>
  </si>
  <si>
    <t>Balance Sheet Input</t>
  </si>
  <si>
    <t>Restructuring and other</t>
  </si>
  <si>
    <t>KPIs</t>
  </si>
  <si>
    <t>Vehicle</t>
  </si>
  <si>
    <t>Tesla Semi</t>
  </si>
  <si>
    <t>Tesla Model 3</t>
  </si>
  <si>
    <t>Tesla Model Y</t>
  </si>
  <si>
    <t>Tesla Pickup</t>
  </si>
  <si>
    <t>Average Price ($)</t>
  </si>
  <si>
    <t>Deliveries</t>
  </si>
  <si>
    <t>Tesla Model S and X</t>
  </si>
  <si>
    <t>Tesla Deliveries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</si>
  <si>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</si>
  <si>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</si>
  <si>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</si>
  <si>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</si>
  <si>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</si>
  <si>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</si>
  <si>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</si>
  <si>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</si>
  <si>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</si>
  <si>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</si>
  <si>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</si>
  <si>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</si>
  <si>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</si>
  <si>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</si>
  <si>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</si>
  <si>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</si>
  <si>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</si>
  <si>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</si>
  <si>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</si>
  <si>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</si>
  <si>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</si>
  <si>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</si>
  <si>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</si>
  <si>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</si>
  <si>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</si>
  <si>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</si>
  <si>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</si>
  <si>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</si>
  <si>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</si>
  <si>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</si>
  <si>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</si>
  <si>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</si>
  <si>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</si>
  <si>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</si>
  <si>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</si>
  <si>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</si>
  <si>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</si>
  <si>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</si>
  <si>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</si>
  <si>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</si>
  <si>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</si>
  <si>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</si>
  <si>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</si>
  <si>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</si>
  <si>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Tesla PP&amp;E (in mln $)</t>
  </si>
  <si>
    <t>Energy &amp; Other</t>
  </si>
  <si>
    <t>Property, Plant &amp; Equipment</t>
  </si>
  <si>
    <t>Opex comparables</t>
  </si>
  <si>
    <t>Net trade cycle</t>
  </si>
  <si>
    <t>Tesla Working capital (in mln $)</t>
  </si>
  <si>
    <t>Cost of sales Energy &amp; Other</t>
  </si>
  <si>
    <t>Revenue Energy &amp; Other</t>
  </si>
  <si>
    <t>Income Statement items</t>
  </si>
  <si>
    <t>Tesla Financing (in mln $)</t>
  </si>
  <si>
    <t>Tesla Cash Flow (in mln $)</t>
  </si>
  <si>
    <t>Tesla P&amp;L (in mln $)</t>
  </si>
  <si>
    <t>Balance Sheet</t>
  </si>
  <si>
    <t>($ in million)</t>
  </si>
  <si>
    <t>Balance Sheet --&gt;</t>
  </si>
  <si>
    <t>Net income</t>
  </si>
  <si>
    <t>Minority interest</t>
  </si>
  <si>
    <t>2026
Fcst</t>
  </si>
  <si>
    <t>2027
Fcst</t>
  </si>
  <si>
    <t>2028
Fcst</t>
  </si>
  <si>
    <t>Deliveries comparables</t>
  </si>
  <si>
    <t>Revenue and Gross Profit automotive</t>
  </si>
  <si>
    <t>Revenue automotive</t>
  </si>
  <si>
    <t>Gross Profit automotive</t>
  </si>
  <si>
    <t>Working Capital comparables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</si>
  <si>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</si>
  <si>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</si>
  <si>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</si>
  <si>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</si>
  <si>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</si>
  <si>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</si>
  <si>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</si>
  <si>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</si>
  <si>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</si>
  <si>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</si>
  <si>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</si>
  <si>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</si>
  <si>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</si>
  <si>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</si>
  <si>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Operating lease right-of-use assets</t>
  </si>
  <si>
    <t>2029
Fcst</t>
  </si>
  <si>
    <t>Model and Version</t>
  </si>
  <si>
    <t>Base price</t>
  </si>
  <si>
    <t>Fully loaded</t>
  </si>
  <si>
    <t>348 miles</t>
  </si>
  <si>
    <t>Capex as a % of revenue</t>
  </si>
  <si>
    <t>Capex %</t>
  </si>
  <si>
    <t>Historic</t>
  </si>
  <si>
    <t>Comparables - 2019</t>
  </si>
  <si>
    <t>Average Price per Model</t>
  </si>
  <si>
    <t>Tesla Expected Deliveries</t>
  </si>
  <si>
    <t>Historic Average GP%</t>
  </si>
  <si>
    <t>Comparables 2019</t>
  </si>
  <si>
    <t>Average prices</t>
  </si>
  <si>
    <t>Tesla D&amp;A (in mln $)</t>
  </si>
  <si>
    <t>Total D&amp;A</t>
  </si>
  <si>
    <t>Tesla share price ( 08.06.2026)</t>
  </si>
  <si>
    <t>Company beta ( 08.06.2026)</t>
  </si>
  <si>
    <t>10-year treasury yield ( 08.06.2026)</t>
  </si>
  <si>
    <t>Bond Yield (Mar 19 2030)</t>
  </si>
  <si>
    <t>2021
Act</t>
  </si>
  <si>
    <t>2022
Act</t>
  </si>
  <si>
    <t>2023
Act</t>
  </si>
  <si>
    <t>2024
Act</t>
  </si>
  <si>
    <t>2025
Act</t>
  </si>
  <si>
    <t>Short-term investments</t>
  </si>
  <si>
    <t>Deferred revenue, net of current portion</t>
  </si>
  <si>
    <t>Deferred tax assets</t>
  </si>
  <si>
    <t>Redeemable noncontrolling interests in subsidiaries</t>
  </si>
  <si>
    <t xml:space="preserve">Good will </t>
  </si>
  <si>
    <t xml:space="preserve">Digital assets,net </t>
  </si>
  <si>
    <t>customer deposite</t>
  </si>
  <si>
    <t>2035
Fcst</t>
  </si>
  <si>
    <t>2034
Fcst</t>
  </si>
  <si>
    <t>2033
Fcst</t>
  </si>
  <si>
    <t>2032
Fcst</t>
  </si>
  <si>
    <t>2031
Fcst</t>
  </si>
  <si>
    <t>2030
Fcst</t>
  </si>
  <si>
    <t>Tesla Cybertruck</t>
  </si>
  <si>
    <t>Comparables 2021-2025</t>
  </si>
  <si>
    <t>Vehicle Sales 2021-2025 - average</t>
  </si>
  <si>
    <t>466 miles</t>
  </si>
  <si>
    <t>Tesla Model S</t>
  </si>
  <si>
    <t>Tesla Model X</t>
  </si>
  <si>
    <t>357 miles</t>
  </si>
  <si>
    <t>Range(max)</t>
  </si>
  <si>
    <t>405 miles</t>
  </si>
  <si>
    <t>340 miles</t>
  </si>
  <si>
    <t>805 miles</t>
  </si>
  <si>
    <t>BYD (BEV only)</t>
  </si>
  <si>
    <t>NIO</t>
  </si>
  <si>
    <t>XPeng</t>
  </si>
  <si>
    <t>Li Auto</t>
  </si>
  <si>
    <t>Rivian</t>
  </si>
  <si>
    <t>Lucid</t>
  </si>
  <si>
    <t>Toyota</t>
  </si>
  <si>
    <t>Volkswagen Group</t>
  </si>
  <si>
    <t>Hyundai-Kia</t>
  </si>
  <si>
    <t>General Motors</t>
  </si>
  <si>
    <t>Mercedes-Benz</t>
  </si>
  <si>
    <t>Tesla Model X &amp; S</t>
  </si>
  <si>
    <t xml:space="preserve">Tesla Cybertruck </t>
  </si>
  <si>
    <t>Base case(Historical Median)</t>
  </si>
  <si>
    <t>Net income incl. minority interests</t>
  </si>
  <si>
    <t>noncontrolling interests in subsidiaries</t>
  </si>
  <si>
    <t>Current Assets</t>
  </si>
  <si>
    <t xml:space="preserve">Total Current Assets </t>
  </si>
  <si>
    <t>Current Liabilities</t>
  </si>
  <si>
    <t>Total Current Liabilities</t>
  </si>
  <si>
    <t>Net Working Capital</t>
  </si>
  <si>
    <t>NON Current Assets</t>
  </si>
  <si>
    <t>NET Non Current Assets</t>
  </si>
  <si>
    <t>Accumulated Depreciation</t>
  </si>
  <si>
    <t>Inventories</t>
  </si>
  <si>
    <t>Calculation of ROIC</t>
  </si>
  <si>
    <t xml:space="preserve">Gross Block </t>
  </si>
  <si>
    <t xml:space="preserve">Invested Capital </t>
  </si>
  <si>
    <t>ROIC</t>
  </si>
  <si>
    <t xml:space="preserve">Calculation of Reinvestment Rate </t>
  </si>
  <si>
    <t>Change in Working Capital (NON Cash)</t>
  </si>
  <si>
    <t xml:space="preserve">EBIT </t>
  </si>
  <si>
    <t>EBIT (1-tax) (NOPAT)</t>
  </si>
  <si>
    <t>Reinvestment</t>
  </si>
  <si>
    <t xml:space="preserve">Marginal Tax </t>
  </si>
  <si>
    <t>Cost of Debt</t>
  </si>
  <si>
    <t>Cost of Equity</t>
  </si>
  <si>
    <t xml:space="preserve">Pre Tax Cost of Debt </t>
  </si>
  <si>
    <t>Risk Free Rate</t>
  </si>
  <si>
    <t>Tax</t>
  </si>
  <si>
    <t xml:space="preserve">Post Tax Cost of Debt </t>
  </si>
  <si>
    <t>Capital Structure</t>
  </si>
  <si>
    <t>Current</t>
  </si>
  <si>
    <t>Target</t>
  </si>
  <si>
    <t xml:space="preserve">Total Debt </t>
  </si>
  <si>
    <t>Target Debt/Equity</t>
  </si>
  <si>
    <t>Market Capitalization</t>
  </si>
  <si>
    <t>Tax Rate</t>
  </si>
  <si>
    <t>Total Capital</t>
  </si>
  <si>
    <t>Debt/Equity</t>
  </si>
  <si>
    <t>Total Cost</t>
  </si>
  <si>
    <t xml:space="preserve">Total Weight </t>
  </si>
  <si>
    <t>WACC</t>
  </si>
  <si>
    <t>Market risk premium</t>
  </si>
  <si>
    <t>D/E ratio</t>
  </si>
  <si>
    <t>Beta( 08.06.2026)</t>
  </si>
  <si>
    <t>DCF Valuation</t>
  </si>
  <si>
    <t xml:space="preserve">Mid Year Convention </t>
  </si>
  <si>
    <t xml:space="preserve">Discounting Factor </t>
  </si>
  <si>
    <t xml:space="preserve">PV of FCFF </t>
  </si>
  <si>
    <t xml:space="preserve">Expected Growth </t>
  </si>
  <si>
    <t xml:space="preserve">Calculation of Terminal Value </t>
  </si>
  <si>
    <t xml:space="preserve">Terminal growth Rate </t>
  </si>
  <si>
    <t xml:space="preserve">Terminal Value </t>
  </si>
  <si>
    <t>Calculation of Enterprise Value</t>
  </si>
  <si>
    <t>PV of FCFF</t>
  </si>
  <si>
    <t>PV of Terminal Value</t>
  </si>
  <si>
    <t>Value of Operating Asset</t>
  </si>
  <si>
    <t>Add: Cash</t>
  </si>
  <si>
    <t>Less: Debt</t>
  </si>
  <si>
    <t>Value of Equity</t>
  </si>
  <si>
    <t>No. of Shares</t>
  </si>
  <si>
    <t>Value per Share</t>
  </si>
  <si>
    <t>No. of Shares (million)</t>
  </si>
  <si>
    <t>Current Market Value per Share</t>
  </si>
  <si>
    <t>Reinvestment Rate</t>
  </si>
  <si>
    <t>Free cash flow to Firm (FCFF)</t>
  </si>
  <si>
    <t>FCFF(n+1)</t>
  </si>
  <si>
    <t>implied premium/discount multiple</t>
  </si>
  <si>
    <t>($ millions)</t>
  </si>
  <si>
    <t xml:space="preserve">unlevered beta </t>
  </si>
  <si>
    <r>
      <rPr>
        <sz val="11"/>
        <color theme="1"/>
        <rFont val="Calibri"/>
        <family val="2"/>
      </rP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</si>
  <si>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Unlevered Beta</t>
  </si>
  <si>
    <t>Levered Beta</t>
  </si>
  <si>
    <t xml:space="preserve">Long-term debt weight </t>
  </si>
  <si>
    <t xml:space="preserve">Equity weight </t>
  </si>
  <si>
    <t xml:space="preserve">Weighted Average Cost of Capital </t>
  </si>
  <si>
    <t>Net Capex</t>
  </si>
  <si>
    <t xml:space="preserve">Intrinsic growth rate </t>
  </si>
  <si>
    <t>Terminal Growth</t>
  </si>
  <si>
    <t>Sensitivity Analysis</t>
  </si>
  <si>
    <t>Prepaid Expenses</t>
  </si>
  <si>
    <t xml:space="preserve">Revenue growth rate </t>
  </si>
  <si>
    <t>Tesla Balance Sheet (in mln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</si>
</sst>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%"/>
    <numFmt numFmtId="168" formatCode="_(* #,##0.0_);_(* \(#,##0.0\);_(* &quot;-&quot;?_);_(@_)"/>
    <numFmt numFmtId="169" formatCode="_(* #,##0.000_);_(* \(#,##0.000\);_(* &quot;-&quot;??_);_(@_)"/>
    <numFmt numFmtId="170" formatCode="_(* #,##0.0_);_(* \(#,##0.0\);_(* &quot;-&quot;?_);@_l"/>
    <numFmt numFmtId="171" formatCode="_(* #,##0.0_);_(* \(#,##0.0\);_(* &quot;-&quot;?_);@_)"/>
    <numFmt numFmtId="172" formatCode="_(* #,##0_);_(* \(#,##0\);_(* &quot;-&quot;?_);@_)"/>
    <numFmt numFmtId="173" formatCode="[$$-45C]#,##0"/>
    <numFmt numFmtId="174" formatCode="_-[$$-409]* #,##0.00_ ;_-[$$-409]* \-#,##0.00\ ;_-[$$-409]* &quot;-&quot;??_ ;_-@_ "/>
    <numFmt numFmtId="175" formatCode="0.00000000000000%"/>
    <numFmt numFmtId="176" formatCode="0.00&quot;x&quot;"/>
    <numFmt numFmtId="177" formatCode="_(* #,##0.00_);_(* \(#,##0.00\);_(* &quot;-&quot;?_);@_)"/>
    <numFmt numFmtId="178" formatCode="#,##0.00_);\(#,##0.00\)"/>
  </numFmts>
  <fonts count="7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u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9"/>
      <color theme="0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b/>
      <i/>
      <sz val="9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theme="4"/>
      <name val="Arial"/>
      <family val="2"/>
      <charset val="204"/>
    </font>
    <font>
      <sz val="9"/>
      <color theme="4"/>
      <name val="Arial"/>
      <family val="2"/>
    </font>
    <font>
      <sz val="9"/>
      <color theme="5"/>
      <name val="Arial"/>
      <family val="2"/>
      <charset val="204"/>
    </font>
    <font>
      <sz val="8"/>
      <color theme="5"/>
      <name val="Arial"/>
      <family val="2"/>
      <charset val="204"/>
    </font>
    <font>
      <sz val="10"/>
      <name val="Arial"/>
      <family val="2"/>
    </font>
    <font>
      <b/>
      <sz val="10"/>
      <name val="Arial"/>
      <family val="2"/>
    </font>
    <font>
      <sz val="9"/>
      <color rgb="FF7030A0"/>
      <name val="Arial"/>
      <family val="2"/>
      <charset val="204"/>
    </font>
    <font>
      <b/>
      <u/>
      <sz val="10"/>
      <name val="Arial"/>
      <family val="2"/>
    </font>
    <font>
      <sz val="10"/>
      <color theme="4"/>
      <name val="Arial"/>
      <family val="2"/>
    </font>
    <font>
      <i/>
      <sz val="8"/>
      <color rgb="FF7030A0"/>
      <name val="Arial"/>
      <family val="2"/>
      <charset val="204"/>
    </font>
    <font>
      <sz val="8"/>
      <color rgb="FF7030A0"/>
      <name val="Arial"/>
      <family val="2"/>
      <charset val="204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0"/>
      <name val="Arial"/>
      <family val="2"/>
    </font>
    <font>
      <sz val="12"/>
      <color theme="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2060"/>
      <name val="Calibri"/>
      <family val="2"/>
    </font>
    <font>
      <vertAlign val="superscript"/>
      <sz val="11"/>
      <color theme="1"/>
      <name val="Calibri"/>
      <family val="2"/>
    </font>
    <font>
      <sz val="11"/>
      <name val="Calibri"/>
      <family val="2"/>
    </font>
    <font>
      <sz val="10"/>
      <color rgb="FF7030A0"/>
      <name val="Arial"/>
      <family val="2"/>
      <charset val="204"/>
    </font>
    <font>
      <sz val="11"/>
      <color rgb="FF7030A0"/>
      <name val="Calibri"/>
      <family val="2"/>
    </font>
    <font>
      <sz val="9"/>
      <color theme="2" tint="-0.499984740745262"/>
      <name val="Arial"/>
      <family val="2"/>
    </font>
    <font>
      <sz val="10"/>
      <color theme="2" tint="-0.499984740745262"/>
      <name val="Arial"/>
      <family val="2"/>
    </font>
    <font>
      <b/>
      <sz val="10"/>
      <name val="Arial"/>
      <family val="2"/>
      <charset val="204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8"/>
      <color rgb="FF0070C0"/>
      <name val="Arial"/>
      <family val="2"/>
      <charset val="204"/>
    </font>
    <font>
      <sz val="8"/>
      <color rgb="FFFF0000"/>
      <name val="Arial"/>
      <family val="2"/>
      <charset val="204"/>
    </font>
    <font>
      <sz val="9"/>
      <color rgb="FFFF0000"/>
      <name val="Arial"/>
      <family val="2"/>
      <charset val="204"/>
    </font>
    <font>
      <sz val="10"/>
      <color theme="0"/>
      <name val="Arial"/>
      <family val="2"/>
    </font>
    <font>
      <sz val="10"/>
      <color theme="0" tint="-0.249977111117893"/>
      <name val="Arial"/>
      <family val="2"/>
    </font>
    <font>
      <b/>
      <sz val="14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>
      <alignment vertical="top"/>
    </xf>
    <xf numFmtId="164" fontId="5" fillId="0" borderId="0">
      <alignment vertical="top"/>
    </xf>
    <xf numFmtId="9" fontId="5" fillId="0" borderId="0">
      <alignment vertical="top"/>
    </xf>
    <xf numFmtId="0" fontId="30" fillId="0" borderId="0" applyNumberFormat="0" applyFill="0" applyBorder="0" applyAlignment="0" applyProtection="0">
      <alignment vertical="top"/>
    </xf>
  </cellStyleXfs>
  <cellXfs count="370">
    <xf numFmtId="0" fontId="0" fillId="0" borderId="0" xfId="0">
      <alignment vertical="top"/>
    </xf>
    <xf numFmtId="0" fontId="0" fillId="2" borderId="0" xfId="0" applyFill="1">
      <alignment vertical="top"/>
    </xf>
    <xf numFmtId="0" fontId="9" fillId="2" borderId="0" xfId="0" applyFont="1" applyFill="1">
      <alignment vertical="top"/>
    </xf>
    <xf numFmtId="0" fontId="6" fillId="2" borderId="0" xfId="0" applyFont="1" applyFill="1">
      <alignment vertical="top"/>
    </xf>
    <xf numFmtId="166" fontId="5" fillId="2" borderId="0" xfId="1" applyNumberFormat="1" applyFill="1">
      <alignment vertical="top"/>
    </xf>
    <xf numFmtId="0" fontId="7" fillId="2" borderId="3" xfId="0" applyFont="1" applyFill="1" applyBorder="1" applyAlignment="1"/>
    <xf numFmtId="0" fontId="7" fillId="2" borderId="3" xfId="0" applyFont="1" applyFill="1" applyBorder="1" applyAlignment="1">
      <alignment horizontal="right" vertical="top" wrapText="1"/>
    </xf>
    <xf numFmtId="0" fontId="8" fillId="2" borderId="0" xfId="0" applyFont="1" applyFill="1">
      <alignment vertical="top"/>
    </xf>
    <xf numFmtId="0" fontId="7" fillId="2" borderId="1" xfId="0" applyFont="1" applyFill="1" applyBorder="1">
      <alignment vertical="top"/>
    </xf>
    <xf numFmtId="0" fontId="7" fillId="2" borderId="2" xfId="0" applyFont="1" applyFill="1" applyBorder="1">
      <alignment vertical="top"/>
    </xf>
    <xf numFmtId="0" fontId="10" fillId="2" borderId="0" xfId="0" applyFont="1" applyFill="1">
      <alignment vertical="top"/>
    </xf>
    <xf numFmtId="0" fontId="7" fillId="2" borderId="0" xfId="0" applyFont="1" applyFill="1">
      <alignment vertical="top"/>
    </xf>
    <xf numFmtId="0" fontId="11" fillId="5" borderId="0" xfId="0" applyFont="1" applyFill="1">
      <alignment vertical="top"/>
    </xf>
    <xf numFmtId="9" fontId="8" fillId="4" borderId="0" xfId="2" applyFont="1" applyFill="1">
      <alignment vertical="top"/>
    </xf>
    <xf numFmtId="167" fontId="8" fillId="2" borderId="0" xfId="2" applyNumberFormat="1" applyFont="1" applyFill="1">
      <alignment vertical="top"/>
    </xf>
    <xf numFmtId="0" fontId="9" fillId="2" borderId="0" xfId="0" applyFont="1" applyFill="1" applyAlignment="1"/>
    <xf numFmtId="0" fontId="0" fillId="2" borderId="0" xfId="0" applyFill="1" applyAlignment="1"/>
    <xf numFmtId="0" fontId="13" fillId="2" borderId="0" xfId="0" applyFont="1" applyFill="1" applyAlignment="1"/>
    <xf numFmtId="0" fontId="15" fillId="2" borderId="0" xfId="0" applyFont="1" applyFill="1" applyAlignment="1"/>
    <xf numFmtId="0" fontId="8" fillId="2" borderId="0" xfId="0" applyFont="1" applyFill="1" applyAlignment="1"/>
    <xf numFmtId="165" fontId="13" fillId="2" borderId="0" xfId="0" applyNumberFormat="1" applyFont="1" applyFill="1" applyAlignment="1"/>
    <xf numFmtId="0" fontId="12" fillId="2" borderId="0" xfId="0" applyFont="1" applyFill="1" applyAlignment="1"/>
    <xf numFmtId="0" fontId="16" fillId="2" borderId="0" xfId="0" applyFont="1" applyFill="1" applyAlignment="1"/>
    <xf numFmtId="0" fontId="16" fillId="2" borderId="1" xfId="0" applyFont="1" applyFill="1" applyBorder="1" applyAlignment="1"/>
    <xf numFmtId="169" fontId="0" fillId="2" borderId="0" xfId="0" applyNumberFormat="1" applyFill="1" applyAlignment="1"/>
    <xf numFmtId="9" fontId="8" fillId="2" borderId="0" xfId="0" applyNumberFormat="1" applyFont="1" applyFill="1">
      <alignment vertical="top"/>
    </xf>
    <xf numFmtId="0" fontId="17" fillId="2" borderId="0" xfId="0" applyFont="1" applyFill="1">
      <alignment vertical="top"/>
    </xf>
    <xf numFmtId="0" fontId="7" fillId="2" borderId="3" xfId="0" applyFont="1" applyFill="1" applyBorder="1" applyAlignment="1">
      <alignment horizontal="left" wrapText="1"/>
    </xf>
    <xf numFmtId="170" fontId="18" fillId="6" borderId="0" xfId="0" applyNumberFormat="1" applyFont="1" applyFill="1" applyAlignment="1"/>
    <xf numFmtId="171" fontId="7" fillId="2" borderId="5" xfId="0" applyNumberFormat="1" applyFont="1" applyFill="1" applyBorder="1" applyAlignment="1"/>
    <xf numFmtId="171" fontId="7" fillId="2" borderId="1" xfId="0" applyNumberFormat="1" applyFont="1" applyFill="1" applyBorder="1" applyAlignment="1"/>
    <xf numFmtId="170" fontId="13" fillId="2" borderId="0" xfId="0" applyNumberFormat="1" applyFont="1" applyFill="1" applyAlignment="1"/>
    <xf numFmtId="170" fontId="12" fillId="2" borderId="0" xfId="0" applyNumberFormat="1" applyFont="1" applyFill="1" applyAlignment="1"/>
    <xf numFmtId="171" fontId="11" fillId="5" borderId="2" xfId="0" applyNumberFormat="1" applyFont="1" applyFill="1" applyBorder="1" applyAlignment="1"/>
    <xf numFmtId="170" fontId="8" fillId="2" borderId="0" xfId="0" applyNumberFormat="1" applyFont="1" applyFill="1" applyAlignment="1"/>
    <xf numFmtId="167" fontId="13" fillId="2" borderId="0" xfId="0" applyNumberFormat="1" applyFont="1" applyFill="1" applyAlignment="1">
      <alignment horizontal="right"/>
    </xf>
    <xf numFmtId="167" fontId="13" fillId="2" borderId="0" xfId="0" applyNumberFormat="1" applyFont="1" applyFill="1" applyAlignment="1"/>
    <xf numFmtId="9" fontId="13" fillId="2" borderId="0" xfId="0" applyNumberFormat="1" applyFont="1" applyFill="1" applyAlignment="1"/>
    <xf numFmtId="165" fontId="16" fillId="2" borderId="0" xfId="1" applyNumberFormat="1" applyFont="1" applyFill="1" applyAlignment="1"/>
    <xf numFmtId="0" fontId="7" fillId="2" borderId="3" xfId="0" applyFont="1" applyFill="1" applyBorder="1" applyAlignment="1">
      <alignment horizontal="right" wrapText="1"/>
    </xf>
    <xf numFmtId="0" fontId="7" fillId="7" borderId="3" xfId="0" applyFont="1" applyFill="1" applyBorder="1" applyAlignment="1">
      <alignment horizontal="right" wrapText="1"/>
    </xf>
    <xf numFmtId="0" fontId="20" fillId="3" borderId="0" xfId="0" applyFont="1" applyFill="1" applyAlignment="1"/>
    <xf numFmtId="2" fontId="20" fillId="3" borderId="0" xfId="0" applyNumberFormat="1" applyFont="1" applyFill="1" applyAlignment="1"/>
    <xf numFmtId="0" fontId="21" fillId="3" borderId="0" xfId="0" applyFont="1" applyFill="1" applyAlignment="1"/>
    <xf numFmtId="0" fontId="18" fillId="3" borderId="0" xfId="0" applyFont="1" applyFill="1" applyAlignment="1"/>
    <xf numFmtId="0" fontId="22" fillId="3" borderId="0" xfId="0" applyFont="1" applyFill="1" applyAlignment="1"/>
    <xf numFmtId="172" fontId="8" fillId="2" borderId="0" xfId="0" applyNumberFormat="1" applyFont="1" applyFill="1" applyAlignment="1">
      <alignment horizontal="right" vertical="top"/>
    </xf>
    <xf numFmtId="9" fontId="17" fillId="3" borderId="0" xfId="2" applyFont="1" applyFill="1">
      <alignment vertical="top"/>
    </xf>
    <xf numFmtId="172" fontId="7" fillId="2" borderId="1" xfId="1" applyNumberFormat="1" applyFont="1" applyFill="1" applyBorder="1" applyAlignment="1">
      <alignment horizontal="right" vertical="top"/>
    </xf>
    <xf numFmtId="172" fontId="7" fillId="2" borderId="0" xfId="1" applyNumberFormat="1" applyFont="1" applyFill="1" applyAlignment="1">
      <alignment horizontal="right" vertical="top"/>
    </xf>
    <xf numFmtId="172" fontId="8" fillId="2" borderId="0" xfId="0" applyNumberFormat="1" applyFont="1" applyFill="1">
      <alignment vertical="top"/>
    </xf>
    <xf numFmtId="0" fontId="23" fillId="3" borderId="0" xfId="0" applyFont="1" applyFill="1">
      <alignment vertical="top"/>
    </xf>
    <xf numFmtId="0" fontId="17" fillId="3" borderId="0" xfId="0" applyFont="1" applyFill="1">
      <alignment vertical="top"/>
    </xf>
    <xf numFmtId="9" fontId="17" fillId="3" borderId="0" xfId="0" applyNumberFormat="1" applyFont="1" applyFill="1">
      <alignment vertical="top"/>
    </xf>
    <xf numFmtId="9" fontId="17" fillId="3" borderId="0" xfId="2" applyFont="1" applyFill="1" applyAlignment="1">
      <alignment horizontal="right" vertical="top"/>
    </xf>
    <xf numFmtId="0" fontId="17" fillId="3" borderId="0" xfId="0" applyFont="1" applyFill="1" applyAlignment="1">
      <alignment horizontal="right" vertical="top"/>
    </xf>
    <xf numFmtId="172" fontId="7" fillId="2" borderId="2" xfId="1" applyNumberFormat="1" applyFont="1" applyFill="1" applyBorder="1">
      <alignment vertical="top"/>
    </xf>
    <xf numFmtId="0" fontId="7" fillId="7" borderId="3" xfId="0" applyFont="1" applyFill="1" applyBorder="1" applyAlignment="1">
      <alignment horizontal="right" vertical="top" wrapText="1"/>
    </xf>
    <xf numFmtId="0" fontId="8" fillId="2" borderId="0" xfId="0" applyFont="1" applyFill="1" applyAlignment="1">
      <alignment horizontal="right" vertical="top"/>
    </xf>
    <xf numFmtId="0" fontId="24" fillId="2" borderId="0" xfId="0" applyFont="1" applyFill="1">
      <alignment vertical="top"/>
    </xf>
    <xf numFmtId="0" fontId="25" fillId="2" borderId="0" xfId="0" applyFont="1" applyFill="1">
      <alignment vertical="top"/>
    </xf>
    <xf numFmtId="167" fontId="8" fillId="2" borderId="0" xfId="0" applyNumberFormat="1" applyFont="1" applyFill="1" applyAlignment="1">
      <alignment horizontal="right" vertical="top"/>
    </xf>
    <xf numFmtId="172" fontId="7" fillId="2" borderId="1" xfId="0" applyNumberFormat="1" applyFont="1" applyFill="1" applyBorder="1">
      <alignment vertical="top"/>
    </xf>
    <xf numFmtId="0" fontId="26" fillId="3" borderId="0" xfId="0" applyFont="1" applyFill="1">
      <alignment vertical="top"/>
    </xf>
    <xf numFmtId="9" fontId="8" fillId="3" borderId="0" xfId="2" applyFont="1" applyFill="1">
      <alignment vertical="top"/>
    </xf>
    <xf numFmtId="0" fontId="7" fillId="2" borderId="4" xfId="0" applyFont="1" applyFill="1" applyBorder="1" applyAlignment="1"/>
    <xf numFmtId="0" fontId="27" fillId="5" borderId="0" xfId="0" applyFont="1" applyFill="1" applyAlignment="1"/>
    <xf numFmtId="0" fontId="28" fillId="2" borderId="0" xfId="0" applyFont="1" applyFill="1" applyAlignment="1"/>
    <xf numFmtId="0" fontId="27" fillId="2" borderId="0" xfId="0" applyFont="1" applyFill="1" applyAlignment="1"/>
    <xf numFmtId="166" fontId="7" fillId="2" borderId="4" xfId="0" applyNumberFormat="1" applyFont="1" applyFill="1" applyBorder="1" applyAlignment="1"/>
    <xf numFmtId="0" fontId="8" fillId="3" borderId="0" xfId="0" applyFont="1" applyFill="1">
      <alignment vertical="top"/>
    </xf>
    <xf numFmtId="164" fontId="8" fillId="7" borderId="0" xfId="0" applyNumberFormat="1" applyFont="1" applyFill="1">
      <alignment vertical="top"/>
    </xf>
    <xf numFmtId="0" fontId="8" fillId="3" borderId="0" xfId="0" applyFont="1" applyFill="1" applyAlignment="1"/>
    <xf numFmtId="165" fontId="13" fillId="2" borderId="0" xfId="1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171" fontId="7" fillId="2" borderId="1" xfId="0" applyNumberFormat="1" applyFont="1" applyFill="1" applyBorder="1" applyAlignment="1">
      <alignment horizontal="right"/>
    </xf>
    <xf numFmtId="165" fontId="19" fillId="5" borderId="2" xfId="0" applyNumberFormat="1" applyFont="1" applyFill="1" applyBorder="1" applyAlignment="1">
      <alignment horizontal="right"/>
    </xf>
    <xf numFmtId="165" fontId="11" fillId="5" borderId="2" xfId="0" applyNumberFormat="1" applyFont="1" applyFill="1" applyBorder="1" applyAlignment="1">
      <alignment horizontal="right"/>
    </xf>
    <xf numFmtId="165" fontId="8" fillId="2" borderId="0" xfId="0" applyNumberFormat="1" applyFont="1" applyFill="1" applyAlignment="1">
      <alignment horizontal="right"/>
    </xf>
    <xf numFmtId="0" fontId="17" fillId="6" borderId="0" xfId="0" applyFont="1" applyFill="1" applyAlignment="1"/>
    <xf numFmtId="0" fontId="26" fillId="6" borderId="0" xfId="0" applyFont="1" applyFill="1" applyAlignment="1"/>
    <xf numFmtId="168" fontId="8" fillId="2" borderId="0" xfId="0" applyNumberFormat="1" applyFont="1" applyFill="1">
      <alignment vertical="top"/>
    </xf>
    <xf numFmtId="166" fontId="13" fillId="2" borderId="0" xfId="1" applyNumberFormat="1" applyFont="1" applyFill="1" applyAlignment="1">
      <alignment horizontal="right"/>
    </xf>
    <xf numFmtId="166" fontId="7" fillId="2" borderId="5" xfId="0" applyNumberFormat="1" applyFont="1" applyFill="1" applyBorder="1" applyAlignment="1">
      <alignment horizontal="right"/>
    </xf>
    <xf numFmtId="0" fontId="29" fillId="2" borderId="0" xfId="0" applyFont="1" applyFill="1">
      <alignment vertical="top"/>
    </xf>
    <xf numFmtId="167" fontId="29" fillId="2" borderId="0" xfId="2" applyNumberFormat="1" applyFont="1" applyFill="1">
      <alignment vertical="top"/>
    </xf>
    <xf numFmtId="167" fontId="29" fillId="7" borderId="0" xfId="1" applyNumberFormat="1" applyFont="1" applyFill="1">
      <alignment vertical="top"/>
    </xf>
    <xf numFmtId="2" fontId="8" fillId="2" borderId="0" xfId="0" applyNumberFormat="1" applyFont="1" applyFill="1">
      <alignment vertical="top"/>
    </xf>
    <xf numFmtId="170" fontId="20" fillId="6" borderId="0" xfId="0" applyNumberFormat="1" applyFont="1" applyFill="1" applyAlignment="1"/>
    <xf numFmtId="0" fontId="31" fillId="2" borderId="0" xfId="0" applyFont="1" applyFill="1">
      <alignment vertical="top"/>
    </xf>
    <xf numFmtId="2" fontId="20" fillId="3" borderId="0" xfId="0" applyNumberFormat="1" applyFont="1" applyFill="1" applyAlignment="1">
      <alignment horizontal="right"/>
    </xf>
    <xf numFmtId="0" fontId="30" fillId="0" borderId="0" xfId="3">
      <alignment vertical="top"/>
    </xf>
    <xf numFmtId="172" fontId="0" fillId="2" borderId="0" xfId="0" applyNumberFormat="1" applyFill="1">
      <alignment vertical="top"/>
    </xf>
    <xf numFmtId="0" fontId="7" fillId="2" borderId="3" xfId="0" applyFont="1" applyFill="1" applyBorder="1" applyAlignment="1">
      <alignment horizontal="left"/>
    </xf>
    <xf numFmtId="167" fontId="5" fillId="0" borderId="0" xfId="2" applyNumberFormat="1">
      <alignment vertical="top"/>
    </xf>
    <xf numFmtId="167" fontId="8" fillId="8" borderId="0" xfId="0" applyNumberFormat="1" applyFont="1" applyFill="1">
      <alignment vertical="top"/>
    </xf>
    <xf numFmtId="0" fontId="32" fillId="2" borderId="0" xfId="0" applyFont="1" applyFill="1">
      <alignment vertical="top"/>
    </xf>
    <xf numFmtId="0" fontId="35" fillId="2" borderId="0" xfId="0" applyFont="1" applyFill="1">
      <alignment vertical="top"/>
    </xf>
    <xf numFmtId="0" fontId="34" fillId="2" borderId="0" xfId="0" applyFont="1" applyFill="1">
      <alignment vertical="top"/>
    </xf>
    <xf numFmtId="0" fontId="34" fillId="2" borderId="0" xfId="0" applyFont="1" applyFill="1" applyAlignment="1"/>
    <xf numFmtId="167" fontId="35" fillId="2" borderId="0" xfId="2" applyNumberFormat="1" applyFont="1" applyFill="1">
      <alignment vertical="top"/>
    </xf>
    <xf numFmtId="0" fontId="36" fillId="2" borderId="0" xfId="0" applyFont="1" applyFill="1">
      <alignment vertical="top"/>
    </xf>
    <xf numFmtId="0" fontId="36" fillId="2" borderId="0" xfId="0" applyFont="1" applyFill="1" applyAlignment="1">
      <alignment horizontal="left" vertical="top" indent="3"/>
    </xf>
    <xf numFmtId="0" fontId="33" fillId="2" borderId="3" xfId="0" applyFont="1" applyFill="1" applyBorder="1" applyAlignment="1">
      <alignment horizontal="left" vertical="center"/>
    </xf>
    <xf numFmtId="0" fontId="33" fillId="2" borderId="3" xfId="0" applyFont="1" applyFill="1" applyBorder="1" applyAlignment="1">
      <alignment horizontal="right" vertical="center" wrapText="1"/>
    </xf>
    <xf numFmtId="173" fontId="34" fillId="2" borderId="3" xfId="0" applyNumberFormat="1" applyFont="1" applyFill="1" applyBorder="1" applyAlignment="1">
      <alignment horizontal="right" vertical="center" wrapText="1"/>
    </xf>
    <xf numFmtId="10" fontId="37" fillId="2" borderId="0" xfId="0" applyNumberFormat="1" applyFont="1" applyFill="1">
      <alignment vertical="top"/>
    </xf>
    <xf numFmtId="9" fontId="37" fillId="2" borderId="0" xfId="0" applyNumberFormat="1" applyFont="1" applyFill="1">
      <alignment vertical="top"/>
    </xf>
    <xf numFmtId="0" fontId="37" fillId="2" borderId="0" xfId="0" applyFont="1" applyFill="1">
      <alignment vertical="top"/>
    </xf>
    <xf numFmtId="10" fontId="37" fillId="2" borderId="0" xfId="0" applyNumberFormat="1" applyFont="1" applyFill="1" applyAlignment="1"/>
    <xf numFmtId="172" fontId="37" fillId="2" borderId="0" xfId="1" applyNumberFormat="1" applyFont="1" applyFill="1" applyAlignment="1">
      <alignment horizontal="right" vertical="top"/>
    </xf>
    <xf numFmtId="167" fontId="37" fillId="2" borderId="0" xfId="2" applyNumberFormat="1" applyFont="1" applyFill="1">
      <alignment vertical="top"/>
    </xf>
    <xf numFmtId="167" fontId="37" fillId="2" borderId="0" xfId="0" applyNumberFormat="1" applyFont="1" applyFill="1" applyAlignment="1">
      <alignment horizontal="right" vertical="top"/>
    </xf>
    <xf numFmtId="166" fontId="39" fillId="2" borderId="0" xfId="1" applyNumberFormat="1" applyFont="1" applyFill="1" applyAlignment="1">
      <alignment horizontal="right"/>
    </xf>
    <xf numFmtId="167" fontId="37" fillId="2" borderId="0" xfId="0" applyNumberFormat="1" applyFont="1" applyFill="1">
      <alignment vertical="top"/>
    </xf>
    <xf numFmtId="0" fontId="8" fillId="2" borderId="0" xfId="0" applyFont="1" applyFill="1" applyAlignment="1">
      <alignment horizontal="left" vertical="top" indent="1"/>
    </xf>
    <xf numFmtId="0" fontId="42" fillId="0" borderId="0" xfId="0" applyFont="1" applyAlignment="1">
      <alignment horizontal="center" vertical="center" wrapText="1"/>
    </xf>
    <xf numFmtId="0" fontId="41" fillId="0" borderId="0" xfId="0" applyFont="1" applyAlignment="1">
      <alignment vertical="center" wrapText="1"/>
    </xf>
    <xf numFmtId="0" fontId="33" fillId="2" borderId="0" xfId="0" applyFont="1" applyFill="1" applyAlignment="1">
      <alignment horizontal="left" vertical="center"/>
    </xf>
    <xf numFmtId="0" fontId="33" fillId="2" borderId="0" xfId="0" applyFont="1" applyFill="1" applyAlignment="1">
      <alignment horizontal="right" vertical="center" wrapText="1"/>
    </xf>
    <xf numFmtId="0" fontId="42" fillId="0" borderId="0" xfId="0" applyFont="1" applyAlignment="1">
      <alignment horizontal="right" vertical="center" wrapText="1"/>
    </xf>
    <xf numFmtId="0" fontId="41" fillId="0" borderId="0" xfId="0" applyFont="1" applyAlignment="1">
      <alignment horizontal="right" vertical="center" wrapText="1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0" fontId="8" fillId="2" borderId="1" xfId="0" applyFont="1" applyFill="1" applyBorder="1">
      <alignment vertical="top"/>
    </xf>
    <xf numFmtId="174" fontId="41" fillId="0" borderId="0" xfId="0" applyNumberFormat="1" applyFont="1" applyAlignment="1">
      <alignment vertical="center"/>
    </xf>
    <xf numFmtId="174" fontId="0" fillId="0" borderId="0" xfId="0" applyNumberFormat="1">
      <alignment vertical="top"/>
    </xf>
    <xf numFmtId="174" fontId="0" fillId="2" borderId="0" xfId="0" applyNumberFormat="1" applyFill="1">
      <alignment vertical="top"/>
    </xf>
    <xf numFmtId="174" fontId="8" fillId="2" borderId="0" xfId="0" applyNumberFormat="1" applyFont="1" applyFill="1">
      <alignment vertical="top"/>
    </xf>
    <xf numFmtId="174" fontId="33" fillId="2" borderId="0" xfId="0" applyNumberFormat="1" applyFont="1" applyFill="1" applyAlignment="1">
      <alignment horizontal="right" vertical="center" wrapText="1"/>
    </xf>
    <xf numFmtId="174" fontId="35" fillId="2" borderId="0" xfId="0" applyNumberFormat="1" applyFont="1" applyFill="1">
      <alignment vertical="top"/>
    </xf>
    <xf numFmtId="0" fontId="41" fillId="2" borderId="0" xfId="0" applyFont="1" applyFill="1" applyAlignment="1">
      <alignment vertical="center" wrapText="1"/>
    </xf>
    <xf numFmtId="0" fontId="0" fillId="2" borderId="1" xfId="0" applyFill="1" applyBorder="1">
      <alignment vertical="top"/>
    </xf>
    <xf numFmtId="174" fontId="0" fillId="2" borderId="1" xfId="0" applyNumberFormat="1" applyFill="1" applyBorder="1">
      <alignment vertical="top"/>
    </xf>
    <xf numFmtId="9" fontId="45" fillId="2" borderId="0" xfId="0" applyNumberFormat="1" applyFont="1" applyFill="1" applyAlignment="1">
      <alignment horizontal="right" vertical="center" wrapText="1"/>
    </xf>
    <xf numFmtId="0" fontId="7" fillId="2" borderId="0" xfId="0" applyFont="1" applyFill="1" applyAlignment="1">
      <alignment horizontal="right" wrapText="1"/>
    </xf>
    <xf numFmtId="10" fontId="17" fillId="3" borderId="0" xfId="2" applyNumberFormat="1" applyFont="1" applyFill="1" applyAlignment="1">
      <alignment horizontal="right" vertical="top"/>
    </xf>
    <xf numFmtId="10" fontId="17" fillId="3" borderId="0" xfId="0" applyNumberFormat="1" applyFont="1" applyFill="1" applyAlignment="1">
      <alignment horizontal="right" vertical="top"/>
    </xf>
    <xf numFmtId="10" fontId="17" fillId="3" borderId="0" xfId="0" applyNumberFormat="1" applyFont="1" applyFill="1">
      <alignment vertical="top"/>
    </xf>
    <xf numFmtId="10" fontId="47" fillId="3" borderId="0" xfId="2" applyNumberFormat="1" applyFont="1" applyFill="1" applyAlignment="1">
      <alignment horizontal="right" vertical="top"/>
    </xf>
    <xf numFmtId="0" fontId="8" fillId="2" borderId="0" xfId="0" applyFont="1" applyFill="1" applyAlignment="1">
      <alignment vertical="top" wrapText="1"/>
    </xf>
    <xf numFmtId="164" fontId="5" fillId="0" borderId="0" xfId="1">
      <alignment vertical="top"/>
    </xf>
    <xf numFmtId="2" fontId="0" fillId="0" borderId="0" xfId="0" applyNumberFormat="1">
      <alignment vertical="top"/>
    </xf>
    <xf numFmtId="0" fontId="48" fillId="2" borderId="0" xfId="0" applyFont="1" applyFill="1" applyAlignment="1"/>
    <xf numFmtId="0" fontId="48" fillId="2" borderId="1" xfId="0" applyFont="1" applyFill="1" applyBorder="1" applyAlignment="1"/>
    <xf numFmtId="4" fontId="48" fillId="2" borderId="0" xfId="0" applyNumberFormat="1" applyFont="1" applyFill="1" applyAlignment="1"/>
    <xf numFmtId="0" fontId="51" fillId="5" borderId="0" xfId="0" applyFont="1" applyFill="1" applyAlignment="1">
      <alignment horizontal="left" vertical="center"/>
    </xf>
    <xf numFmtId="17" fontId="50" fillId="5" borderId="1" xfId="0" applyNumberFormat="1" applyFont="1" applyFill="1" applyBorder="1" applyAlignment="1">
      <alignment vertical="center"/>
    </xf>
    <xf numFmtId="0" fontId="42" fillId="0" borderId="0" xfId="0" applyFont="1">
      <alignment vertical="top"/>
    </xf>
    <xf numFmtId="10" fontId="42" fillId="0" borderId="0" xfId="2" applyNumberFormat="1" applyFont="1">
      <alignment vertical="top"/>
    </xf>
    <xf numFmtId="0" fontId="42" fillId="0" borderId="8" xfId="0" applyFont="1" applyBorder="1">
      <alignment vertical="top"/>
    </xf>
    <xf numFmtId="4" fontId="0" fillId="2" borderId="7" xfId="0" applyNumberFormat="1" applyFill="1" applyBorder="1">
      <alignment vertical="top"/>
    </xf>
    <xf numFmtId="0" fontId="4" fillId="2" borderId="0" xfId="0" applyFont="1" applyFill="1" applyAlignment="1"/>
    <xf numFmtId="9" fontId="5" fillId="2" borderId="0" xfId="2" applyFill="1">
      <alignment vertical="top"/>
    </xf>
    <xf numFmtId="166" fontId="52" fillId="2" borderId="0" xfId="1" applyNumberFormat="1" applyFont="1" applyFill="1" applyAlignment="1">
      <alignment horizontal="right"/>
    </xf>
    <xf numFmtId="0" fontId="41" fillId="2" borderId="0" xfId="0" applyFont="1" applyFill="1">
      <alignment vertical="top"/>
    </xf>
    <xf numFmtId="175" fontId="0" fillId="2" borderId="0" xfId="0" applyNumberFormat="1" applyFill="1">
      <alignment vertical="top"/>
    </xf>
    <xf numFmtId="0" fontId="7" fillId="2" borderId="0" xfId="0" applyFont="1" applyFill="1" applyAlignment="1"/>
    <xf numFmtId="0" fontId="7" fillId="2" borderId="0" xfId="0" applyFont="1" applyFill="1" applyAlignment="1">
      <alignment horizontal="right" vertical="top" wrapText="1"/>
    </xf>
    <xf numFmtId="2" fontId="0" fillId="2" borderId="0" xfId="0" applyNumberFormat="1" applyFill="1">
      <alignment vertical="top"/>
    </xf>
    <xf numFmtId="166" fontId="49" fillId="2" borderId="0" xfId="0" applyNumberFormat="1" applyFont="1" applyFill="1" applyAlignment="1"/>
    <xf numFmtId="4" fontId="0" fillId="2" borderId="0" xfId="0" applyNumberFormat="1" applyFill="1">
      <alignment vertical="top"/>
    </xf>
    <xf numFmtId="166" fontId="35" fillId="2" borderId="0" xfId="0" applyNumberFormat="1" applyFont="1" applyFill="1">
      <alignment vertical="top"/>
    </xf>
    <xf numFmtId="166" fontId="52" fillId="2" borderId="0" xfId="0" applyNumberFormat="1" applyFont="1" applyFill="1">
      <alignment vertical="top"/>
    </xf>
    <xf numFmtId="0" fontId="42" fillId="2" borderId="0" xfId="0" applyFont="1" applyFill="1">
      <alignment vertical="top"/>
    </xf>
    <xf numFmtId="166" fontId="53" fillId="2" borderId="0" xfId="0" applyNumberFormat="1" applyFont="1" applyFill="1">
      <alignment vertical="top"/>
    </xf>
    <xf numFmtId="166" fontId="49" fillId="2" borderId="0" xfId="0" applyNumberFormat="1" applyFont="1" applyFill="1">
      <alignment vertical="top"/>
    </xf>
    <xf numFmtId="10" fontId="42" fillId="2" borderId="0" xfId="2" applyNumberFormat="1" applyFont="1" applyFill="1">
      <alignment vertical="top"/>
    </xf>
    <xf numFmtId="17" fontId="50" fillId="2" borderId="0" xfId="0" applyNumberFormat="1" applyFont="1" applyFill="1" applyAlignment="1">
      <alignment vertical="center"/>
    </xf>
    <xf numFmtId="0" fontId="11" fillId="2" borderId="0" xfId="0" applyFont="1" applyFill="1">
      <alignment vertical="top"/>
    </xf>
    <xf numFmtId="0" fontId="54" fillId="0" borderId="9" xfId="0" applyFont="1" applyBorder="1" applyAlignment="1"/>
    <xf numFmtId="0" fontId="55" fillId="0" borderId="9" xfId="0" applyFont="1" applyBorder="1" applyAlignment="1"/>
    <xf numFmtId="0" fontId="0" fillId="0" borderId="0" xfId="0" applyAlignment="1"/>
    <xf numFmtId="0" fontId="4" fillId="0" borderId="0" xfId="0" applyFont="1" applyAlignment="1"/>
    <xf numFmtId="0" fontId="55" fillId="0" borderId="10" xfId="0" applyFont="1" applyBorder="1" applyAlignment="1"/>
    <xf numFmtId="10" fontId="55" fillId="0" borderId="10" xfId="0" applyNumberFormat="1" applyFont="1" applyBorder="1" applyAlignment="1"/>
    <xf numFmtId="2" fontId="55" fillId="0" borderId="0" xfId="0" applyNumberFormat="1" applyFont="1" applyAlignment="1"/>
    <xf numFmtId="0" fontId="54" fillId="0" borderId="10" xfId="0" applyFont="1" applyBorder="1" applyAlignment="1"/>
    <xf numFmtId="10" fontId="55" fillId="9" borderId="10" xfId="0" applyNumberFormat="1" applyFont="1" applyFill="1" applyBorder="1" applyAlignment="1"/>
    <xf numFmtId="0" fontId="55" fillId="0" borderId="0" xfId="0" applyFont="1" applyAlignment="1"/>
    <xf numFmtId="43" fontId="56" fillId="0" borderId="0" xfId="0" applyNumberFormat="1" applyFont="1" applyAlignment="1"/>
    <xf numFmtId="10" fontId="55" fillId="0" borderId="0" xfId="0" applyNumberFormat="1" applyFont="1" applyAlignment="1"/>
    <xf numFmtId="10" fontId="58" fillId="0" borderId="0" xfId="0" applyNumberFormat="1" applyFont="1" applyAlignment="1"/>
    <xf numFmtId="43" fontId="55" fillId="0" borderId="10" xfId="0" applyNumberFormat="1" applyFont="1" applyBorder="1" applyAlignment="1"/>
    <xf numFmtId="9" fontId="55" fillId="0" borderId="10" xfId="0" applyNumberFormat="1" applyFont="1" applyBorder="1" applyAlignment="1"/>
    <xf numFmtId="2" fontId="55" fillId="0" borderId="10" xfId="0" applyNumberFormat="1" applyFont="1" applyBorder="1" applyAlignment="1"/>
    <xf numFmtId="10" fontId="55" fillId="0" borderId="10" xfId="2" applyNumberFormat="1" applyFont="1" applyBorder="1" applyAlignment="1"/>
    <xf numFmtId="10" fontId="5" fillId="0" borderId="0" xfId="2" applyNumberFormat="1">
      <alignment vertical="top"/>
    </xf>
    <xf numFmtId="10" fontId="60" fillId="0" borderId="0" xfId="0" applyNumberFormat="1" applyFont="1" applyAlignment="1"/>
    <xf numFmtId="9" fontId="60" fillId="0" borderId="0" xfId="0" applyNumberFormat="1" applyFont="1" applyAlignment="1"/>
    <xf numFmtId="0" fontId="4" fillId="7" borderId="0" xfId="0" applyFont="1" applyFill="1" applyAlignment="1"/>
    <xf numFmtId="0" fontId="0" fillId="7" borderId="0" xfId="0" applyFill="1" applyAlignment="1"/>
    <xf numFmtId="164" fontId="59" fillId="7" borderId="0" xfId="1" applyFont="1" applyFill="1">
      <alignment vertical="top"/>
    </xf>
    <xf numFmtId="0" fontId="61" fillId="2" borderId="0" xfId="0" applyFont="1" applyFill="1">
      <alignment vertical="top"/>
    </xf>
    <xf numFmtId="0" fontId="62" fillId="0" borderId="0" xfId="0" applyFont="1">
      <alignment vertical="top"/>
    </xf>
    <xf numFmtId="10" fontId="62" fillId="0" borderId="0" xfId="0" applyNumberFormat="1" applyFont="1">
      <alignment vertical="top"/>
    </xf>
    <xf numFmtId="175" fontId="42" fillId="0" borderId="0" xfId="0" applyNumberFormat="1" applyFont="1">
      <alignment vertical="top"/>
    </xf>
    <xf numFmtId="9" fontId="63" fillId="0" borderId="0" xfId="2" applyFont="1">
      <alignment vertical="top"/>
    </xf>
    <xf numFmtId="166" fontId="16" fillId="2" borderId="1" xfId="1" applyNumberFormat="1" applyFont="1" applyFill="1" applyBorder="1" applyAlignment="1">
      <alignment horizontal="right"/>
    </xf>
    <xf numFmtId="0" fontId="0" fillId="2" borderId="6" xfId="0" applyFill="1" applyBorder="1" applyAlignment="1"/>
    <xf numFmtId="2" fontId="0" fillId="2" borderId="6" xfId="0" applyNumberFormat="1" applyFill="1" applyBorder="1" applyAlignment="1"/>
    <xf numFmtId="0" fontId="0" fillId="3" borderId="0" xfId="0" applyFill="1" applyAlignment="1"/>
    <xf numFmtId="17" fontId="50" fillId="5" borderId="1" xfId="0" applyNumberFormat="1" applyFont="1" applyFill="1" applyBorder="1" applyAlignment="1">
      <alignment horizontal="left" vertical="center" indent="1"/>
    </xf>
    <xf numFmtId="17" fontId="50" fillId="5" borderId="1" xfId="0" applyNumberFormat="1" applyFont="1" applyFill="1" applyBorder="1" applyAlignment="1">
      <alignment horizontal="right" vertical="center" indent="1"/>
    </xf>
    <xf numFmtId="2" fontId="0" fillId="2" borderId="0" xfId="0" applyNumberFormat="1" applyFill="1" applyAlignment="1"/>
    <xf numFmtId="0" fontId="64" fillId="5" borderId="0" xfId="0" applyFont="1" applyFill="1" applyAlignment="1"/>
    <xf numFmtId="0" fontId="65" fillId="5" borderId="0" xfId="0" applyFont="1" applyFill="1" applyAlignment="1"/>
    <xf numFmtId="43" fontId="0" fillId="0" borderId="0" xfId="0" applyNumberFormat="1" applyAlignment="1"/>
    <xf numFmtId="0" fontId="54" fillId="0" borderId="0" xfId="0" applyFont="1" applyAlignment="1"/>
    <xf numFmtId="2" fontId="37" fillId="2" borderId="0" xfId="0" applyNumberFormat="1" applyFont="1" applyFill="1">
      <alignment vertical="top"/>
    </xf>
    <xf numFmtId="0" fontId="41" fillId="2" borderId="0" xfId="0" applyFont="1" applyFill="1" applyAlignment="1"/>
    <xf numFmtId="43" fontId="13" fillId="2" borderId="0" xfId="0" applyNumberFormat="1" applyFont="1" applyFill="1" applyAlignment="1"/>
    <xf numFmtId="0" fontId="3" fillId="2" borderId="0" xfId="0" applyFont="1" applyFill="1" applyAlignment="1"/>
    <xf numFmtId="0" fontId="41" fillId="0" borderId="0" xfId="0" applyFont="1">
      <alignment vertical="top"/>
    </xf>
    <xf numFmtId="0" fontId="41" fillId="3" borderId="0" xfId="0" applyFont="1" applyFill="1" applyAlignment="1"/>
    <xf numFmtId="176" fontId="0" fillId="0" borderId="0" xfId="0" applyNumberFormat="1">
      <alignment vertical="top"/>
    </xf>
    <xf numFmtId="10" fontId="0" fillId="3" borderId="0" xfId="2" applyNumberFormat="1" applyFont="1" applyFill="1" applyAlignment="1"/>
    <xf numFmtId="10" fontId="0" fillId="3" borderId="0" xfId="0" applyNumberFormat="1" applyFill="1" applyAlignment="1"/>
    <xf numFmtId="0" fontId="2" fillId="2" borderId="0" xfId="0" applyFont="1" applyFill="1" applyAlignment="1"/>
    <xf numFmtId="164" fontId="13" fillId="2" borderId="0" xfId="1" applyFont="1" applyFill="1" applyAlignment="1">
      <alignment horizontal="right"/>
    </xf>
    <xf numFmtId="164" fontId="52" fillId="7" borderId="0" xfId="1" applyFont="1" applyFill="1" applyAlignment="1">
      <alignment horizontal="right"/>
    </xf>
    <xf numFmtId="164" fontId="13" fillId="2" borderId="1" xfId="1" applyFont="1" applyFill="1" applyBorder="1" applyAlignment="1">
      <alignment horizontal="right"/>
    </xf>
    <xf numFmtId="164" fontId="52" fillId="7" borderId="1" xfId="1" applyFont="1" applyFill="1" applyBorder="1" applyAlignment="1">
      <alignment horizontal="right"/>
    </xf>
    <xf numFmtId="164" fontId="49" fillId="2" borderId="1" xfId="0" applyNumberFormat="1" applyFont="1" applyFill="1" applyBorder="1" applyAlignment="1"/>
    <xf numFmtId="164" fontId="49" fillId="7" borderId="1" xfId="0" applyNumberFormat="1" applyFont="1" applyFill="1" applyBorder="1" applyAlignment="1"/>
    <xf numFmtId="164" fontId="35" fillId="2" borderId="7" xfId="0" applyNumberFormat="1" applyFont="1" applyFill="1" applyBorder="1">
      <alignment vertical="top"/>
    </xf>
    <xf numFmtId="164" fontId="52" fillId="7" borderId="7" xfId="0" applyNumberFormat="1" applyFont="1" applyFill="1" applyBorder="1">
      <alignment vertical="top"/>
    </xf>
    <xf numFmtId="164" fontId="53" fillId="0" borderId="8" xfId="0" applyNumberFormat="1" applyFont="1" applyBorder="1">
      <alignment vertical="top"/>
    </xf>
    <xf numFmtId="164" fontId="49" fillId="7" borderId="8" xfId="0" applyNumberFormat="1" applyFont="1" applyFill="1" applyBorder="1">
      <alignment vertical="top"/>
    </xf>
    <xf numFmtId="164" fontId="49" fillId="2" borderId="0" xfId="1" applyFont="1" applyFill="1" applyAlignment="1">
      <alignment horizontal="right"/>
    </xf>
    <xf numFmtId="164" fontId="49" fillId="7" borderId="0" xfId="1" applyFont="1" applyFill="1" applyAlignment="1">
      <alignment horizontal="right"/>
    </xf>
    <xf numFmtId="177" fontId="37" fillId="2" borderId="0" xfId="0" applyNumberFormat="1" applyFont="1" applyFill="1" applyAlignment="1">
      <alignment horizontal="right" vertical="top"/>
    </xf>
    <xf numFmtId="177" fontId="7" fillId="2" borderId="1" xfId="0" applyNumberFormat="1" applyFont="1" applyFill="1" applyBorder="1" applyAlignment="1">
      <alignment horizontal="right" vertical="top"/>
    </xf>
    <xf numFmtId="177" fontId="7" fillId="2" borderId="2" xfId="0" applyNumberFormat="1" applyFont="1" applyFill="1" applyBorder="1" applyAlignment="1">
      <alignment horizontal="right" vertical="top"/>
    </xf>
    <xf numFmtId="10" fontId="17" fillId="3" borderId="0" xfId="2" applyNumberFormat="1" applyFont="1" applyFill="1">
      <alignment vertical="top"/>
    </xf>
    <xf numFmtId="177" fontId="37" fillId="2" borderId="0" xfId="1" applyNumberFormat="1" applyFont="1" applyFill="1" applyAlignment="1">
      <alignment horizontal="right" vertical="top"/>
    </xf>
    <xf numFmtId="177" fontId="7" fillId="2" borderId="2" xfId="1" applyNumberFormat="1" applyFont="1" applyFill="1" applyBorder="1" applyAlignment="1">
      <alignment horizontal="right" vertical="top"/>
    </xf>
    <xf numFmtId="177" fontId="7" fillId="2" borderId="0" xfId="1" applyNumberFormat="1" applyFont="1" applyFill="1" applyAlignment="1">
      <alignment horizontal="right" vertical="top"/>
    </xf>
    <xf numFmtId="177" fontId="7" fillId="2" borderId="1" xfId="1" applyNumberFormat="1" applyFont="1" applyFill="1" applyBorder="1" applyAlignment="1">
      <alignment horizontal="right" vertical="top"/>
    </xf>
    <xf numFmtId="177" fontId="8" fillId="2" borderId="0" xfId="1" applyNumberFormat="1" applyFont="1" applyFill="1" applyAlignment="1">
      <alignment horizontal="right" vertical="top"/>
    </xf>
    <xf numFmtId="177" fontId="38" fillId="2" borderId="0" xfId="1" applyNumberFormat="1" applyFont="1" applyFill="1" applyAlignment="1">
      <alignment horizontal="right" vertical="top"/>
    </xf>
    <xf numFmtId="177" fontId="43" fillId="7" borderId="0" xfId="0" applyNumberFormat="1" applyFont="1" applyFill="1" applyAlignment="1">
      <alignment horizontal="right" vertical="top"/>
    </xf>
    <xf numFmtId="177" fontId="7" fillId="2" borderId="4" xfId="0" applyNumberFormat="1" applyFont="1" applyFill="1" applyBorder="1" applyAlignment="1"/>
    <xf numFmtId="164" fontId="17" fillId="3" borderId="0" xfId="1" applyFont="1" applyFill="1">
      <alignment vertical="top"/>
    </xf>
    <xf numFmtId="164" fontId="66" fillId="3" borderId="0" xfId="1" applyFont="1" applyFill="1">
      <alignment vertical="top"/>
    </xf>
    <xf numFmtId="164" fontId="7" fillId="2" borderId="1" xfId="1" applyFont="1" applyFill="1" applyBorder="1">
      <alignment vertical="top"/>
    </xf>
    <xf numFmtId="164" fontId="8" fillId="2" borderId="0" xfId="1" applyFont="1" applyFill="1">
      <alignment vertical="top"/>
    </xf>
    <xf numFmtId="164" fontId="37" fillId="2" borderId="0" xfId="1" applyFont="1" applyFill="1">
      <alignment vertical="top"/>
    </xf>
    <xf numFmtId="164" fontId="8" fillId="3" borderId="0" xfId="0" applyNumberFormat="1" applyFont="1" applyFill="1" applyAlignment="1">
      <alignment horizontal="right" vertical="top"/>
    </xf>
    <xf numFmtId="164" fontId="7" fillId="2" borderId="1" xfId="0" applyNumberFormat="1" applyFont="1" applyFill="1" applyBorder="1" applyAlignment="1">
      <alignment horizontal="right" vertical="top"/>
    </xf>
    <xf numFmtId="2" fontId="44" fillId="0" borderId="0" xfId="0" applyNumberFormat="1" applyFont="1">
      <alignment vertical="top"/>
    </xf>
    <xf numFmtId="2" fontId="44" fillId="0" borderId="0" xfId="0" applyNumberFormat="1" applyFont="1" applyAlignment="1">
      <alignment vertical="center"/>
    </xf>
    <xf numFmtId="2" fontId="44" fillId="0" borderId="1" xfId="0" applyNumberFormat="1" applyFont="1" applyBorder="1">
      <alignment vertical="top"/>
    </xf>
    <xf numFmtId="177" fontId="37" fillId="2" borderId="0" xfId="0" applyNumberFormat="1" applyFont="1" applyFill="1">
      <alignment vertical="top"/>
    </xf>
    <xf numFmtId="177" fontId="8" fillId="7" borderId="0" xfId="0" applyNumberFormat="1" applyFont="1" applyFill="1">
      <alignment vertical="top"/>
    </xf>
    <xf numFmtId="177" fontId="8" fillId="2" borderId="0" xfId="1" applyNumberFormat="1" applyFont="1" applyFill="1">
      <alignment vertical="top"/>
    </xf>
    <xf numFmtId="177" fontId="8" fillId="2" borderId="0" xfId="0" applyNumberFormat="1" applyFont="1" applyFill="1" applyAlignment="1">
      <alignment horizontal="right" vertical="top"/>
    </xf>
    <xf numFmtId="177" fontId="43" fillId="2" borderId="0" xfId="0" applyNumberFormat="1" applyFont="1" applyFill="1">
      <alignment vertical="top"/>
    </xf>
    <xf numFmtId="10" fontId="46" fillId="2" borderId="0" xfId="2" applyNumberFormat="1" applyFont="1" applyFill="1">
      <alignment vertical="top"/>
    </xf>
    <xf numFmtId="177" fontId="39" fillId="2" borderId="0" xfId="0" applyNumberFormat="1" applyFont="1" applyFill="1">
      <alignment vertical="top"/>
    </xf>
    <xf numFmtId="177" fontId="8" fillId="7" borderId="0" xfId="0" applyNumberFormat="1" applyFont="1" applyFill="1" applyAlignment="1">
      <alignment horizontal="right" vertical="top"/>
    </xf>
    <xf numFmtId="177" fontId="7" fillId="2" borderId="1" xfId="0" applyNumberFormat="1" applyFont="1" applyFill="1" applyBorder="1">
      <alignment vertical="top"/>
    </xf>
    <xf numFmtId="177" fontId="7" fillId="7" borderId="1" xfId="0" applyNumberFormat="1" applyFont="1" applyFill="1" applyBorder="1">
      <alignment vertical="top"/>
    </xf>
    <xf numFmtId="10" fontId="8" fillId="3" borderId="0" xfId="2" applyNumberFormat="1" applyFont="1" applyFill="1">
      <alignment vertical="top"/>
    </xf>
    <xf numFmtId="164" fontId="8" fillId="7" borderId="0" xfId="0" applyNumberFormat="1" applyFont="1" applyFill="1" applyAlignment="1">
      <alignment horizontal="right" vertical="top"/>
    </xf>
    <xf numFmtId="164" fontId="7" fillId="2" borderId="4" xfId="0" applyNumberFormat="1" applyFont="1" applyFill="1" applyBorder="1" applyAlignment="1"/>
    <xf numFmtId="164" fontId="8" fillId="2" borderId="0" xfId="0" applyNumberFormat="1" applyFont="1" applyFill="1" applyAlignment="1">
      <alignment horizontal="right" vertical="top"/>
    </xf>
    <xf numFmtId="164" fontId="8" fillId="2" borderId="0" xfId="0" applyNumberFormat="1" applyFont="1" applyFill="1">
      <alignment vertical="top"/>
    </xf>
    <xf numFmtId="10" fontId="37" fillId="2" borderId="1" xfId="2" applyNumberFormat="1" applyFont="1" applyFill="1" applyBorder="1">
      <alignment vertical="top"/>
    </xf>
    <xf numFmtId="10" fontId="37" fillId="2" borderId="0" xfId="0" applyNumberFormat="1" applyFont="1" applyFill="1" applyAlignment="1">
      <alignment horizontal="right" vertical="top"/>
    </xf>
    <xf numFmtId="10" fontId="37" fillId="2" borderId="0" xfId="2" applyNumberFormat="1" applyFont="1" applyFill="1">
      <alignment vertical="top"/>
    </xf>
    <xf numFmtId="10" fontId="37" fillId="3" borderId="0" xfId="0" applyNumberFormat="1" applyFont="1" applyFill="1" applyAlignment="1">
      <alignment horizontal="right" vertical="top"/>
    </xf>
    <xf numFmtId="10" fontId="37" fillId="3" borderId="0" xfId="0" applyNumberFormat="1" applyFont="1" applyFill="1">
      <alignment vertical="top"/>
    </xf>
    <xf numFmtId="10" fontId="7" fillId="2" borderId="1" xfId="0" applyNumberFormat="1" applyFont="1" applyFill="1" applyBorder="1">
      <alignment vertical="top"/>
    </xf>
    <xf numFmtId="10" fontId="8" fillId="2" borderId="0" xfId="2" applyNumberFormat="1" applyFont="1" applyFill="1">
      <alignment vertical="top"/>
    </xf>
    <xf numFmtId="10" fontId="8" fillId="7" borderId="0" xfId="2" applyNumberFormat="1" applyFont="1" applyFill="1">
      <alignment vertical="top"/>
    </xf>
    <xf numFmtId="177" fontId="7" fillId="7" borderId="1" xfId="0" applyNumberFormat="1" applyFont="1" applyFill="1" applyBorder="1" applyAlignment="1">
      <alignment horizontal="right" vertical="top"/>
    </xf>
    <xf numFmtId="164" fontId="37" fillId="2" borderId="0" xfId="1" applyFont="1" applyFill="1" applyAlignment="1">
      <alignment horizontal="right"/>
    </xf>
    <xf numFmtId="164" fontId="43" fillId="2" borderId="0" xfId="1" applyFont="1" applyFill="1" applyAlignment="1"/>
    <xf numFmtId="164" fontId="43" fillId="7" borderId="0" xfId="0" applyNumberFormat="1" applyFont="1" applyFill="1" applyAlignment="1">
      <alignment horizontal="right" vertical="top"/>
    </xf>
    <xf numFmtId="164" fontId="37" fillId="2" borderId="0" xfId="0" applyNumberFormat="1" applyFont="1" applyFill="1" applyAlignment="1"/>
    <xf numFmtId="164" fontId="0" fillId="2" borderId="0" xfId="0" applyNumberFormat="1" applyFill="1" applyAlignment="1"/>
    <xf numFmtId="164" fontId="14" fillId="2" borderId="0" xfId="0" applyNumberFormat="1" applyFont="1" applyFill="1" applyAlignment="1"/>
    <xf numFmtId="164" fontId="7" fillId="2" borderId="3" xfId="0" applyNumberFormat="1" applyFont="1" applyFill="1" applyBorder="1" applyAlignment="1">
      <alignment horizontal="right" vertical="top" wrapText="1"/>
    </xf>
    <xf numFmtId="164" fontId="7" fillId="7" borderId="3" xfId="0" applyNumberFormat="1" applyFont="1" applyFill="1" applyBorder="1" applyAlignment="1">
      <alignment horizontal="right" vertical="top" wrapText="1"/>
    </xf>
    <xf numFmtId="164" fontId="8" fillId="2" borderId="0" xfId="0" applyNumberFormat="1" applyFont="1" applyFill="1" applyAlignment="1"/>
    <xf numFmtId="164" fontId="39" fillId="2" borderId="0" xfId="0" applyNumberFormat="1" applyFont="1" applyFill="1" applyAlignment="1">
      <alignment horizontal="right" vertical="top"/>
    </xf>
    <xf numFmtId="164" fontId="37" fillId="0" borderId="0" xfId="1" applyFont="1">
      <alignment vertical="top"/>
    </xf>
    <xf numFmtId="164" fontId="8" fillId="7" borderId="0" xfId="1" applyFont="1" applyFill="1">
      <alignment vertical="top"/>
    </xf>
    <xf numFmtId="164" fontId="37" fillId="3" borderId="0" xfId="1" applyFont="1" applyFill="1">
      <alignment vertical="top"/>
    </xf>
    <xf numFmtId="164" fontId="39" fillId="3" borderId="0" xfId="0" applyNumberFormat="1" applyFont="1" applyFill="1" applyAlignment="1">
      <alignment horizontal="right" vertical="top"/>
    </xf>
    <xf numFmtId="164" fontId="8" fillId="3" borderId="0" xfId="0" applyNumberFormat="1" applyFont="1" applyFill="1">
      <alignment vertical="top"/>
    </xf>
    <xf numFmtId="164" fontId="7" fillId="7" borderId="1" xfId="1" applyFont="1" applyFill="1" applyBorder="1">
      <alignment vertical="top"/>
    </xf>
    <xf numFmtId="178" fontId="43" fillId="2" borderId="0" xfId="0" applyNumberFormat="1" applyFont="1" applyFill="1">
      <alignment vertical="top"/>
    </xf>
    <xf numFmtId="178" fontId="8" fillId="7" borderId="0" xfId="1" applyNumberFormat="1" applyFont="1" applyFill="1">
      <alignment vertical="top"/>
    </xf>
    <xf numFmtId="178" fontId="7" fillId="2" borderId="4" xfId="0" applyNumberFormat="1" applyFont="1" applyFill="1" applyBorder="1" applyAlignment="1"/>
    <xf numFmtId="178" fontId="8" fillId="2" borderId="0" xfId="0" applyNumberFormat="1" applyFont="1" applyFill="1">
      <alignment vertical="top"/>
    </xf>
    <xf numFmtId="178" fontId="17" fillId="3" borderId="0" xfId="0" applyNumberFormat="1" applyFont="1" applyFill="1">
      <alignment vertical="top"/>
    </xf>
    <xf numFmtId="178" fontId="40" fillId="3" borderId="0" xfId="1" applyNumberFormat="1" applyFont="1" applyFill="1">
      <alignment vertical="top"/>
    </xf>
    <xf numFmtId="178" fontId="17" fillId="3" borderId="0" xfId="1" applyNumberFormat="1" applyFont="1" applyFill="1">
      <alignment vertical="top"/>
    </xf>
    <xf numFmtId="178" fontId="47" fillId="3" borderId="0" xfId="1" applyNumberFormat="1" applyFont="1" applyFill="1">
      <alignment vertical="top"/>
    </xf>
    <xf numFmtId="10" fontId="11" fillId="5" borderId="0" xfId="0" applyNumberFormat="1" applyFont="1" applyFill="1" applyAlignment="1"/>
    <xf numFmtId="10" fontId="13" fillId="2" borderId="0" xfId="0" applyNumberFormat="1" applyFont="1" applyFill="1" applyAlignment="1"/>
    <xf numFmtId="10" fontId="39" fillId="2" borderId="0" xfId="0" applyNumberFormat="1" applyFont="1" applyFill="1" applyAlignment="1"/>
    <xf numFmtId="164" fontId="13" fillId="2" borderId="0" xfId="1" applyFont="1" applyFill="1" applyAlignment="1"/>
    <xf numFmtId="164" fontId="13" fillId="7" borderId="0" xfId="0" applyNumberFormat="1" applyFont="1" applyFill="1" applyAlignment="1">
      <alignment horizontal="right"/>
    </xf>
    <xf numFmtId="164" fontId="13" fillId="7" borderId="0" xfId="1" applyFont="1" applyFill="1" applyAlignment="1">
      <alignment horizontal="right"/>
    </xf>
    <xf numFmtId="10" fontId="13" fillId="2" borderId="0" xfId="0" applyNumberFormat="1" applyFont="1" applyFill="1" applyAlignment="1">
      <alignment horizontal="right"/>
    </xf>
    <xf numFmtId="10" fontId="13" fillId="7" borderId="0" xfId="0" applyNumberFormat="1" applyFont="1" applyFill="1" applyAlignment="1">
      <alignment horizontal="right"/>
    </xf>
    <xf numFmtId="164" fontId="16" fillId="7" borderId="0" xfId="1" applyFont="1" applyFill="1" applyAlignment="1">
      <alignment horizontal="right"/>
    </xf>
    <xf numFmtId="164" fontId="39" fillId="2" borderId="0" xfId="1" applyFont="1" applyFill="1" applyAlignment="1"/>
    <xf numFmtId="164" fontId="39" fillId="2" borderId="0" xfId="1" applyFont="1" applyFill="1">
      <alignment vertical="top"/>
    </xf>
    <xf numFmtId="164" fontId="8" fillId="7" borderId="0" xfId="1" applyFont="1" applyFill="1" applyAlignment="1">
      <alignment horizontal="right" vertical="top"/>
    </xf>
    <xf numFmtId="164" fontId="16" fillId="2" borderId="1" xfId="1" applyFont="1" applyFill="1" applyBorder="1" applyAlignment="1"/>
    <xf numFmtId="164" fontId="16" fillId="2" borderId="1" xfId="0" applyNumberFormat="1" applyFont="1" applyFill="1" applyBorder="1" applyAlignment="1"/>
    <xf numFmtId="164" fontId="13" fillId="7" borderId="0" xfId="1" applyFont="1" applyFill="1" applyAlignment="1"/>
    <xf numFmtId="2" fontId="67" fillId="6" borderId="0" xfId="0" applyNumberFormat="1" applyFont="1" applyFill="1" applyAlignment="1"/>
    <xf numFmtId="10" fontId="17" fillId="2" borderId="0" xfId="2" applyNumberFormat="1" applyFont="1" applyFill="1">
      <alignment vertical="top"/>
    </xf>
    <xf numFmtId="164" fontId="13" fillId="7" borderId="0" xfId="1" applyFont="1" applyFill="1">
      <alignment vertical="top"/>
    </xf>
    <xf numFmtId="164" fontId="43" fillId="7" borderId="0" xfId="1" applyFont="1" applyFill="1">
      <alignment vertical="top"/>
    </xf>
    <xf numFmtId="164" fontId="7" fillId="2" borderId="0" xfId="0" applyNumberFormat="1" applyFont="1" applyFill="1">
      <alignment vertical="top"/>
    </xf>
    <xf numFmtId="164" fontId="7" fillId="7" borderId="0" xfId="1" applyFont="1" applyFill="1">
      <alignment vertical="top"/>
    </xf>
    <xf numFmtId="164" fontId="35" fillId="7" borderId="0" xfId="1" applyFont="1" applyFill="1">
      <alignment vertical="top"/>
    </xf>
    <xf numFmtId="10" fontId="29" fillId="2" borderId="0" xfId="2" applyNumberFormat="1" applyFont="1" applyFill="1">
      <alignment vertical="top"/>
    </xf>
    <xf numFmtId="10" fontId="29" fillId="7" borderId="0" xfId="1" applyNumberFormat="1" applyFont="1" applyFill="1">
      <alignment vertical="top"/>
    </xf>
    <xf numFmtId="164" fontId="68" fillId="2" borderId="0" xfId="0" applyNumberFormat="1" applyFont="1" applyFill="1">
      <alignment vertical="top"/>
    </xf>
    <xf numFmtId="164" fontId="39" fillId="2" borderId="0" xfId="1" applyFont="1" applyFill="1" applyAlignment="1">
      <alignment horizontal="right"/>
    </xf>
    <xf numFmtId="164" fontId="7" fillId="2" borderId="5" xfId="0" applyNumberFormat="1" applyFont="1" applyFill="1" applyBorder="1" applyAlignment="1">
      <alignment horizontal="right"/>
    </xf>
    <xf numFmtId="164" fontId="7" fillId="2" borderId="5" xfId="0" applyNumberFormat="1" applyFont="1" applyFill="1" applyBorder="1" applyAlignment="1"/>
    <xf numFmtId="164" fontId="7" fillId="7" borderId="5" xfId="0" applyNumberFormat="1" applyFont="1" applyFill="1" applyBorder="1" applyAlignment="1"/>
    <xf numFmtId="164" fontId="7" fillId="2" borderId="1" xfId="0" applyNumberFormat="1" applyFont="1" applyFill="1" applyBorder="1" applyAlignment="1">
      <alignment horizontal="right"/>
    </xf>
    <xf numFmtId="164" fontId="7" fillId="2" borderId="1" xfId="0" applyNumberFormat="1" applyFont="1" applyFill="1" applyBorder="1" applyAlignment="1"/>
    <xf numFmtId="164" fontId="7" fillId="7" borderId="1" xfId="0" applyNumberFormat="1" applyFont="1" applyFill="1" applyBorder="1" applyAlignment="1"/>
    <xf numFmtId="164" fontId="8" fillId="2" borderId="0" xfId="0" applyNumberFormat="1" applyFont="1" applyFill="1" applyAlignment="1">
      <alignment horizontal="right"/>
    </xf>
    <xf numFmtId="164" fontId="8" fillId="7" borderId="0" xfId="0" applyNumberFormat="1" applyFont="1" applyFill="1" applyAlignment="1"/>
    <xf numFmtId="164" fontId="11" fillId="5" borderId="2" xfId="0" applyNumberFormat="1" applyFont="1" applyFill="1" applyBorder="1" applyAlignment="1">
      <alignment horizontal="right"/>
    </xf>
    <xf numFmtId="164" fontId="19" fillId="5" borderId="2" xfId="0" applyNumberFormat="1" applyFont="1" applyFill="1" applyBorder="1" applyAlignment="1">
      <alignment horizontal="right"/>
    </xf>
    <xf numFmtId="164" fontId="11" fillId="5" borderId="2" xfId="0" applyNumberFormat="1" applyFont="1" applyFill="1" applyBorder="1" applyAlignment="1"/>
    <xf numFmtId="164" fontId="13" fillId="7" borderId="0" xfId="1" applyFont="1" applyFill="1" applyAlignment="1">
      <alignment horizontal="left" vertical="center" indent="1"/>
    </xf>
    <xf numFmtId="164" fontId="18" fillId="6" borderId="0" xfId="0" applyNumberFormat="1" applyFont="1" applyFill="1" applyAlignment="1"/>
    <xf numFmtId="170" fontId="67" fillId="6" borderId="0" xfId="0" applyNumberFormat="1" applyFont="1" applyFill="1" applyAlignment="1"/>
    <xf numFmtId="164" fontId="67" fillId="6" borderId="0" xfId="0" applyNumberFormat="1" applyFont="1" applyFill="1" applyAlignment="1"/>
    <xf numFmtId="164" fontId="16" fillId="2" borderId="1" xfId="1" applyFont="1" applyFill="1" applyBorder="1" applyAlignment="1">
      <alignment horizontal="right"/>
    </xf>
    <xf numFmtId="164" fontId="49" fillId="7" borderId="1" xfId="1" applyFont="1" applyFill="1" applyBorder="1" applyAlignment="1">
      <alignment horizontal="right"/>
    </xf>
    <xf numFmtId="10" fontId="63" fillId="0" borderId="0" xfId="2" applyNumberFormat="1" applyFont="1">
      <alignment vertical="top"/>
    </xf>
    <xf numFmtId="10" fontId="0" fillId="0" borderId="0" xfId="0" applyNumberFormat="1">
      <alignment vertical="top"/>
    </xf>
    <xf numFmtId="164" fontId="0" fillId="0" borderId="0" xfId="0" applyNumberFormat="1">
      <alignment vertical="top"/>
    </xf>
    <xf numFmtId="164" fontId="45" fillId="0" borderId="0" xfId="0" applyNumberFormat="1" applyFont="1">
      <alignment vertical="top"/>
    </xf>
    <xf numFmtId="0" fontId="0" fillId="2" borderId="8" xfId="0" applyFill="1" applyBorder="1" applyAlignment="1"/>
    <xf numFmtId="164" fontId="0" fillId="2" borderId="8" xfId="1" applyFont="1" applyFill="1" applyBorder="1" applyAlignment="1"/>
    <xf numFmtId="0" fontId="0" fillId="0" borderId="8" xfId="0" applyBorder="1" applyAlignment="1"/>
    <xf numFmtId="43" fontId="0" fillId="0" borderId="8" xfId="0" applyNumberFormat="1" applyBorder="1" applyAlignment="1"/>
    <xf numFmtId="0" fontId="53" fillId="0" borderId="0" xfId="0" applyFont="1" applyAlignment="1">
      <alignment horizontal="left"/>
    </xf>
    <xf numFmtId="0" fontId="53" fillId="0" borderId="0" xfId="0" applyFont="1">
      <alignment vertical="top"/>
    </xf>
    <xf numFmtId="0" fontId="0" fillId="5" borderId="0" xfId="0" applyFill="1">
      <alignment vertical="top"/>
    </xf>
    <xf numFmtId="0" fontId="69" fillId="5" borderId="0" xfId="0" applyFont="1" applyFill="1">
      <alignment vertical="top"/>
    </xf>
    <xf numFmtId="10" fontId="0" fillId="2" borderId="0" xfId="0" applyNumberFormat="1" applyFill="1" applyAlignment="1"/>
    <xf numFmtId="164" fontId="70" fillId="0" borderId="12" xfId="0" applyNumberFormat="1" applyFont="1" applyBorder="1">
      <alignment vertical="top"/>
    </xf>
    <xf numFmtId="164" fontId="0" fillId="10" borderId="0" xfId="0" applyNumberFormat="1" applyFill="1">
      <alignment vertical="top"/>
    </xf>
    <xf numFmtId="164" fontId="0" fillId="0" borderId="3" xfId="0" applyNumberFormat="1" applyBorder="1">
      <alignment vertical="top"/>
    </xf>
    <xf numFmtId="10" fontId="42" fillId="0" borderId="12" xfId="2" applyNumberFormat="1" applyFont="1" applyBorder="1">
      <alignment vertical="top"/>
    </xf>
    <xf numFmtId="10" fontId="42" fillId="0" borderId="11" xfId="2" applyNumberFormat="1" applyFont="1" applyBorder="1">
      <alignment vertical="top"/>
    </xf>
    <xf numFmtId="49" fontId="37" fillId="2" borderId="0" xfId="0" applyNumberFormat="1" applyFont="1" applyFill="1" applyAlignment="1">
      <alignment horizontal="right" vertical="top"/>
    </xf>
    <xf numFmtId="10" fontId="8" fillId="2" borderId="0" xfId="0" applyNumberFormat="1" applyFont="1" applyFill="1" applyAlignment="1"/>
    <xf numFmtId="0" fontId="1" fillId="0" borderId="0" xfId="0" applyFont="1" applyAlignment="1"/>
    <xf numFmtId="0" fontId="71" fillId="5" borderId="0" xfId="0" applyFont="1" applyFill="1" applyAlignment="1">
      <alignment vertical="center"/>
    </xf>
    <xf numFmtId="0" fontId="1" fillId="2" borderId="0" xfId="0" applyFont="1" applyFill="1" applyAlignment="1"/>
    <xf numFmtId="0" fontId="1" fillId="2" borderId="8" xfId="0" applyFont="1" applyFill="1" applyBorder="1" applyAlignment="1"/>
    <xf numFmtId="0" fontId="11" fillId="5" borderId="0" xfId="0" applyFont="1" applyFill="1" applyAlignment="1">
      <alignment horizontal="center" vertical="top"/>
    </xf>
    <xf numFmtId="164" fontId="11" fillId="5" borderId="0" xfId="0" applyNumberFormat="1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Tesla vehicle deliveries 2015-2029 (actuals and forecasts)</a:t>
            </a: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240298840435774E-2"/>
          <c:y val="0.11214179269790767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2021
Act</c:v>
                </c:pt>
                <c:pt idx="1">
                  <c:v>2022
Act</c:v>
                </c:pt>
                <c:pt idx="2">
                  <c:v>2023
Act</c:v>
                </c:pt>
                <c:pt idx="3">
                  <c:v>2024
Act</c:v>
                </c:pt>
                <c:pt idx="4">
                  <c:v>2025
Act</c:v>
                </c:pt>
                <c:pt idx="5">
                  <c:v>2026
Fcst</c:v>
                </c:pt>
                <c:pt idx="6">
                  <c:v>2027
Fcst</c:v>
                </c:pt>
                <c:pt idx="7">
                  <c:v>2028
Fcst</c:v>
                </c:pt>
                <c:pt idx="8">
                  <c:v>2029
Fcst</c:v>
                </c:pt>
                <c:pt idx="9">
                  <c:v>2030
Fcst</c:v>
                </c:pt>
                <c:pt idx="10">
                  <c:v>2031
Fcst</c:v>
                </c:pt>
                <c:pt idx="11">
                  <c:v>2032
Fcst</c:v>
                </c:pt>
                <c:pt idx="12">
                  <c:v>2033
Fcst</c:v>
                </c:pt>
                <c:pt idx="13">
                  <c:v>2034
Fcst</c:v>
                </c:pt>
                <c:pt idx="14">
                  <c:v>2035
Fcst</c:v>
                </c:pt>
              </c:strCache>
            </c:strRef>
          </c:cat>
          <c:val>
            <c:numRef>
              <c:f>Deliveries!$C$5:$Q$5</c:f>
              <c:numCache>
                <c:formatCode>_(* #,##0.00_);_(* \(#,##0.00\);_(* "-"?_);@_)</c:formatCode>
                <c:ptCount val="15"/>
                <c:pt idx="0">
                  <c:v>500000</c:v>
                </c:pt>
                <c:pt idx="1">
                  <c:v>530000</c:v>
                </c:pt>
                <c:pt idx="2">
                  <c:v>500000</c:v>
                </c:pt>
                <c:pt idx="3">
                  <c:v>480000</c:v>
                </c:pt>
                <c:pt idx="4">
                  <c:v>450000</c:v>
                </c:pt>
                <c:pt idx="5">
                  <c:v>450000</c:v>
                </c:pt>
                <c:pt idx="6">
                  <c:v>450000</c:v>
                </c:pt>
                <c:pt idx="7">
                  <c:v>500000</c:v>
                </c:pt>
                <c:pt idx="8">
                  <c:v>550000</c:v>
                </c:pt>
                <c:pt idx="9">
                  <c:v>600000</c:v>
                </c:pt>
                <c:pt idx="10">
                  <c:v>650000</c:v>
                </c:pt>
                <c:pt idx="11">
                  <c:v>700000</c:v>
                </c:pt>
                <c:pt idx="12">
                  <c:v>750000</c:v>
                </c:pt>
                <c:pt idx="13">
                  <c:v>800000</c:v>
                </c:pt>
                <c:pt idx="14">
                  <c:v>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2021
Act</c:v>
                </c:pt>
                <c:pt idx="1">
                  <c:v>2022
Act</c:v>
                </c:pt>
                <c:pt idx="2">
                  <c:v>2023
Act</c:v>
                </c:pt>
                <c:pt idx="3">
                  <c:v>2024
Act</c:v>
                </c:pt>
                <c:pt idx="4">
                  <c:v>2025
Act</c:v>
                </c:pt>
                <c:pt idx="5">
                  <c:v>2026
Fcst</c:v>
                </c:pt>
                <c:pt idx="6">
                  <c:v>2027
Fcst</c:v>
                </c:pt>
                <c:pt idx="7">
                  <c:v>2028
Fcst</c:v>
                </c:pt>
                <c:pt idx="8">
                  <c:v>2029
Fcst</c:v>
                </c:pt>
                <c:pt idx="9">
                  <c:v>2030
Fcst</c:v>
                </c:pt>
                <c:pt idx="10">
                  <c:v>2031
Fcst</c:v>
                </c:pt>
                <c:pt idx="11">
                  <c:v>2032
Fcst</c:v>
                </c:pt>
                <c:pt idx="12">
                  <c:v>2033
Fcst</c:v>
                </c:pt>
                <c:pt idx="13">
                  <c:v>2034
Fcst</c:v>
                </c:pt>
                <c:pt idx="14">
                  <c:v>2035
Fcst</c:v>
                </c:pt>
              </c:strCache>
            </c:strRef>
          </c:cat>
          <c:val>
            <c:numRef>
              <c:f>Deliveries!$C$6:$Q$6</c:f>
              <c:numCache>
                <c:formatCode>_(* #,##0.00_);_(* \(#,##0.00\);_(* "-"?_);@_)</c:formatCode>
                <c:ptCount val="15"/>
                <c:pt idx="0">
                  <c:v>50000</c:v>
                </c:pt>
                <c:pt idx="1">
                  <c:v>67000</c:v>
                </c:pt>
                <c:pt idx="2">
                  <c:v>69000</c:v>
                </c:pt>
                <c:pt idx="3">
                  <c:v>56000</c:v>
                </c:pt>
                <c:pt idx="4">
                  <c:v>50000</c:v>
                </c:pt>
                <c:pt idx="5">
                  <c:v>40000</c:v>
                </c:pt>
                <c:pt idx="6">
                  <c:v>20000</c:v>
                </c:pt>
                <c:pt idx="7">
                  <c:v>10000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2021
Act</c:v>
                </c:pt>
                <c:pt idx="1">
                  <c:v>2022
Act</c:v>
                </c:pt>
                <c:pt idx="2">
                  <c:v>2023
Act</c:v>
                </c:pt>
                <c:pt idx="3">
                  <c:v>2024
Act</c:v>
                </c:pt>
                <c:pt idx="4">
                  <c:v>2025
Act</c:v>
                </c:pt>
                <c:pt idx="5">
                  <c:v>2026
Fcst</c:v>
                </c:pt>
                <c:pt idx="6">
                  <c:v>2027
Fcst</c:v>
                </c:pt>
                <c:pt idx="7">
                  <c:v>2028
Fcst</c:v>
                </c:pt>
                <c:pt idx="8">
                  <c:v>2029
Fcst</c:v>
                </c:pt>
                <c:pt idx="9">
                  <c:v>2030
Fcst</c:v>
                </c:pt>
                <c:pt idx="10">
                  <c:v>2031
Fcst</c:v>
                </c:pt>
                <c:pt idx="11">
                  <c:v>2032
Fcst</c:v>
                </c:pt>
                <c:pt idx="12">
                  <c:v>2033
Fcst</c:v>
                </c:pt>
                <c:pt idx="13">
                  <c:v>2034
Fcst</c:v>
                </c:pt>
                <c:pt idx="14">
                  <c:v>2035
Fcst</c:v>
                </c:pt>
              </c:strCache>
            </c:strRef>
          </c:cat>
          <c:val>
            <c:numRef>
              <c:f>Deliveries!$C$7:$Q$7</c:f>
              <c:numCache>
                <c:formatCode>_(* #,##0.00_);_(* \(#,##0.00\);_(* "-"?_);@_)</c:formatCode>
                <c:ptCount val="15"/>
                <c:pt idx="0">
                  <c:v>411000</c:v>
                </c:pt>
                <c:pt idx="1">
                  <c:v>717000</c:v>
                </c:pt>
                <c:pt idx="2">
                  <c:v>1140000</c:v>
                </c:pt>
                <c:pt idx="3">
                  <c:v>1124000</c:v>
                </c:pt>
                <c:pt idx="4">
                  <c:v>1130000</c:v>
                </c:pt>
                <c:pt idx="5">
                  <c:v>1200000</c:v>
                </c:pt>
                <c:pt idx="6">
                  <c:v>1350000</c:v>
                </c:pt>
                <c:pt idx="7">
                  <c:v>1500000</c:v>
                </c:pt>
                <c:pt idx="8">
                  <c:v>1650000</c:v>
                </c:pt>
                <c:pt idx="9">
                  <c:v>1850000</c:v>
                </c:pt>
                <c:pt idx="10">
                  <c:v>2000000</c:v>
                </c:pt>
                <c:pt idx="11">
                  <c:v>2150000</c:v>
                </c:pt>
                <c:pt idx="12">
                  <c:v>2300000</c:v>
                </c:pt>
                <c:pt idx="13">
                  <c:v>2450000</c:v>
                </c:pt>
                <c:pt idx="14">
                  <c:v>2600000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Cybertruck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2021
Act</c:v>
                </c:pt>
                <c:pt idx="1">
                  <c:v>2022
Act</c:v>
                </c:pt>
                <c:pt idx="2">
                  <c:v>2023
Act</c:v>
                </c:pt>
                <c:pt idx="3">
                  <c:v>2024
Act</c:v>
                </c:pt>
                <c:pt idx="4">
                  <c:v>2025
Act</c:v>
                </c:pt>
                <c:pt idx="5">
                  <c:v>2026
Fcst</c:v>
                </c:pt>
                <c:pt idx="6">
                  <c:v>2027
Fcst</c:v>
                </c:pt>
                <c:pt idx="7">
                  <c:v>2028
Fcst</c:v>
                </c:pt>
                <c:pt idx="8">
                  <c:v>2029
Fcst</c:v>
                </c:pt>
                <c:pt idx="9">
                  <c:v>2030
Fcst</c:v>
                </c:pt>
                <c:pt idx="10">
                  <c:v>2031
Fcst</c:v>
                </c:pt>
                <c:pt idx="11">
                  <c:v>2032
Fcst</c:v>
                </c:pt>
                <c:pt idx="12">
                  <c:v>2033
Fcst</c:v>
                </c:pt>
                <c:pt idx="13">
                  <c:v>2034
Fcst</c:v>
                </c:pt>
                <c:pt idx="14">
                  <c:v>2035
Fcst</c:v>
                </c:pt>
              </c:strCache>
            </c:strRef>
          </c:cat>
          <c:val>
            <c:numRef>
              <c:f>Deliveries!$C$8:$Q$8</c:f>
              <c:numCache>
                <c:formatCode>_(* #,##0.00_);_(* \(#,##0.00\);_(* "-"?_);@_)</c:formatCode>
                <c:ptCount val="15"/>
                <c:pt idx="2">
                  <c:v>900</c:v>
                </c:pt>
                <c:pt idx="3">
                  <c:v>19000</c:v>
                </c:pt>
                <c:pt idx="4">
                  <c:v>50000</c:v>
                </c:pt>
                <c:pt idx="5">
                  <c:v>75000</c:v>
                </c:pt>
                <c:pt idx="6">
                  <c:v>120000</c:v>
                </c:pt>
                <c:pt idx="7">
                  <c:v>180000</c:v>
                </c:pt>
                <c:pt idx="8">
                  <c:v>250000</c:v>
                </c:pt>
                <c:pt idx="9">
                  <c:v>300000</c:v>
                </c:pt>
                <c:pt idx="10">
                  <c:v>350000</c:v>
                </c:pt>
                <c:pt idx="11">
                  <c:v>400000</c:v>
                </c:pt>
                <c:pt idx="12">
                  <c:v>450000</c:v>
                </c:pt>
                <c:pt idx="13">
                  <c:v>500000</c:v>
                </c:pt>
                <c:pt idx="14">
                  <c:v>550000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7-4EBD-832C-47CCFAC24011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1.705029838022165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0E-44EE-836C-9C711A3EC2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2021
Act</c:v>
                </c:pt>
                <c:pt idx="1">
                  <c:v>2022
Act</c:v>
                </c:pt>
                <c:pt idx="2">
                  <c:v>2023
Act</c:v>
                </c:pt>
                <c:pt idx="3">
                  <c:v>2024
Act</c:v>
                </c:pt>
                <c:pt idx="4">
                  <c:v>2025
Act</c:v>
                </c:pt>
                <c:pt idx="5">
                  <c:v>2026
Fcst</c:v>
                </c:pt>
                <c:pt idx="6">
                  <c:v>2027
Fcst</c:v>
                </c:pt>
                <c:pt idx="7">
                  <c:v>2028
Fcst</c:v>
                </c:pt>
                <c:pt idx="8">
                  <c:v>2029
Fcst</c:v>
                </c:pt>
                <c:pt idx="9">
                  <c:v>2030
Fcst</c:v>
                </c:pt>
                <c:pt idx="10">
                  <c:v>2031
Fcst</c:v>
                </c:pt>
                <c:pt idx="11">
                  <c:v>2032
Fcst</c:v>
                </c:pt>
                <c:pt idx="12">
                  <c:v>2033
Fcst</c:v>
                </c:pt>
                <c:pt idx="13">
                  <c:v>2034
Fcst</c:v>
                </c:pt>
                <c:pt idx="14">
                  <c:v>2035
Fcst</c:v>
                </c:pt>
              </c:strCache>
            </c:strRef>
          </c:cat>
          <c:val>
            <c:numRef>
              <c:f>Deliveries!$C$9:$Q$9</c:f>
              <c:numCache>
                <c:formatCode>_(* #,##0.00_);_(* \(#,##0.00\);_(* "-"?_);@_)</c:formatCode>
                <c:ptCount val="15"/>
                <c:pt idx="0">
                  <c:v>0</c:v>
                </c:pt>
                <c:pt idx="1">
                  <c:v>90</c:v>
                </c:pt>
                <c:pt idx="2">
                  <c:v>180</c:v>
                </c:pt>
                <c:pt idx="3">
                  <c:v>290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35000</c:v>
                </c:pt>
                <c:pt idx="8">
                  <c:v>50000</c:v>
                </c:pt>
                <c:pt idx="9">
                  <c:v>75000</c:v>
                </c:pt>
                <c:pt idx="10">
                  <c:v>100000</c:v>
                </c:pt>
                <c:pt idx="11">
                  <c:v>125000</c:v>
                </c:pt>
                <c:pt idx="12">
                  <c:v>150000</c:v>
                </c:pt>
                <c:pt idx="13">
                  <c:v>175000</c:v>
                </c:pt>
                <c:pt idx="14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8189720308899466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'Automotive Revenue and GP 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'Automotive Revenue and GP '!$C$3:$Q$3</c:f>
              <c:strCache>
                <c:ptCount val="15"/>
                <c:pt idx="0">
                  <c:v>2021
Act</c:v>
                </c:pt>
                <c:pt idx="1">
                  <c:v>2022
Act</c:v>
                </c:pt>
                <c:pt idx="2">
                  <c:v>2023
Act</c:v>
                </c:pt>
                <c:pt idx="3">
                  <c:v>2024
Act</c:v>
                </c:pt>
                <c:pt idx="4">
                  <c:v>2025
Act</c:v>
                </c:pt>
                <c:pt idx="5">
                  <c:v>2026
Fcst</c:v>
                </c:pt>
                <c:pt idx="6">
                  <c:v>2027
Fcst</c:v>
                </c:pt>
                <c:pt idx="7">
                  <c:v>2028
Fcst</c:v>
                </c:pt>
                <c:pt idx="8">
                  <c:v>2029
Fcst</c:v>
                </c:pt>
                <c:pt idx="9">
                  <c:v>2030
Fcst</c:v>
                </c:pt>
                <c:pt idx="10">
                  <c:v>2031
Fcst</c:v>
                </c:pt>
                <c:pt idx="11">
                  <c:v>2032
Fcst</c:v>
                </c:pt>
                <c:pt idx="12">
                  <c:v>2033
Fcst</c:v>
                </c:pt>
                <c:pt idx="13">
                  <c:v>2034
Fcst</c:v>
                </c:pt>
                <c:pt idx="14">
                  <c:v>2035
Fcst</c:v>
                </c:pt>
              </c:strCache>
            </c:strRef>
          </c:cat>
          <c:val>
            <c:numRef>
              <c:f>'Automotive Revenue and GP '!$C$4:$Q$4</c:f>
              <c:numCache>
                <c:formatCode>_(* #,##0.00_);_(* \(#,##0.00\);_(* "-"?_);@_)</c:formatCode>
                <c:ptCount val="15"/>
                <c:pt idx="0">
                  <c:v>47232</c:v>
                </c:pt>
                <c:pt idx="1">
                  <c:v>71462</c:v>
                </c:pt>
                <c:pt idx="2">
                  <c:v>82419</c:v>
                </c:pt>
                <c:pt idx="3">
                  <c:v>77070</c:v>
                </c:pt>
                <c:pt idx="4">
                  <c:v>69526</c:v>
                </c:pt>
                <c:pt idx="5">
                  <c:v>95189.087499999994</c:v>
                </c:pt>
                <c:pt idx="6">
                  <c:v>107539.34</c:v>
                </c:pt>
                <c:pt idx="7">
                  <c:v>126088.01</c:v>
                </c:pt>
                <c:pt idx="8">
                  <c:v>145576.625</c:v>
                </c:pt>
                <c:pt idx="9">
                  <c:v>169498.85</c:v>
                </c:pt>
                <c:pt idx="10">
                  <c:v>190921.57500000001</c:v>
                </c:pt>
                <c:pt idx="11">
                  <c:v>212344.3</c:v>
                </c:pt>
                <c:pt idx="12">
                  <c:v>233767.02499999999</c:v>
                </c:pt>
                <c:pt idx="13">
                  <c:v>255189.75</c:v>
                </c:pt>
                <c:pt idx="14">
                  <c:v>276612.47499999998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'Automotive Revenue and GP 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'Automotive Revenue and GP '!$C$3:$Q$3</c:f>
              <c:strCache>
                <c:ptCount val="15"/>
                <c:pt idx="0">
                  <c:v>2021
Act</c:v>
                </c:pt>
                <c:pt idx="1">
                  <c:v>2022
Act</c:v>
                </c:pt>
                <c:pt idx="2">
                  <c:v>2023
Act</c:v>
                </c:pt>
                <c:pt idx="3">
                  <c:v>2024
Act</c:v>
                </c:pt>
                <c:pt idx="4">
                  <c:v>2025
Act</c:v>
                </c:pt>
                <c:pt idx="5">
                  <c:v>2026
Fcst</c:v>
                </c:pt>
                <c:pt idx="6">
                  <c:v>2027
Fcst</c:v>
                </c:pt>
                <c:pt idx="7">
                  <c:v>2028
Fcst</c:v>
                </c:pt>
                <c:pt idx="8">
                  <c:v>2029
Fcst</c:v>
                </c:pt>
                <c:pt idx="9">
                  <c:v>2030
Fcst</c:v>
                </c:pt>
                <c:pt idx="10">
                  <c:v>2031
Fcst</c:v>
                </c:pt>
                <c:pt idx="11">
                  <c:v>2032
Fcst</c:v>
                </c:pt>
                <c:pt idx="12">
                  <c:v>2033
Fcst</c:v>
                </c:pt>
                <c:pt idx="13">
                  <c:v>2034
Fcst</c:v>
                </c:pt>
                <c:pt idx="14">
                  <c:v>2035
Fcst</c:v>
                </c:pt>
              </c:strCache>
            </c:strRef>
          </c:cat>
          <c:val>
            <c:numRef>
              <c:f>'Automotive Revenue and GP '!$C$5:$Q$5</c:f>
              <c:numCache>
                <c:formatCode>_(* #,##0.00_);_(* \(#,##0.00\);_(* "-"?_);@_)</c:formatCode>
                <c:ptCount val="15"/>
                <c:pt idx="0">
                  <c:v>13839</c:v>
                </c:pt>
                <c:pt idx="1">
                  <c:v>20354</c:v>
                </c:pt>
                <c:pt idx="2">
                  <c:v>16030</c:v>
                </c:pt>
                <c:pt idx="3">
                  <c:v>14197</c:v>
                </c:pt>
                <c:pt idx="4">
                  <c:v>12361</c:v>
                </c:pt>
                <c:pt idx="5">
                  <c:v>17870.880499999999</c:v>
                </c:pt>
                <c:pt idx="6">
                  <c:v>19886.3308</c:v>
                </c:pt>
                <c:pt idx="7">
                  <c:v>22902.2912</c:v>
                </c:pt>
                <c:pt idx="8">
                  <c:v>26031.044999999998</c:v>
                </c:pt>
                <c:pt idx="9">
                  <c:v>30048.772000000001</c:v>
                </c:pt>
                <c:pt idx="10">
                  <c:v>33566.599000000002</c:v>
                </c:pt>
                <c:pt idx="11">
                  <c:v>37084.426000000007</c:v>
                </c:pt>
                <c:pt idx="12">
                  <c:v>40602.253000000004</c:v>
                </c:pt>
                <c:pt idx="13">
                  <c:v>44120.08</c:v>
                </c:pt>
                <c:pt idx="14">
                  <c:v>47637.907000000007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'Automotive Revenue and GP 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'Automotive Revenue and GP '!$C$3:$P$3</c:f>
              <c:strCache>
                <c:ptCount val="14"/>
                <c:pt idx="0">
                  <c:v>2021
Act</c:v>
                </c:pt>
                <c:pt idx="1">
                  <c:v>2022
Act</c:v>
                </c:pt>
                <c:pt idx="2">
                  <c:v>2023
Act</c:v>
                </c:pt>
                <c:pt idx="3">
                  <c:v>2024
Act</c:v>
                </c:pt>
                <c:pt idx="4">
                  <c:v>2025
Act</c:v>
                </c:pt>
                <c:pt idx="5">
                  <c:v>2026
Fcst</c:v>
                </c:pt>
                <c:pt idx="6">
                  <c:v>2027
Fcst</c:v>
                </c:pt>
                <c:pt idx="7">
                  <c:v>2028
Fcst</c:v>
                </c:pt>
                <c:pt idx="8">
                  <c:v>2029
Fcst</c:v>
                </c:pt>
                <c:pt idx="9">
                  <c:v>2030
Fcst</c:v>
                </c:pt>
                <c:pt idx="10">
                  <c:v>2031
Fcst</c:v>
                </c:pt>
                <c:pt idx="11">
                  <c:v>2032
Fcst</c:v>
                </c:pt>
                <c:pt idx="12">
                  <c:v>2033
Fcst</c:v>
                </c:pt>
                <c:pt idx="13">
                  <c:v>2034
Fcst</c:v>
                </c:pt>
              </c:strCache>
            </c:strRef>
          </c:cat>
          <c:val>
            <c:numRef>
              <c:f>'Automotive Revenue and GP '!$C$6:$Q$6</c:f>
              <c:numCache>
                <c:formatCode>0.00%</c:formatCode>
                <c:ptCount val="15"/>
                <c:pt idx="0">
                  <c:v>0.29300050813008133</c:v>
                </c:pt>
                <c:pt idx="1">
                  <c:v>0.28482270297500767</c:v>
                </c:pt>
                <c:pt idx="2">
                  <c:v>0.19449398803673909</c:v>
                </c:pt>
                <c:pt idx="3">
                  <c:v>0.18420916050343844</c:v>
                </c:pt>
                <c:pt idx="4">
                  <c:v>0.17778960388919254</c:v>
                </c:pt>
                <c:pt idx="5">
                  <c:v>0.18774085317290179</c:v>
                </c:pt>
                <c:pt idx="6">
                  <c:v>0.18492145107083605</c:v>
                </c:pt>
                <c:pt idx="7">
                  <c:v>0.18163734363005651</c:v>
                </c:pt>
                <c:pt idx="8">
                  <c:v>0.17881335688335953</c:v>
                </c:pt>
                <c:pt idx="9">
                  <c:v>0.17728009364075331</c:v>
                </c:pt>
                <c:pt idx="10">
                  <c:v>0.17581354543089223</c:v>
                </c:pt>
                <c:pt idx="11">
                  <c:v>0.17464290776818595</c:v>
                </c:pt>
                <c:pt idx="12">
                  <c:v>0.1736868277294456</c:v>
                </c:pt>
                <c:pt idx="13">
                  <c:v>0.17289127012350614</c:v>
                </c:pt>
                <c:pt idx="14">
                  <c:v>0.17221893914943645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.00_);_(* \(#,##0.0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Working Capital development (2026-2035)</a:t>
            </a:r>
          </a:p>
        </c:rich>
      </c:tx>
      <c:layout>
        <c:manualLayout>
          <c:xMode val="edge"/>
          <c:yMode val="edge"/>
          <c:x val="2.380402449693788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52213288804621E-2"/>
          <c:y val="0.11560170394036209"/>
          <c:w val="0.92260769688498956"/>
          <c:h val="0.7398971095066792"/>
        </c:manualLayout>
      </c:layout>
      <c:lineChart>
        <c:grouping val="stacked"/>
        <c:varyColors val="0"/>
        <c:ser>
          <c:idx val="0"/>
          <c:order val="0"/>
          <c:tx>
            <c:strRef>
              <c:f>'Working capital'!$B$5</c:f>
              <c:strCache>
                <c:ptCount val="1"/>
                <c:pt idx="0">
                  <c:v>Trade receivables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2026
Fcst</c:v>
                </c:pt>
                <c:pt idx="1">
                  <c:v>2027
Fcst</c:v>
                </c:pt>
                <c:pt idx="2">
                  <c:v>2028
Fcst</c:v>
                </c:pt>
                <c:pt idx="3">
                  <c:v>2029
Fcst</c:v>
                </c:pt>
                <c:pt idx="4">
                  <c:v>2030
Fcst</c:v>
                </c:pt>
                <c:pt idx="5">
                  <c:v>2031
Fcst</c:v>
                </c:pt>
                <c:pt idx="6">
                  <c:v>2032
Fcst</c:v>
                </c:pt>
                <c:pt idx="7">
                  <c:v>2033
Fcst</c:v>
                </c:pt>
                <c:pt idx="8">
                  <c:v>2034
Fcst</c:v>
                </c:pt>
                <c:pt idx="9">
                  <c:v>2035
Fcst</c:v>
                </c:pt>
              </c:strCache>
            </c:strRef>
          </c:cat>
          <c:val>
            <c:numRef>
              <c:f>'Working capital'!$H$5:$Q$5</c:f>
              <c:numCache>
                <c:formatCode>#,##0.00_);\(#,##0.00\)</c:formatCode>
                <c:ptCount val="10"/>
                <c:pt idx="0">
                  <c:v>5039.5578321947578</c:v>
                </c:pt>
                <c:pt idx="1">
                  <c:v>5681.6875520559906</c:v>
                </c:pt>
                <c:pt idx="2">
                  <c:v>6537.048906152997</c:v>
                </c:pt>
                <c:pt idx="3">
                  <c:v>7409.8083294211756</c:v>
                </c:pt>
                <c:pt idx="4">
                  <c:v>8466.4914789478316</c:v>
                </c:pt>
                <c:pt idx="5">
                  <c:v>9427.993209953418</c:v>
                </c:pt>
                <c:pt idx="6">
                  <c:v>10395.382080771888</c:v>
                </c:pt>
                <c:pt idx="7">
                  <c:v>11369.011319792016</c:v>
                </c:pt>
                <c:pt idx="8">
                  <c:v>12349.255349105904</c:v>
                </c:pt>
                <c:pt idx="9">
                  <c:v>13336.51105613117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3F-4A04-8972-3FB0F2D77782}"/>
            </c:ext>
          </c:extLst>
        </c:ser>
        <c:ser>
          <c:idx val="1"/>
          <c:order val="1"/>
          <c:tx>
            <c:strRef>
              <c:f>'Working capital'!$B$6</c:f>
              <c:strCache>
                <c:ptCount val="1"/>
                <c:pt idx="0">
                  <c:v>Inventory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2026
Fcst</c:v>
                </c:pt>
                <c:pt idx="1">
                  <c:v>2027
Fcst</c:v>
                </c:pt>
                <c:pt idx="2">
                  <c:v>2028
Fcst</c:v>
                </c:pt>
                <c:pt idx="3">
                  <c:v>2029
Fcst</c:v>
                </c:pt>
                <c:pt idx="4">
                  <c:v>2030
Fcst</c:v>
                </c:pt>
                <c:pt idx="5">
                  <c:v>2031
Fcst</c:v>
                </c:pt>
                <c:pt idx="6">
                  <c:v>2032
Fcst</c:v>
                </c:pt>
                <c:pt idx="7">
                  <c:v>2033
Fcst</c:v>
                </c:pt>
                <c:pt idx="8">
                  <c:v>2034
Fcst</c:v>
                </c:pt>
                <c:pt idx="9">
                  <c:v>2035
Fcst</c:v>
                </c:pt>
              </c:strCache>
            </c:strRef>
          </c:cat>
          <c:val>
            <c:numRef>
              <c:f>'Working capital'!$H$6:$Q$6</c:f>
              <c:numCache>
                <c:formatCode>#,##0.00_);\(#,##0.00\)</c:formatCode>
                <c:ptCount val="10"/>
                <c:pt idx="0">
                  <c:v>17360.777475551986</c:v>
                </c:pt>
                <c:pt idx="1">
                  <c:v>19620.821090881047</c:v>
                </c:pt>
                <c:pt idx="2">
                  <c:v>22615.785699475797</c:v>
                </c:pt>
                <c:pt idx="3">
                  <c:v>25673.749901727115</c:v>
                </c:pt>
                <c:pt idx="4">
                  <c:v>29343.936607910618</c:v>
                </c:pt>
                <c:pt idx="5">
                  <c:v>32700.065878497619</c:v>
                </c:pt>
                <c:pt idx="6">
                  <c:v>36077.855669393088</c:v>
                </c:pt>
                <c:pt idx="7">
                  <c:v>39478.605611815554</c:v>
                </c:pt>
                <c:pt idx="8">
                  <c:v>42903.693314856624</c:v>
                </c:pt>
                <c:pt idx="9">
                  <c:v>46354.579044153419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13F-4A04-8972-3FB0F2D77782}"/>
            </c:ext>
          </c:extLst>
        </c:ser>
        <c:ser>
          <c:idx val="2"/>
          <c:order val="2"/>
          <c:tx>
            <c:strRef>
              <c:f>'Working capital'!$B$7</c:f>
              <c:strCache>
                <c:ptCount val="1"/>
                <c:pt idx="0">
                  <c:v>Trade payables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2026
Fcst</c:v>
                </c:pt>
                <c:pt idx="1">
                  <c:v>2027
Fcst</c:v>
                </c:pt>
                <c:pt idx="2">
                  <c:v>2028
Fcst</c:v>
                </c:pt>
                <c:pt idx="3">
                  <c:v>2029
Fcst</c:v>
                </c:pt>
                <c:pt idx="4">
                  <c:v>2030
Fcst</c:v>
                </c:pt>
                <c:pt idx="5">
                  <c:v>2031
Fcst</c:v>
                </c:pt>
                <c:pt idx="6">
                  <c:v>2032
Fcst</c:v>
                </c:pt>
                <c:pt idx="7">
                  <c:v>2033
Fcst</c:v>
                </c:pt>
                <c:pt idx="8">
                  <c:v>2034
Fcst</c:v>
                </c:pt>
                <c:pt idx="9">
                  <c:v>2035
Fcst</c:v>
                </c:pt>
              </c:strCache>
            </c:strRef>
          </c:cat>
          <c:val>
            <c:numRef>
              <c:f>'Working capital'!$H$7:$Q$7</c:f>
              <c:numCache>
                <c:formatCode>#,##0.00_);\(#,##0.00\)</c:formatCode>
                <c:ptCount val="10"/>
                <c:pt idx="0">
                  <c:v>20981.800894538035</c:v>
                </c:pt>
                <c:pt idx="1">
                  <c:v>23713.233010212829</c:v>
                </c:pt>
                <c:pt idx="2">
                  <c:v>27332.8722338718</c:v>
                </c:pt>
                <c:pt idx="3">
                  <c:v>31028.651188738113</c:v>
                </c:pt>
                <c:pt idx="4">
                  <c:v>35464.346930093394</c:v>
                </c:pt>
                <c:pt idx="5">
                  <c:v>39520.480719663123</c:v>
                </c:pt>
                <c:pt idx="6">
                  <c:v>43602.792871637685</c:v>
                </c:pt>
                <c:pt idx="7">
                  <c:v>47712.854087761356</c:v>
                </c:pt>
                <c:pt idx="8">
                  <c:v>51852.329311883121</c:v>
                </c:pt>
                <c:pt idx="9">
                  <c:v>56022.98338448281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13F-4A04-8972-3FB0F2D77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96184"/>
        <c:axId val="427997496"/>
      </c:lineChart>
      <c:catAx>
        <c:axId val="42799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7496"/>
        <c:crosses val="autoZero"/>
        <c:auto val="1"/>
        <c:lblAlgn val="ctr"/>
        <c:lblOffset val="100"/>
        <c:noMultiLvlLbl val="0"/>
      </c:catAx>
      <c:valAx>
        <c:axId val="42799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</a:t>
                </a:r>
                <a:r>
                  <a:rPr lang="en-US" baseline="0"/>
                  <a:t> million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Opex comparables outlier ditection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00000000-E45D-41BA-9138-3F42A9BE57FE}">
          <cx:tx>
            <cx:txData>
              <cx:f>_xlchart.v1.0</cx:f>
              <cx:v>Average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1"/>
                    </a:solidFill>
                  </a:defRPr>
                </a:pPr>
                <a:endParaRPr lang="en-US" sz="900" b="0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559594</xdr:colOff>
      <xdr:row>1</xdr:row>
      <xdr:rowOff>130970</xdr:rowOff>
    </xdr:from>
    <xdr:to>
      <xdr:col>21</xdr:col>
      <xdr:colOff>250030</xdr:colOff>
      <xdr:row>43</xdr:row>
      <xdr:rowOff>23811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CC42FB-FDE6-550A-CF15-04BD41594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5844" y="333376"/>
          <a:ext cx="6869905" cy="6429373"/>
        </a:xfrm>
        <a:prstGeom prst="rect">
          <a:avLst/>
        </a:prstGeom>
      </xdr:spPr>
    </xdr:pic>
    <xdr:clientData/>
  </xdr:twoCellAnchor>
  <xdr:twoCellAnchor editAs="oneCell">
    <xdr:from>
      <xdr:col>3</xdr:col>
      <xdr:colOff>126956</xdr:colOff>
      <xdr:row>1</xdr:row>
      <xdr:rowOff>154777</xdr:rowOff>
    </xdr:from>
    <xdr:to>
      <xdr:col>10</xdr:col>
      <xdr:colOff>460759</xdr:colOff>
      <xdr:row>23</xdr:row>
      <xdr:rowOff>126934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111F3D6-EE1F-9866-85C7-5B1F660C2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9706" y="357183"/>
          <a:ext cx="5417772" cy="3401157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23</xdr:row>
      <xdr:rowOff>107158</xdr:rowOff>
    </xdr:from>
    <xdr:to>
      <xdr:col>10</xdr:col>
      <xdr:colOff>497065</xdr:colOff>
      <xdr:row>43</xdr:row>
      <xdr:rowOff>11906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F76553D-5B61-F6EE-1CDA-0AFE1FDF2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5156" y="3738564"/>
          <a:ext cx="5438159" cy="3012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118110</xdr:rowOff>
    </xdr:from>
    <xdr:to>
      <xdr:col>22</xdr:col>
      <xdr:colOff>160020</xdr:colOff>
      <xdr:row>39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7</xdr:row>
      <xdr:rowOff>114300</xdr:rowOff>
    </xdr:from>
    <xdr:to>
      <xdr:col>16</xdr:col>
      <xdr:colOff>581024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95250</xdr:rowOff>
    </xdr:from>
    <xdr:to>
      <xdr:col>12</xdr:col>
      <xdr:colOff>381000</xdr:colOff>
      <xdr:row>27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10566C2-78C2-22DA-DE0C-5471F0D68F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43475" y="95250"/>
              <a:ext cx="4152900" cy="4181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14</xdr:row>
      <xdr:rowOff>114300</xdr:rowOff>
    </xdr:from>
    <xdr:to>
      <xdr:col>16</xdr:col>
      <xdr:colOff>676274</xdr:colOff>
      <xdr:row>41</xdr:row>
      <xdr:rowOff>36195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848564-C366-48D7-BCE0-F4647ACF5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E39" sqref="E3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0" t="s">
        <v>143</v>
      </c>
      <c r="C9" s="59"/>
    </row>
    <row r="10" spans="2:3" ht="50.25" x14ac:dyDescent="0.2">
      <c r="B10" s="10" t="s">
        <v>144</v>
      </c>
      <c r="C10" s="5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0" zoomScaleNormal="80" workbookViewId="0">
      <selection activeCell="B21" sqref="B21"/>
    </sheetView>
  </sheetViews>
  <sheetFormatPr defaultColWidth="9.140625" defaultRowHeight="12" x14ac:dyDescent="0.2"/>
  <cols>
    <col min="1" max="1" width="2" style="7" customWidth="1"/>
    <col min="2" max="2" width="31.140625" style="7" customWidth="1"/>
    <col min="3" max="3" width="12.140625" style="7" customWidth="1"/>
    <col min="4" max="6" width="11.28515625" style="7" bestFit="1" customWidth="1"/>
    <col min="7" max="7" width="11.42578125" style="7" bestFit="1" customWidth="1"/>
    <col min="8" max="11" width="10.28515625" style="7" bestFit="1" customWidth="1"/>
    <col min="12" max="16" width="10.42578125" style="7" bestFit="1" customWidth="1"/>
    <col min="17" max="16384" width="9.140625" style="7"/>
  </cols>
  <sheetData>
    <row r="1" spans="1:6" ht="15.75" x14ac:dyDescent="0.2">
      <c r="A1" s="1"/>
      <c r="B1" s="2" t="s">
        <v>60</v>
      </c>
    </row>
    <row r="3" spans="1:6" ht="12.75" x14ac:dyDescent="0.2">
      <c r="B3" s="7" t="s">
        <v>61</v>
      </c>
      <c r="C3" s="12">
        <v>2</v>
      </c>
      <c r="E3" s="4"/>
      <c r="F3" s="4"/>
    </row>
    <row r="4" spans="1:6" ht="12.75" x14ac:dyDescent="0.2">
      <c r="B4" s="7" t="s">
        <v>218</v>
      </c>
      <c r="C4" s="362" t="s">
        <v>143</v>
      </c>
      <c r="E4" s="4"/>
      <c r="F4" s="4"/>
    </row>
    <row r="5" spans="1:6" x14ac:dyDescent="0.2">
      <c r="B5" s="7" t="s">
        <v>138</v>
      </c>
      <c r="C5" s="362" t="s">
        <v>139</v>
      </c>
    </row>
    <row r="6" spans="1:6" x14ac:dyDescent="0.2">
      <c r="B6" s="7" t="s">
        <v>140</v>
      </c>
      <c r="C6" s="362" t="s">
        <v>141</v>
      </c>
    </row>
    <row r="7" spans="1:6" x14ac:dyDescent="0.2">
      <c r="B7" s="7" t="s">
        <v>239</v>
      </c>
      <c r="C7" s="106">
        <v>4.5499999999999999E-2</v>
      </c>
    </row>
    <row r="8" spans="1:6" x14ac:dyDescent="0.2">
      <c r="B8" s="7" t="s">
        <v>142</v>
      </c>
      <c r="C8" s="114">
        <v>5.5E-2</v>
      </c>
    </row>
    <row r="9" spans="1:6" x14ac:dyDescent="0.2">
      <c r="B9" s="7" t="s">
        <v>238</v>
      </c>
      <c r="C9" s="108">
        <v>1.18</v>
      </c>
    </row>
    <row r="10" spans="1:6" x14ac:dyDescent="0.2">
      <c r="B10" s="7" t="s">
        <v>237</v>
      </c>
      <c r="C10" s="108">
        <v>408.95</v>
      </c>
    </row>
    <row r="11" spans="1:6" x14ac:dyDescent="0.2">
      <c r="B11" s="17" t="s">
        <v>240</v>
      </c>
      <c r="C11" s="109">
        <v>5.45E-2</v>
      </c>
    </row>
    <row r="12" spans="1:6" x14ac:dyDescent="0.2">
      <c r="B12" s="7" t="s">
        <v>86</v>
      </c>
      <c r="C12" s="107">
        <v>0.21</v>
      </c>
    </row>
    <row r="13" spans="1:6" x14ac:dyDescent="0.2">
      <c r="B13" s="7" t="s">
        <v>121</v>
      </c>
      <c r="C13" s="114">
        <v>3.1E-2</v>
      </c>
    </row>
    <row r="14" spans="1:6" x14ac:dyDescent="0.2">
      <c r="B14" s="7" t="s">
        <v>343</v>
      </c>
      <c r="C14" s="209">
        <v>3752.43</v>
      </c>
    </row>
    <row r="26" spans="5:5" ht="12.75" x14ac:dyDescent="0.2">
      <c r="E26" s="91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V34" sqref="V34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ySplit="3" topLeftCell="A4" activePane="bottomLeft" state="frozen"/>
      <selection pane="bottomLeft" activeCell="F41" sqref="F41"/>
    </sheetView>
  </sheetViews>
  <sheetFormatPr defaultColWidth="9.140625" defaultRowHeight="12.75" x14ac:dyDescent="0.2"/>
  <cols>
    <col min="1" max="1" width="2" style="1" customWidth="1"/>
    <col min="2" max="2" width="39.42578125" style="1" bestFit="1" customWidth="1"/>
    <col min="3" max="4" width="10.5703125" style="1" customWidth="1"/>
    <col min="5" max="5" width="11.42578125" style="1" bestFit="1" customWidth="1"/>
    <col min="6" max="7" width="12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124</v>
      </c>
    </row>
    <row r="3" spans="2:13" ht="24" x14ac:dyDescent="0.2">
      <c r="B3" s="5" t="s">
        <v>349</v>
      </c>
      <c r="C3" s="6" t="s">
        <v>241</v>
      </c>
      <c r="D3" s="6" t="s">
        <v>242</v>
      </c>
      <c r="E3" s="6" t="s">
        <v>243</v>
      </c>
      <c r="F3" s="6" t="s">
        <v>244</v>
      </c>
      <c r="G3" s="6" t="s">
        <v>245</v>
      </c>
    </row>
    <row r="4" spans="2:13" x14ac:dyDescent="0.2">
      <c r="B4" s="7" t="s">
        <v>66</v>
      </c>
      <c r="C4" s="231">
        <v>47232</v>
      </c>
      <c r="D4" s="231">
        <v>71462</v>
      </c>
      <c r="E4" s="231">
        <v>82419</v>
      </c>
      <c r="F4" s="231">
        <v>77070</v>
      </c>
      <c r="G4" s="231">
        <v>69526</v>
      </c>
      <c r="H4" s="94"/>
      <c r="J4" s="92"/>
      <c r="K4" s="92"/>
      <c r="L4" s="92"/>
      <c r="M4" s="92"/>
    </row>
    <row r="5" spans="2:13" x14ac:dyDescent="0.2">
      <c r="B5" s="7" t="s">
        <v>3</v>
      </c>
      <c r="C5" s="231">
        <v>2789</v>
      </c>
      <c r="D5" s="231">
        <v>3909</v>
      </c>
      <c r="E5" s="231">
        <v>6035</v>
      </c>
      <c r="F5" s="231">
        <v>10086</v>
      </c>
      <c r="G5" s="231">
        <v>12771</v>
      </c>
    </row>
    <row r="6" spans="2:13" x14ac:dyDescent="0.2">
      <c r="B6" s="7" t="s">
        <v>2</v>
      </c>
      <c r="C6" s="231">
        <v>3802</v>
      </c>
      <c r="D6" s="231">
        <v>6091</v>
      </c>
      <c r="E6" s="231">
        <v>8319</v>
      </c>
      <c r="F6" s="231">
        <v>10534</v>
      </c>
      <c r="G6" s="231">
        <v>12530</v>
      </c>
    </row>
    <row r="7" spans="2:13" x14ac:dyDescent="0.2">
      <c r="B7" s="8" t="s">
        <v>0</v>
      </c>
      <c r="C7" s="232">
        <f>SUM(C4:C6)</f>
        <v>53823</v>
      </c>
      <c r="D7" s="232">
        <f>SUM(D4:D6)</f>
        <v>81462</v>
      </c>
      <c r="E7" s="232">
        <f>SUM(E4:E6)</f>
        <v>96773</v>
      </c>
      <c r="F7" s="232">
        <f>SUM(F4:F6)</f>
        <v>97690</v>
      </c>
      <c r="G7" s="232">
        <f>SUM(G4:G6)</f>
        <v>94827</v>
      </c>
    </row>
    <row r="8" spans="2:13" x14ac:dyDescent="0.2">
      <c r="B8" s="7" t="s">
        <v>35</v>
      </c>
      <c r="C8" s="231">
        <v>-33393</v>
      </c>
      <c r="D8" s="231">
        <v>-51108</v>
      </c>
      <c r="E8" s="231">
        <v>-66389</v>
      </c>
      <c r="F8" s="231">
        <v>-62873</v>
      </c>
      <c r="G8" s="231">
        <v>-57165</v>
      </c>
    </row>
    <row r="9" spans="2:13" x14ac:dyDescent="0.2">
      <c r="B9" s="7" t="s">
        <v>33</v>
      </c>
      <c r="C9" s="231">
        <v>-2918</v>
      </c>
      <c r="D9" s="231">
        <v>-3621</v>
      </c>
      <c r="E9" s="231">
        <v>-4894</v>
      </c>
      <c r="F9" s="231">
        <v>-7446</v>
      </c>
      <c r="G9" s="231">
        <v>-8969</v>
      </c>
      <c r="I9" s="92"/>
      <c r="J9" s="92"/>
    </row>
    <row r="10" spans="2:13" x14ac:dyDescent="0.2">
      <c r="B10" s="7" t="s">
        <v>34</v>
      </c>
      <c r="C10" s="231">
        <v>-3906</v>
      </c>
      <c r="D10" s="231">
        <v>-5880</v>
      </c>
      <c r="E10" s="231">
        <v>-7830</v>
      </c>
      <c r="F10" s="231">
        <v>-9921</v>
      </c>
      <c r="G10" s="231">
        <v>-11599</v>
      </c>
      <c r="I10" s="92"/>
      <c r="J10" s="92"/>
    </row>
    <row r="11" spans="2:13" x14ac:dyDescent="0.2">
      <c r="B11" s="8" t="s">
        <v>1</v>
      </c>
      <c r="C11" s="232">
        <f>SUM(C7:C10)</f>
        <v>13606</v>
      </c>
      <c r="D11" s="232">
        <f>SUM(D7:D10)</f>
        <v>20853</v>
      </c>
      <c r="E11" s="232">
        <f>SUM(E7:E10)</f>
        <v>17660</v>
      </c>
      <c r="F11" s="232">
        <f>SUM(F7:F10)</f>
        <v>17450</v>
      </c>
      <c r="G11" s="232">
        <f>SUM(G7:G10)</f>
        <v>17094</v>
      </c>
    </row>
    <row r="12" spans="2:13" x14ac:dyDescent="0.2">
      <c r="B12" s="7" t="s">
        <v>4</v>
      </c>
      <c r="C12" s="231">
        <v>-2593</v>
      </c>
      <c r="D12" s="231">
        <v>-3075</v>
      </c>
      <c r="E12" s="231">
        <v>-3969</v>
      </c>
      <c r="F12" s="231">
        <v>-4540</v>
      </c>
      <c r="G12" s="231">
        <v>-6411</v>
      </c>
    </row>
    <row r="13" spans="2:13" x14ac:dyDescent="0.2">
      <c r="B13" s="7" t="s">
        <v>29</v>
      </c>
      <c r="C13" s="231">
        <v>-4517</v>
      </c>
      <c r="D13" s="231">
        <v>-3946</v>
      </c>
      <c r="E13" s="231">
        <v>-4800</v>
      </c>
      <c r="F13" s="231">
        <v>-5150</v>
      </c>
      <c r="G13" s="231">
        <v>-5834</v>
      </c>
    </row>
    <row r="14" spans="2:13" x14ac:dyDescent="0.2">
      <c r="B14" s="7" t="s">
        <v>126</v>
      </c>
      <c r="C14" s="231">
        <v>27</v>
      </c>
      <c r="D14" s="231">
        <v>-176</v>
      </c>
      <c r="E14" s="231"/>
      <c r="F14" s="231">
        <v>-684</v>
      </c>
      <c r="G14" s="231">
        <v>-494</v>
      </c>
    </row>
    <row r="15" spans="2:13" x14ac:dyDescent="0.2">
      <c r="B15" s="8" t="s">
        <v>36</v>
      </c>
      <c r="C15" s="232">
        <f>SUM(C11:C14)</f>
        <v>6523</v>
      </c>
      <c r="D15" s="232">
        <f>SUM(D11:D14)</f>
        <v>13656</v>
      </c>
      <c r="E15" s="232">
        <f>SUM(E11:E14)</f>
        <v>8891</v>
      </c>
      <c r="F15" s="232">
        <f>SUM(F11:F14)</f>
        <v>7076</v>
      </c>
      <c r="G15" s="232">
        <f>SUM(G11:G14)</f>
        <v>4355</v>
      </c>
    </row>
    <row r="16" spans="2:13" x14ac:dyDescent="0.2">
      <c r="B16" s="7" t="s">
        <v>30</v>
      </c>
      <c r="C16" s="231">
        <v>56</v>
      </c>
      <c r="D16" s="231">
        <v>297</v>
      </c>
      <c r="E16" s="231">
        <v>1066</v>
      </c>
      <c r="F16" s="231">
        <v>1569</v>
      </c>
      <c r="G16" s="231">
        <v>1680</v>
      </c>
    </row>
    <row r="17" spans="2:7" x14ac:dyDescent="0.2">
      <c r="B17" s="7" t="s">
        <v>5</v>
      </c>
      <c r="C17" s="231">
        <v>-371</v>
      </c>
      <c r="D17" s="231">
        <v>-191</v>
      </c>
      <c r="E17" s="231">
        <v>-156</v>
      </c>
      <c r="F17" s="231">
        <v>-350</v>
      </c>
      <c r="G17" s="231">
        <v>-338</v>
      </c>
    </row>
    <row r="18" spans="2:7" x14ac:dyDescent="0.2">
      <c r="B18" s="7" t="s">
        <v>31</v>
      </c>
      <c r="C18" s="231">
        <v>135</v>
      </c>
      <c r="D18" s="231">
        <v>-43</v>
      </c>
      <c r="E18" s="231">
        <v>172</v>
      </c>
      <c r="F18" s="231">
        <v>695</v>
      </c>
      <c r="G18" s="231">
        <v>-419</v>
      </c>
    </row>
    <row r="19" spans="2:7" x14ac:dyDescent="0.2">
      <c r="B19" s="8" t="s">
        <v>37</v>
      </c>
      <c r="C19" s="232">
        <f>SUM(C15:C18)</f>
        <v>6343</v>
      </c>
      <c r="D19" s="232">
        <f>SUM(D15:D18)</f>
        <v>13719</v>
      </c>
      <c r="E19" s="232">
        <f>SUM(E15:E18)</f>
        <v>9973</v>
      </c>
      <c r="F19" s="232">
        <f>SUM(F15:F18)</f>
        <v>8990</v>
      </c>
      <c r="G19" s="232">
        <f>SUM(G15:G18)</f>
        <v>5278</v>
      </c>
    </row>
    <row r="20" spans="2:7" x14ac:dyDescent="0.2">
      <c r="B20" s="7" t="s">
        <v>6</v>
      </c>
      <c r="C20" s="231">
        <v>-699</v>
      </c>
      <c r="D20" s="231">
        <v>-1132</v>
      </c>
      <c r="E20" s="231">
        <v>5001</v>
      </c>
      <c r="F20" s="231">
        <v>-1837</v>
      </c>
      <c r="G20" s="231">
        <v>-1423</v>
      </c>
    </row>
    <row r="21" spans="2:7" x14ac:dyDescent="0.2">
      <c r="B21" s="8" t="s">
        <v>284</v>
      </c>
      <c r="C21" s="232">
        <f>SUM(C19:C20)</f>
        <v>5644</v>
      </c>
      <c r="D21" s="232">
        <f>SUM(D19:D20)</f>
        <v>12587</v>
      </c>
      <c r="E21" s="232">
        <f>SUM(E19:E20)</f>
        <v>14974</v>
      </c>
      <c r="F21" s="232">
        <f>SUM(F19:F20)</f>
        <v>7153</v>
      </c>
      <c r="G21" s="232">
        <f>SUM(G19:G20)</f>
        <v>3855</v>
      </c>
    </row>
    <row r="22" spans="2:7" s="3" customFormat="1" x14ac:dyDescent="0.2">
      <c r="B22" s="7" t="s">
        <v>45</v>
      </c>
      <c r="C22" s="231">
        <v>-125</v>
      </c>
      <c r="D22" s="231">
        <v>-31</v>
      </c>
      <c r="E22" s="231">
        <v>23</v>
      </c>
      <c r="F22" s="231">
        <v>-62</v>
      </c>
      <c r="G22" s="231">
        <v>-61</v>
      </c>
    </row>
    <row r="23" spans="2:7" s="3" customFormat="1" ht="13.5" thickBot="1" x14ac:dyDescent="0.25">
      <c r="B23" s="9" t="s">
        <v>196</v>
      </c>
      <c r="C23" s="233">
        <f>SUM(C21:C22)</f>
        <v>5519</v>
      </c>
      <c r="D23" s="233">
        <f>SUM(D21:D22)</f>
        <v>12556</v>
      </c>
      <c r="E23" s="233">
        <f>SUM(E21:E22)</f>
        <v>14997</v>
      </c>
      <c r="F23" s="233">
        <f>SUM(F21:F22)</f>
        <v>7091</v>
      </c>
      <c r="G23" s="233">
        <f>SUM(G21:G22)</f>
        <v>3794</v>
      </c>
    </row>
    <row r="25" spans="2:7" x14ac:dyDescent="0.2">
      <c r="B25" s="45" t="s">
        <v>127</v>
      </c>
      <c r="C25" s="44"/>
      <c r="D25" s="44"/>
      <c r="E25" s="44"/>
      <c r="F25" s="44"/>
      <c r="G25" s="44"/>
    </row>
    <row r="26" spans="2:7" x14ac:dyDescent="0.2">
      <c r="B26" s="44" t="s">
        <v>208</v>
      </c>
      <c r="C26" s="234"/>
      <c r="D26" s="234">
        <f t="shared" ref="D26:D28" si="0">D4/C4-1</f>
        <v>0.51299966124661256</v>
      </c>
      <c r="E26" s="234">
        <f t="shared" ref="E26:G28" si="1">E4/D4-1</f>
        <v>0.15332624331812705</v>
      </c>
      <c r="F26" s="234">
        <f t="shared" si="1"/>
        <v>-6.4900083718560042E-2</v>
      </c>
      <c r="G26" s="234">
        <f t="shared" si="1"/>
        <v>-9.7885039574412858E-2</v>
      </c>
    </row>
    <row r="27" spans="2:7" x14ac:dyDescent="0.2">
      <c r="B27" s="44" t="s">
        <v>209</v>
      </c>
      <c r="C27" s="234"/>
      <c r="D27" s="234">
        <f t="shared" si="0"/>
        <v>0.40157762638938688</v>
      </c>
      <c r="E27" s="234">
        <f t="shared" si="1"/>
        <v>0.54387311332821686</v>
      </c>
      <c r="F27" s="234">
        <f t="shared" si="1"/>
        <v>0.67125103562551791</v>
      </c>
      <c r="G27" s="234">
        <f>G5/F5-1</f>
        <v>0.26621058893515759</v>
      </c>
    </row>
    <row r="28" spans="2:7" x14ac:dyDescent="0.2">
      <c r="B28" s="44" t="s">
        <v>210</v>
      </c>
      <c r="C28" s="234"/>
      <c r="D28" s="234">
        <f t="shared" si="0"/>
        <v>0.60205155181483438</v>
      </c>
      <c r="E28" s="234">
        <f t="shared" si="1"/>
        <v>0.36578558528977179</v>
      </c>
      <c r="F28" s="234">
        <f t="shared" si="1"/>
        <v>0.26625796369755972</v>
      </c>
      <c r="G28" s="234">
        <f>G6/F6-1</f>
        <v>0.18948167837478636</v>
      </c>
    </row>
    <row r="29" spans="2:7" x14ac:dyDescent="0.2">
      <c r="B29" s="44" t="s">
        <v>46</v>
      </c>
      <c r="C29" s="234">
        <f t="shared" ref="C29:F29" si="2">(C4+C8)/C4</f>
        <v>0.29300050813008133</v>
      </c>
      <c r="D29" s="234">
        <f t="shared" si="2"/>
        <v>0.28482270297500767</v>
      </c>
      <c r="E29" s="234">
        <f t="shared" si="2"/>
        <v>0.19449398803673909</v>
      </c>
      <c r="F29" s="234">
        <f t="shared" si="2"/>
        <v>0.18420916050343844</v>
      </c>
      <c r="G29" s="234">
        <f>(G4+G8)/G4</f>
        <v>0.17778960388919254</v>
      </c>
    </row>
    <row r="30" spans="2:7" x14ac:dyDescent="0.2">
      <c r="B30" s="44" t="s">
        <v>47</v>
      </c>
      <c r="C30" s="234">
        <f t="shared" ref="C30:F30" si="3">(C5+C9)/C5</f>
        <v>-4.6253137325206167E-2</v>
      </c>
      <c r="D30" s="234">
        <f t="shared" si="3"/>
        <v>7.3676132003069841E-2</v>
      </c>
      <c r="E30" s="234">
        <f t="shared" si="3"/>
        <v>0.18906379453189726</v>
      </c>
      <c r="F30" s="234">
        <f t="shared" si="3"/>
        <v>0.26174895895300415</v>
      </c>
      <c r="G30" s="234">
        <f t="shared" ref="G30:G31" si="4">(G5+G9)/G5</f>
        <v>0.29770573956620466</v>
      </c>
    </row>
    <row r="31" spans="2:7" x14ac:dyDescent="0.2">
      <c r="B31" s="44" t="s">
        <v>48</v>
      </c>
      <c r="C31" s="234">
        <f t="shared" ref="C31:F31" si="5">(C6+C10)/C6</f>
        <v>-2.7354024197790636E-2</v>
      </c>
      <c r="D31" s="234">
        <f t="shared" si="5"/>
        <v>3.4641274010835658E-2</v>
      </c>
      <c r="E31" s="234">
        <f>(E6+E10)/E6</f>
        <v>5.8781103498016588E-2</v>
      </c>
      <c r="F31" s="234">
        <f t="shared" si="5"/>
        <v>5.8192519460793624E-2</v>
      </c>
      <c r="G31" s="234">
        <f t="shared" si="4"/>
        <v>7.4301675977653636E-2</v>
      </c>
    </row>
    <row r="32" spans="2:7" x14ac:dyDescent="0.2">
      <c r="B32" s="44" t="s">
        <v>49</v>
      </c>
      <c r="C32" s="234">
        <f>(SUM(C4:C6)+SUM(C8:C10))/SUM(C4:C6)</f>
        <v>0.25279155751258753</v>
      </c>
      <c r="D32" s="234">
        <f>(SUM(D4:D6)+SUM(D8:D10))/SUM(D4:D6)</f>
        <v>0.25598438535759005</v>
      </c>
      <c r="E32" s="234">
        <f>(SUM(E4:E6)+SUM(E8:E10))/SUM(E4:E6)</f>
        <v>0.18248891736331416</v>
      </c>
      <c r="F32" s="234">
        <f>(SUM(F4:F6)+SUM(F8:F10))/SUM(F4:F6)</f>
        <v>0.17862626676220697</v>
      </c>
      <c r="G32" s="234">
        <f>(SUM(G4:G6)+SUM(G8:G10))/SUM(G4:G6)</f>
        <v>0.18026511436616155</v>
      </c>
    </row>
    <row r="33" spans="2:7" x14ac:dyDescent="0.2">
      <c r="B33" s="44" t="s">
        <v>44</v>
      </c>
      <c r="C33" s="234">
        <f>C15/C7</f>
        <v>0.12119354179440016</v>
      </c>
      <c r="D33" s="234">
        <f>D15/D7</f>
        <v>0.16763644398615304</v>
      </c>
      <c r="E33" s="234">
        <f>E15/E7</f>
        <v>9.1874799789197395E-2</v>
      </c>
      <c r="F33" s="234">
        <f>F15/F7</f>
        <v>7.2433207083631893E-2</v>
      </c>
      <c r="G33" s="234">
        <f>G15/G7</f>
        <v>4.5925738450019508E-2</v>
      </c>
    </row>
    <row r="34" spans="2:7" x14ac:dyDescent="0.2">
      <c r="B34" s="44" t="s">
        <v>50</v>
      </c>
      <c r="C34" s="234">
        <f>C23/C7</f>
        <v>0.10253980640246735</v>
      </c>
      <c r="D34" s="234">
        <f>D23/D7</f>
        <v>0.15413321548697553</v>
      </c>
      <c r="E34" s="234">
        <f>E23/E7</f>
        <v>0.15497091130790613</v>
      </c>
      <c r="F34" s="234">
        <f>F23/F7</f>
        <v>7.258675401781145E-2</v>
      </c>
      <c r="G34" s="234">
        <f>G23/G7</f>
        <v>4.0009701878157063E-2</v>
      </c>
    </row>
    <row r="35" spans="2:7" x14ac:dyDescent="0.2">
      <c r="B35" s="44" t="s">
        <v>42</v>
      </c>
      <c r="C35" s="234">
        <f>C23/'Balance Sheet Input'!C20</f>
        <v>8.8828443128229059E-2</v>
      </c>
      <c r="D35" s="234">
        <f>D23/'Balance Sheet Input'!D20</f>
        <v>0.1524933809419709</v>
      </c>
      <c r="E35" s="234">
        <f>E23/'Balance Sheet Input'!E20</f>
        <v>0.1406610516047947</v>
      </c>
      <c r="F35" s="234">
        <f>F23/'Balance Sheet Input'!F20</f>
        <v>5.8089620709429017E-2</v>
      </c>
      <c r="G35" s="234">
        <f>G23/'Balance Sheet Input'!G20</f>
        <v>2.7531457266011639E-2</v>
      </c>
    </row>
    <row r="36" spans="2:7" x14ac:dyDescent="0.2">
      <c r="B36" s="44" t="s">
        <v>43</v>
      </c>
      <c r="C36" s="234">
        <f>C23/'Balance Sheet Input'!C35</f>
        <v>0.18281493259134121</v>
      </c>
      <c r="D36" s="234">
        <f>D23/'Balance Sheet Input'!D35</f>
        <v>0.28086972083035078</v>
      </c>
      <c r="E36" s="234">
        <f>E23/'Balance Sheet Input'!E35</f>
        <v>0.23943864354823258</v>
      </c>
      <c r="F36" s="234">
        <f>F23/'Balance Sheet Input'!F35</f>
        <v>9.7252890431061681E-2</v>
      </c>
      <c r="G36" s="234">
        <f>G23/'Balance Sheet Input'!G35</f>
        <v>4.6191119714623127E-2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9"/>
  <sheetViews>
    <sheetView workbookViewId="0">
      <pane ySplit="3" topLeftCell="A4" activePane="bottomLeft" state="frozen"/>
      <selection pane="bottomLeft" activeCell="D35" sqref="D35"/>
    </sheetView>
  </sheetViews>
  <sheetFormatPr defaultColWidth="9.140625" defaultRowHeight="12" x14ac:dyDescent="0.2"/>
  <cols>
    <col min="1" max="1" width="2" style="7" customWidth="1"/>
    <col min="2" max="2" width="44.85546875" style="7" bestFit="1" customWidth="1"/>
    <col min="3" max="4" width="12.85546875" style="7" customWidth="1"/>
    <col min="5" max="5" width="14" style="7" customWidth="1"/>
    <col min="6" max="6" width="12.85546875" style="7" bestFit="1" customWidth="1"/>
    <col min="7" max="7" width="14" style="7" bestFit="1" customWidth="1"/>
    <col min="8" max="8" width="9.140625" style="7"/>
    <col min="9" max="10" width="10.28515625" style="7" bestFit="1" customWidth="1"/>
    <col min="11" max="16384" width="9.140625" style="7"/>
  </cols>
  <sheetData>
    <row r="1" spans="2:8" ht="15.75" x14ac:dyDescent="0.2">
      <c r="B1" s="2" t="s">
        <v>125</v>
      </c>
    </row>
    <row r="3" spans="2:8" ht="24" x14ac:dyDescent="0.2">
      <c r="B3" s="5" t="s">
        <v>349</v>
      </c>
      <c r="C3" s="6" t="s">
        <v>241</v>
      </c>
      <c r="D3" s="6" t="s">
        <v>242</v>
      </c>
      <c r="E3" s="6" t="s">
        <v>243</v>
      </c>
      <c r="F3" s="6" t="s">
        <v>244</v>
      </c>
      <c r="G3" s="6" t="s">
        <v>245</v>
      </c>
    </row>
    <row r="4" spans="2:8" x14ac:dyDescent="0.2">
      <c r="B4" s="7" t="s">
        <v>7</v>
      </c>
      <c r="C4" s="110">
        <v>17576</v>
      </c>
      <c r="D4" s="110">
        <v>16253</v>
      </c>
      <c r="E4" s="110">
        <v>16398</v>
      </c>
      <c r="F4" s="110">
        <v>16139</v>
      </c>
      <c r="G4" s="110">
        <v>16513</v>
      </c>
      <c r="H4" s="50"/>
    </row>
    <row r="5" spans="2:8" x14ac:dyDescent="0.2">
      <c r="B5" s="7" t="s">
        <v>8</v>
      </c>
      <c r="C5" s="110">
        <v>1913</v>
      </c>
      <c r="D5" s="110">
        <v>2952</v>
      </c>
      <c r="E5" s="110">
        <v>3508</v>
      </c>
      <c r="F5" s="110">
        <v>4418</v>
      </c>
      <c r="G5" s="110">
        <v>4576</v>
      </c>
      <c r="H5" s="50"/>
    </row>
    <row r="6" spans="2:8" x14ac:dyDescent="0.2">
      <c r="B6" s="7" t="s">
        <v>9</v>
      </c>
      <c r="C6" s="110">
        <v>5757</v>
      </c>
      <c r="D6" s="110">
        <v>12839</v>
      </c>
      <c r="E6" s="110">
        <v>13626</v>
      </c>
      <c r="F6" s="110">
        <v>12017</v>
      </c>
      <c r="G6" s="110">
        <v>12392</v>
      </c>
      <c r="H6" s="50"/>
    </row>
    <row r="7" spans="2:8" x14ac:dyDescent="0.2">
      <c r="B7" s="7" t="s">
        <v>10</v>
      </c>
      <c r="C7" s="110">
        <v>1723</v>
      </c>
      <c r="D7" s="110">
        <v>2941</v>
      </c>
      <c r="E7" s="110">
        <v>3388</v>
      </c>
      <c r="F7" s="110">
        <v>5362</v>
      </c>
      <c r="G7" s="110">
        <v>7615</v>
      </c>
      <c r="H7" s="50"/>
    </row>
    <row r="8" spans="2:8" x14ac:dyDescent="0.2">
      <c r="B8" s="7" t="s">
        <v>246</v>
      </c>
      <c r="C8" s="110">
        <v>131</v>
      </c>
      <c r="D8" s="110">
        <v>5932</v>
      </c>
      <c r="E8" s="110">
        <v>12696</v>
      </c>
      <c r="F8" s="110">
        <v>20424</v>
      </c>
      <c r="G8" s="110">
        <v>27546</v>
      </c>
      <c r="H8" s="50"/>
    </row>
    <row r="9" spans="2:8" x14ac:dyDescent="0.2">
      <c r="B9" s="8" t="s">
        <v>11</v>
      </c>
      <c r="C9" s="48">
        <f t="shared" ref="C9:D9" si="0">SUM(C4:C8)</f>
        <v>27100</v>
      </c>
      <c r="D9" s="48">
        <f t="shared" si="0"/>
        <v>40917</v>
      </c>
      <c r="E9" s="48">
        <f>SUM(E4:E8)</f>
        <v>49616</v>
      </c>
      <c r="F9" s="48">
        <f>SUM(F4:F8)</f>
        <v>58360</v>
      </c>
      <c r="G9" s="48">
        <f>SUM(G4:G8)</f>
        <v>68642</v>
      </c>
      <c r="H9" s="50"/>
    </row>
    <row r="10" spans="2:8" ht="4.5" customHeight="1" x14ac:dyDescent="0.2">
      <c r="B10" s="11"/>
      <c r="C10" s="49"/>
      <c r="D10" s="49"/>
      <c r="E10" s="49"/>
      <c r="F10" s="49"/>
      <c r="G10" s="49"/>
      <c r="H10" s="50"/>
    </row>
    <row r="11" spans="2:8" x14ac:dyDescent="0.2">
      <c r="B11" s="7" t="s">
        <v>12</v>
      </c>
      <c r="C11" s="110">
        <v>4511</v>
      </c>
      <c r="D11" s="110">
        <v>5035</v>
      </c>
      <c r="E11" s="110">
        <v>5989</v>
      </c>
      <c r="F11" s="110">
        <v>5581</v>
      </c>
      <c r="G11" s="110">
        <v>4912</v>
      </c>
      <c r="H11" s="50"/>
    </row>
    <row r="12" spans="2:8" x14ac:dyDescent="0.2">
      <c r="B12" s="7" t="s">
        <v>13</v>
      </c>
      <c r="C12" s="110">
        <v>5765</v>
      </c>
      <c r="D12" s="110">
        <v>5489</v>
      </c>
      <c r="E12" s="110">
        <v>5229</v>
      </c>
      <c r="F12" s="110">
        <v>4924</v>
      </c>
      <c r="G12" s="110">
        <v>4604</v>
      </c>
      <c r="H12" s="50"/>
    </row>
    <row r="13" spans="2:8" x14ac:dyDescent="0.2">
      <c r="B13" s="7" t="s">
        <v>14</v>
      </c>
      <c r="C13" s="110">
        <v>18884</v>
      </c>
      <c r="D13" s="110">
        <v>23548</v>
      </c>
      <c r="E13" s="110">
        <v>29725</v>
      </c>
      <c r="F13" s="110">
        <v>35836</v>
      </c>
      <c r="G13" s="110">
        <v>40643</v>
      </c>
      <c r="H13" s="50"/>
    </row>
    <row r="14" spans="2:8" x14ac:dyDescent="0.2">
      <c r="B14" s="7" t="s">
        <v>220</v>
      </c>
      <c r="C14" s="235">
        <v>2016</v>
      </c>
      <c r="D14" s="235">
        <v>2563</v>
      </c>
      <c r="E14" s="235">
        <v>4180</v>
      </c>
      <c r="F14" s="235">
        <v>5160</v>
      </c>
      <c r="G14" s="235">
        <v>6027</v>
      </c>
      <c r="H14" s="50"/>
    </row>
    <row r="15" spans="2:8" x14ac:dyDescent="0.2">
      <c r="B15" s="7" t="s">
        <v>15</v>
      </c>
      <c r="C15" s="235">
        <v>257</v>
      </c>
      <c r="D15" s="235">
        <v>215</v>
      </c>
      <c r="E15" s="235">
        <v>178</v>
      </c>
      <c r="F15" s="235">
        <v>1076</v>
      </c>
      <c r="G15" s="235">
        <v>1008</v>
      </c>
      <c r="H15" s="50"/>
    </row>
    <row r="16" spans="2:8" x14ac:dyDescent="0.2">
      <c r="B16" s="7" t="s">
        <v>248</v>
      </c>
      <c r="C16" s="235">
        <v>0</v>
      </c>
      <c r="D16" s="235">
        <v>328</v>
      </c>
      <c r="E16" s="235">
        <v>6733</v>
      </c>
      <c r="F16" s="235">
        <v>6524</v>
      </c>
      <c r="G16" s="235">
        <v>6925</v>
      </c>
      <c r="H16" s="50"/>
    </row>
    <row r="17" spans="2:8" x14ac:dyDescent="0.2">
      <c r="B17" s="7" t="s">
        <v>250</v>
      </c>
      <c r="C17" s="235">
        <v>200</v>
      </c>
      <c r="D17" s="235">
        <v>194</v>
      </c>
      <c r="E17" s="235">
        <v>253</v>
      </c>
      <c r="F17" s="235">
        <v>0</v>
      </c>
      <c r="G17" s="235">
        <v>0</v>
      </c>
      <c r="H17" s="50"/>
    </row>
    <row r="18" spans="2:8" x14ac:dyDescent="0.2">
      <c r="B18" s="7" t="s">
        <v>251</v>
      </c>
      <c r="C18" s="235">
        <v>1260</v>
      </c>
      <c r="D18" s="235">
        <v>184</v>
      </c>
      <c r="E18" s="235">
        <v>184</v>
      </c>
      <c r="F18" s="235">
        <v>0</v>
      </c>
      <c r="G18" s="235">
        <v>0</v>
      </c>
      <c r="H18" s="50"/>
    </row>
    <row r="19" spans="2:8" x14ac:dyDescent="0.2">
      <c r="B19" s="7" t="s">
        <v>17</v>
      </c>
      <c r="C19" s="235">
        <v>2138</v>
      </c>
      <c r="D19" s="235">
        <v>3865</v>
      </c>
      <c r="E19" s="235">
        <v>4531</v>
      </c>
      <c r="F19" s="235">
        <v>4609</v>
      </c>
      <c r="G19" s="235">
        <v>5045</v>
      </c>
      <c r="H19" s="50"/>
    </row>
    <row r="20" spans="2:8" ht="12.75" thickBot="1" x14ac:dyDescent="0.25">
      <c r="B20" s="9" t="s">
        <v>18</v>
      </c>
      <c r="C20" s="236">
        <f>SUM(C9:C19)</f>
        <v>62131</v>
      </c>
      <c r="D20" s="236">
        <f>SUM(D9:D19)</f>
        <v>82338</v>
      </c>
      <c r="E20" s="236">
        <f>SUM(E9:E19)</f>
        <v>106618</v>
      </c>
      <c r="F20" s="236">
        <f>SUM(F9:F19)</f>
        <v>122070</v>
      </c>
      <c r="G20" s="236">
        <f>SUM(G9:G19)</f>
        <v>137806</v>
      </c>
      <c r="H20" s="50"/>
    </row>
    <row r="21" spans="2:8" x14ac:dyDescent="0.2">
      <c r="B21" s="11"/>
      <c r="C21" s="237"/>
      <c r="D21" s="237"/>
      <c r="E21" s="237"/>
      <c r="F21" s="237"/>
      <c r="G21" s="237"/>
      <c r="H21" s="50"/>
    </row>
    <row r="22" spans="2:8" x14ac:dyDescent="0.2">
      <c r="B22" s="7" t="s">
        <v>19</v>
      </c>
      <c r="C22" s="235">
        <v>10025</v>
      </c>
      <c r="D22" s="235">
        <v>15255</v>
      </c>
      <c r="E22" s="235">
        <v>14431</v>
      </c>
      <c r="F22" s="235">
        <v>12474</v>
      </c>
      <c r="G22" s="235">
        <v>13371</v>
      </c>
      <c r="H22" s="50"/>
    </row>
    <row r="23" spans="2:8" x14ac:dyDescent="0.2">
      <c r="B23" s="7" t="s">
        <v>32</v>
      </c>
      <c r="C23" s="235">
        <v>5719</v>
      </c>
      <c r="D23" s="235">
        <v>8205</v>
      </c>
      <c r="E23" s="235">
        <v>9080</v>
      </c>
      <c r="F23" s="235">
        <v>10723</v>
      </c>
      <c r="G23" s="235">
        <v>13279</v>
      </c>
      <c r="H23" s="50"/>
    </row>
    <row r="24" spans="2:8" x14ac:dyDescent="0.2">
      <c r="B24" s="7" t="s">
        <v>20</v>
      </c>
      <c r="C24" s="235">
        <v>1447</v>
      </c>
      <c r="D24" s="235">
        <v>1747</v>
      </c>
      <c r="E24" s="235">
        <v>2864</v>
      </c>
      <c r="F24" s="235">
        <v>3168</v>
      </c>
      <c r="G24" s="235">
        <v>3424</v>
      </c>
      <c r="H24" s="50"/>
    </row>
    <row r="25" spans="2:8" x14ac:dyDescent="0.2">
      <c r="B25" s="7" t="s">
        <v>252</v>
      </c>
      <c r="C25" s="235">
        <v>925</v>
      </c>
      <c r="D25" s="235">
        <v>0</v>
      </c>
      <c r="E25" s="235">
        <v>0</v>
      </c>
      <c r="F25" s="235">
        <v>0</v>
      </c>
      <c r="G25" s="235">
        <v>0</v>
      </c>
      <c r="H25" s="50"/>
    </row>
    <row r="26" spans="2:8" x14ac:dyDescent="0.2">
      <c r="B26" s="7" t="s">
        <v>22</v>
      </c>
      <c r="C26" s="235">
        <v>1589</v>
      </c>
      <c r="D26" s="235">
        <v>1502</v>
      </c>
      <c r="E26" s="235">
        <v>2373</v>
      </c>
      <c r="F26" s="235">
        <v>2456</v>
      </c>
      <c r="G26" s="235">
        <v>1640</v>
      </c>
      <c r="H26" s="50"/>
    </row>
    <row r="27" spans="2:8" x14ac:dyDescent="0.2">
      <c r="B27" s="8" t="s">
        <v>23</v>
      </c>
      <c r="C27" s="238">
        <f t="shared" ref="C27:D27" si="1">SUM(C22:C26)</f>
        <v>19705</v>
      </c>
      <c r="D27" s="238">
        <f t="shared" si="1"/>
        <v>26709</v>
      </c>
      <c r="E27" s="238">
        <f>SUM(E22:E26)</f>
        <v>28748</v>
      </c>
      <c r="F27" s="238">
        <f>SUM(F22:F26)</f>
        <v>28821</v>
      </c>
      <c r="G27" s="238">
        <f>SUM(G22:G26)</f>
        <v>31714</v>
      </c>
      <c r="H27" s="50"/>
    </row>
    <row r="28" spans="2:8" ht="4.5" customHeight="1" x14ac:dyDescent="0.2">
      <c r="B28" s="11"/>
      <c r="C28" s="237"/>
      <c r="D28" s="237"/>
      <c r="E28" s="237"/>
      <c r="F28" s="237"/>
      <c r="G28" s="237"/>
      <c r="H28" s="50"/>
    </row>
    <row r="29" spans="2:8" x14ac:dyDescent="0.2">
      <c r="B29" s="7" t="s">
        <v>24</v>
      </c>
      <c r="C29" s="239"/>
      <c r="D29" s="239"/>
      <c r="E29" s="239"/>
      <c r="F29" s="239"/>
      <c r="G29" s="239"/>
      <c r="H29" s="50"/>
    </row>
    <row r="30" spans="2:8" x14ac:dyDescent="0.2">
      <c r="B30" s="115" t="s">
        <v>16</v>
      </c>
      <c r="C30" s="235">
        <v>5245</v>
      </c>
      <c r="D30" s="235">
        <v>1597</v>
      </c>
      <c r="E30" s="235">
        <v>2857</v>
      </c>
      <c r="F30" s="235">
        <v>5757</v>
      </c>
      <c r="G30" s="235">
        <v>6736</v>
      </c>
      <c r="H30" s="50"/>
    </row>
    <row r="31" spans="2:8" x14ac:dyDescent="0.2">
      <c r="B31" s="115" t="s">
        <v>52</v>
      </c>
      <c r="C31" s="231">
        <v>3546</v>
      </c>
      <c r="D31" s="231">
        <v>5330</v>
      </c>
      <c r="E31" s="231">
        <v>8153</v>
      </c>
      <c r="F31" s="231">
        <v>10495</v>
      </c>
      <c r="G31" s="231">
        <v>12860</v>
      </c>
      <c r="H31" s="50"/>
    </row>
    <row r="32" spans="2:8" x14ac:dyDescent="0.2">
      <c r="B32" s="7" t="s">
        <v>247</v>
      </c>
      <c r="C32" s="231">
        <v>2052</v>
      </c>
      <c r="D32" s="231">
        <v>2804</v>
      </c>
      <c r="E32" s="231">
        <v>3251</v>
      </c>
      <c r="F32" s="231">
        <v>3317</v>
      </c>
      <c r="G32" s="231">
        <v>3631</v>
      </c>
      <c r="H32" s="50"/>
    </row>
    <row r="33" spans="2:8" x14ac:dyDescent="0.2">
      <c r="B33" s="11" t="s">
        <v>25</v>
      </c>
      <c r="C33" s="237">
        <f t="shared" ref="C33:D33" si="2">SUM(C27:C32)</f>
        <v>30548</v>
      </c>
      <c r="D33" s="237">
        <f t="shared" si="2"/>
        <v>36440</v>
      </c>
      <c r="E33" s="237">
        <f>SUM(E27:E32)</f>
        <v>43009</v>
      </c>
      <c r="F33" s="237">
        <f>SUM(F27:F32)</f>
        <v>48390</v>
      </c>
      <c r="G33" s="237">
        <f>SUM(G27:G32)</f>
        <v>54941</v>
      </c>
      <c r="H33" s="50"/>
    </row>
    <row r="34" spans="2:8" x14ac:dyDescent="0.2">
      <c r="B34" s="7" t="s">
        <v>249</v>
      </c>
      <c r="C34" s="240">
        <v>568</v>
      </c>
      <c r="D34" s="240">
        <v>409</v>
      </c>
      <c r="E34" s="240">
        <v>242</v>
      </c>
      <c r="F34" s="240">
        <v>63</v>
      </c>
      <c r="G34" s="240">
        <v>58</v>
      </c>
      <c r="H34" s="50"/>
    </row>
    <row r="35" spans="2:8" x14ac:dyDescent="0.2">
      <c r="B35" s="11" t="s">
        <v>26</v>
      </c>
      <c r="C35" s="237">
        <v>30189</v>
      </c>
      <c r="D35" s="237">
        <v>44704</v>
      </c>
      <c r="E35" s="237">
        <v>62634</v>
      </c>
      <c r="F35" s="237">
        <v>72913</v>
      </c>
      <c r="G35" s="237">
        <v>82137</v>
      </c>
      <c r="H35" s="50"/>
    </row>
    <row r="36" spans="2:8" x14ac:dyDescent="0.2">
      <c r="B36" s="7" t="s">
        <v>27</v>
      </c>
      <c r="C36" s="235">
        <v>826</v>
      </c>
      <c r="D36" s="235">
        <v>785</v>
      </c>
      <c r="E36" s="235">
        <v>733</v>
      </c>
      <c r="F36" s="235">
        <v>704</v>
      </c>
      <c r="G36" s="235">
        <v>670</v>
      </c>
      <c r="H36" s="50"/>
    </row>
    <row r="37" spans="2:8" ht="12.75" thickBot="1" x14ac:dyDescent="0.25">
      <c r="B37" s="9" t="s">
        <v>28</v>
      </c>
      <c r="C37" s="236">
        <f>C33+C35+C36+C34</f>
        <v>62131</v>
      </c>
      <c r="D37" s="236">
        <f>D33+D35+D36+D34</f>
        <v>82338</v>
      </c>
      <c r="E37" s="236">
        <f>E33+E35+E36+E34</f>
        <v>106618</v>
      </c>
      <c r="F37" s="236">
        <f>F33+F35+F36+F34</f>
        <v>122070</v>
      </c>
      <c r="G37" s="236">
        <f>G33+G35+G36+G34</f>
        <v>137806</v>
      </c>
      <c r="H37" s="50"/>
    </row>
    <row r="39" spans="2:8" x14ac:dyDescent="0.2">
      <c r="B39" s="43" t="s">
        <v>127</v>
      </c>
      <c r="C39" s="42"/>
      <c r="D39" s="42"/>
      <c r="E39" s="42"/>
      <c r="F39" s="42"/>
      <c r="G39" s="42"/>
    </row>
    <row r="40" spans="2:8" x14ac:dyDescent="0.2">
      <c r="B40" s="43" t="s">
        <v>211</v>
      </c>
      <c r="C40" s="42"/>
      <c r="D40" s="42"/>
      <c r="E40" s="42"/>
      <c r="F40" s="42"/>
      <c r="G40" s="42"/>
    </row>
    <row r="41" spans="2:8" x14ac:dyDescent="0.2">
      <c r="B41" s="41" t="s">
        <v>213</v>
      </c>
      <c r="C41" s="42">
        <f>C4/C27</f>
        <v>0.89195635625475767</v>
      </c>
      <c r="D41" s="42">
        <f>D4/D27</f>
        <v>0.60852147216294128</v>
      </c>
      <c r="E41" s="42">
        <f>E4/E27</f>
        <v>0.57040489773201619</v>
      </c>
      <c r="F41" s="42">
        <f>F4/F27</f>
        <v>0.55997363033898895</v>
      </c>
      <c r="G41" s="42">
        <f>G4/G27</f>
        <v>0.52068487103487415</v>
      </c>
    </row>
    <row r="42" spans="2:8" x14ac:dyDescent="0.2">
      <c r="B42" s="41" t="s">
        <v>214</v>
      </c>
      <c r="C42" s="42">
        <f>C9/C27</f>
        <v>1.3752854605430094</v>
      </c>
      <c r="D42" s="42">
        <f>D9/D27</f>
        <v>1.53195552061103</v>
      </c>
      <c r="E42" s="42">
        <f>E9/E27</f>
        <v>1.7258939752330598</v>
      </c>
      <c r="F42" s="42">
        <f>F9/F27</f>
        <v>2.0249123902709831</v>
      </c>
      <c r="G42" s="42">
        <f>G9/G27</f>
        <v>2.1644068865485275</v>
      </c>
    </row>
    <row r="43" spans="2:8" x14ac:dyDescent="0.2">
      <c r="B43" s="41" t="s">
        <v>38</v>
      </c>
      <c r="C43" s="42">
        <f>C5/'P&amp;L Input'!C7*360</f>
        <v>12.795273396131766</v>
      </c>
      <c r="D43" s="42">
        <f>D5/'P&amp;L Input'!D7*360</f>
        <v>13.045591809678132</v>
      </c>
      <c r="E43" s="42">
        <f>E5/'P&amp;L Input'!E7*360</f>
        <v>13.049920949025038</v>
      </c>
      <c r="F43" s="42">
        <f>F5/'P&amp;L Input'!F7*360</f>
        <v>16.280888524925786</v>
      </c>
      <c r="G43" s="42">
        <f>G5/'P&amp;L Input'!G7*360</f>
        <v>17.372267392198424</v>
      </c>
    </row>
    <row r="44" spans="2:8" x14ac:dyDescent="0.2">
      <c r="B44" s="41" t="s">
        <v>39</v>
      </c>
      <c r="C44" s="42">
        <f>-C6/SUM('P&amp;L Input'!C8:C10)*360</f>
        <v>51.533431136086726</v>
      </c>
      <c r="D44" s="42">
        <f>-D6/SUM('P&amp;L Input'!D8:D10)*360</f>
        <v>76.259961391872494</v>
      </c>
      <c r="E44" s="42">
        <f>-E6/SUM('P&amp;L Input'!E8:E10)*360</f>
        <v>62.004474612263479</v>
      </c>
      <c r="F44" s="42">
        <f>-F6/SUM('P&amp;L Input'!F8:F10)*360</f>
        <v>53.914755732801595</v>
      </c>
      <c r="G44" s="42">
        <f>-G6/SUM('P&amp;L Input'!G8:G10)*360</f>
        <v>57.390297557022116</v>
      </c>
    </row>
    <row r="45" spans="2:8" x14ac:dyDescent="0.2">
      <c r="B45" s="41" t="s">
        <v>40</v>
      </c>
      <c r="C45" s="42">
        <f>-C22/SUM('P&amp;L Input'!C8:C10)*360</f>
        <v>89.738170425441979</v>
      </c>
      <c r="D45" s="42">
        <f>-D22/SUM('P&amp;L Input'!D8:D10)*360</f>
        <v>90.610305400188096</v>
      </c>
      <c r="E45" s="42">
        <f>-E22/SUM('P&amp;L Input'!E8:E10)*360</f>
        <v>65.667589397444161</v>
      </c>
      <c r="F45" s="42">
        <f>-F22/SUM('P&amp;L Input'!F8:F10)*360</f>
        <v>55.96510468594218</v>
      </c>
      <c r="G45" s="42">
        <f>-G22/SUM('P&amp;L Input'!G8:G10)*360</f>
        <v>61.92427926363321</v>
      </c>
    </row>
    <row r="46" spans="2:8" x14ac:dyDescent="0.2">
      <c r="B46" s="41" t="s">
        <v>41</v>
      </c>
      <c r="C46" s="42">
        <f>C43+C44-C45</f>
        <v>-25.409465893223484</v>
      </c>
      <c r="D46" s="42">
        <f>D43+D44-D45</f>
        <v>-1.3047521986374733</v>
      </c>
      <c r="E46" s="42">
        <f>E43+E44-E45</f>
        <v>9.386806163844355</v>
      </c>
      <c r="F46" s="42">
        <f>F43+F44-F45</f>
        <v>14.230539571785201</v>
      </c>
      <c r="G46" s="42">
        <f>G43+G44-G45</f>
        <v>12.838285685587337</v>
      </c>
    </row>
    <row r="47" spans="2:8" x14ac:dyDescent="0.2">
      <c r="B47" s="43" t="s">
        <v>215</v>
      </c>
      <c r="C47" s="42"/>
      <c r="D47" s="42"/>
      <c r="E47" s="42"/>
      <c r="F47" s="42"/>
      <c r="G47" s="42"/>
    </row>
    <row r="48" spans="2:8" x14ac:dyDescent="0.2">
      <c r="B48" s="41" t="s">
        <v>212</v>
      </c>
      <c r="C48" s="42">
        <f>C33/C20</f>
        <v>0.49167082454813216</v>
      </c>
      <c r="D48" s="42">
        <f>D33/D20</f>
        <v>0.44256600840438193</v>
      </c>
      <c r="E48" s="42">
        <f>E33/E20</f>
        <v>0.40339342324935751</v>
      </c>
      <c r="F48" s="42">
        <f>F33/F20</f>
        <v>0.39641189481445072</v>
      </c>
      <c r="G48" s="42">
        <f>G33/G20</f>
        <v>0.39868365673483014</v>
      </c>
    </row>
    <row r="49" spans="2:7" x14ac:dyDescent="0.2">
      <c r="B49" s="41" t="s">
        <v>216</v>
      </c>
      <c r="C49" s="90" t="s">
        <v>217</v>
      </c>
      <c r="D49" s="90" t="s">
        <v>217</v>
      </c>
      <c r="E49" s="90" t="s">
        <v>217</v>
      </c>
      <c r="F49" s="90" t="s">
        <v>217</v>
      </c>
      <c r="G49" s="90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>
      <selection activeCell="Q45" sqref="Q45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>
      <selection activeCell="N36" sqref="N36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189</v>
      </c>
    </row>
    <row r="29" spans="7:7" x14ac:dyDescent="0.2">
      <c r="G29" s="1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>
      <selection activeCell="O30" sqref="O30"/>
    </sheetView>
  </sheetViews>
  <sheetFormatPr defaultColWidth="9.140625" defaultRowHeight="12.75" x14ac:dyDescent="0.2"/>
  <cols>
    <col min="1" max="1" width="2" style="1" customWidth="1"/>
    <col min="2" max="10" width="9.140625" style="1"/>
    <col min="11" max="11" width="6.28515625" style="1" bestFit="1" customWidth="1"/>
    <col min="12" max="16384" width="9.140625" style="1"/>
  </cols>
  <sheetData>
    <row r="14" spans="2:2" ht="50.25" x14ac:dyDescent="0.2">
      <c r="B14" s="10" t="s">
        <v>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50"/>
  <sheetViews>
    <sheetView workbookViewId="0">
      <selection activeCell="B10" sqref="B10"/>
    </sheetView>
  </sheetViews>
  <sheetFormatPr defaultColWidth="9.140625" defaultRowHeight="12" x14ac:dyDescent="0.2"/>
  <cols>
    <col min="1" max="1" width="2" style="7" customWidth="1"/>
    <col min="2" max="2" width="18" style="7" customWidth="1"/>
    <col min="3" max="3" width="11.5703125" style="7" bestFit="1" customWidth="1"/>
    <col min="4" max="5" width="12.42578125" style="7" bestFit="1" customWidth="1"/>
    <col min="6" max="6" width="14.28515625" style="7" bestFit="1" customWidth="1"/>
    <col min="7" max="7" width="12.42578125" style="7" bestFit="1" customWidth="1"/>
    <col min="8" max="17" width="12.85546875" style="7" bestFit="1" customWidth="1"/>
    <col min="18" max="16384" width="9.140625" style="7"/>
  </cols>
  <sheetData>
    <row r="1" spans="1:17" ht="15.75" x14ac:dyDescent="0.2">
      <c r="A1" s="1"/>
      <c r="B1" s="2" t="s">
        <v>134</v>
      </c>
    </row>
    <row r="2" spans="1:17" ht="15.75" x14ac:dyDescent="0.2">
      <c r="A2" s="1"/>
      <c r="B2" s="2"/>
    </row>
    <row r="3" spans="1:17" x14ac:dyDescent="0.2">
      <c r="B3" s="353" t="s">
        <v>349</v>
      </c>
      <c r="C3" s="368" t="s">
        <v>136</v>
      </c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</row>
    <row r="4" spans="1:17" ht="24" x14ac:dyDescent="0.2">
      <c r="B4" s="27" t="s">
        <v>128</v>
      </c>
      <c r="C4" s="6" t="s">
        <v>241</v>
      </c>
      <c r="D4" s="6" t="s">
        <v>242</v>
      </c>
      <c r="E4" s="6" t="s">
        <v>243</v>
      </c>
      <c r="F4" s="6" t="s">
        <v>244</v>
      </c>
      <c r="G4" s="6" t="s">
        <v>245</v>
      </c>
      <c r="H4" s="57" t="s">
        <v>198</v>
      </c>
      <c r="I4" s="57" t="s">
        <v>199</v>
      </c>
      <c r="J4" s="57" t="s">
        <v>200</v>
      </c>
      <c r="K4" s="57" t="s">
        <v>221</v>
      </c>
      <c r="L4" s="57" t="s">
        <v>258</v>
      </c>
      <c r="M4" s="57" t="s">
        <v>257</v>
      </c>
      <c r="N4" s="57" t="s">
        <v>256</v>
      </c>
      <c r="O4" s="57" t="s">
        <v>255</v>
      </c>
      <c r="P4" s="57" t="s">
        <v>254</v>
      </c>
      <c r="Q4" s="57" t="s">
        <v>253</v>
      </c>
    </row>
    <row r="5" spans="1:17" x14ac:dyDescent="0.2">
      <c r="B5" s="7" t="s">
        <v>130</v>
      </c>
      <c r="C5" s="231">
        <v>500000</v>
      </c>
      <c r="D5" s="231">
        <v>530000</v>
      </c>
      <c r="E5" s="231">
        <v>500000</v>
      </c>
      <c r="F5" s="231">
        <v>480000</v>
      </c>
      <c r="G5" s="231">
        <v>450000</v>
      </c>
      <c r="H5" s="241">
        <f>H24</f>
        <v>450000</v>
      </c>
      <c r="I5" s="241">
        <f t="shared" ref="I5:Q5" si="0">I24</f>
        <v>450000</v>
      </c>
      <c r="J5" s="241">
        <f t="shared" si="0"/>
        <v>500000</v>
      </c>
      <c r="K5" s="241">
        <f t="shared" si="0"/>
        <v>550000</v>
      </c>
      <c r="L5" s="241">
        <f t="shared" si="0"/>
        <v>600000</v>
      </c>
      <c r="M5" s="241">
        <f t="shared" si="0"/>
        <v>650000</v>
      </c>
      <c r="N5" s="241">
        <f t="shared" si="0"/>
        <v>700000</v>
      </c>
      <c r="O5" s="241">
        <f t="shared" si="0"/>
        <v>750000</v>
      </c>
      <c r="P5" s="241">
        <f t="shared" si="0"/>
        <v>800000</v>
      </c>
      <c r="Q5" s="241">
        <f t="shared" si="0"/>
        <v>850000</v>
      </c>
    </row>
    <row r="6" spans="1:17" x14ac:dyDescent="0.2">
      <c r="B6" s="7" t="s">
        <v>135</v>
      </c>
      <c r="C6" s="231">
        <v>50000</v>
      </c>
      <c r="D6" s="231">
        <v>67000</v>
      </c>
      <c r="E6" s="231">
        <v>69000</v>
      </c>
      <c r="F6" s="231">
        <v>56000</v>
      </c>
      <c r="G6" s="231">
        <v>50000</v>
      </c>
      <c r="H6" s="241">
        <f t="shared" ref="H6:Q9" si="1">H25</f>
        <v>40000</v>
      </c>
      <c r="I6" s="241">
        <f t="shared" si="1"/>
        <v>20000</v>
      </c>
      <c r="J6" s="241">
        <f t="shared" si="1"/>
        <v>10000</v>
      </c>
      <c r="K6" s="241">
        <f t="shared" si="1"/>
        <v>0</v>
      </c>
      <c r="L6" s="241">
        <f t="shared" si="1"/>
        <v>0</v>
      </c>
      <c r="M6" s="241">
        <f t="shared" si="1"/>
        <v>0</v>
      </c>
      <c r="N6" s="241">
        <f t="shared" si="1"/>
        <v>0</v>
      </c>
      <c r="O6" s="241">
        <f t="shared" si="1"/>
        <v>0</v>
      </c>
      <c r="P6" s="241">
        <f t="shared" si="1"/>
        <v>0</v>
      </c>
      <c r="Q6" s="241">
        <f t="shared" si="1"/>
        <v>0</v>
      </c>
    </row>
    <row r="7" spans="1:17" x14ac:dyDescent="0.2">
      <c r="B7" s="7" t="s">
        <v>131</v>
      </c>
      <c r="C7" s="231">
        <v>411000</v>
      </c>
      <c r="D7" s="231">
        <v>717000</v>
      </c>
      <c r="E7" s="231">
        <v>1140000</v>
      </c>
      <c r="F7" s="231">
        <v>1124000</v>
      </c>
      <c r="G7" s="231">
        <v>1130000</v>
      </c>
      <c r="H7" s="241">
        <f t="shared" si="1"/>
        <v>1200000</v>
      </c>
      <c r="I7" s="241">
        <f t="shared" si="1"/>
        <v>1350000</v>
      </c>
      <c r="J7" s="241">
        <f t="shared" si="1"/>
        <v>1500000</v>
      </c>
      <c r="K7" s="241">
        <f t="shared" si="1"/>
        <v>1650000</v>
      </c>
      <c r="L7" s="241">
        <f t="shared" si="1"/>
        <v>1850000</v>
      </c>
      <c r="M7" s="241">
        <f t="shared" si="1"/>
        <v>2000000</v>
      </c>
      <c r="N7" s="241">
        <f t="shared" si="1"/>
        <v>2150000</v>
      </c>
      <c r="O7" s="241">
        <f t="shared" si="1"/>
        <v>2300000</v>
      </c>
      <c r="P7" s="241">
        <f t="shared" si="1"/>
        <v>2450000</v>
      </c>
      <c r="Q7" s="241">
        <f t="shared" si="1"/>
        <v>2600000</v>
      </c>
    </row>
    <row r="8" spans="1:17" x14ac:dyDescent="0.2">
      <c r="B8" s="7" t="s">
        <v>259</v>
      </c>
      <c r="C8" s="231"/>
      <c r="D8" s="231"/>
      <c r="E8" s="231">
        <v>900</v>
      </c>
      <c r="F8" s="231">
        <v>19000</v>
      </c>
      <c r="G8" s="231">
        <v>50000</v>
      </c>
      <c r="H8" s="241">
        <f t="shared" si="1"/>
        <v>75000</v>
      </c>
      <c r="I8" s="241">
        <f t="shared" si="1"/>
        <v>120000</v>
      </c>
      <c r="J8" s="241">
        <f t="shared" si="1"/>
        <v>180000</v>
      </c>
      <c r="K8" s="241">
        <f t="shared" si="1"/>
        <v>250000</v>
      </c>
      <c r="L8" s="241">
        <f t="shared" si="1"/>
        <v>300000</v>
      </c>
      <c r="M8" s="241">
        <f t="shared" si="1"/>
        <v>350000</v>
      </c>
      <c r="N8" s="241">
        <f t="shared" si="1"/>
        <v>400000</v>
      </c>
      <c r="O8" s="241">
        <f t="shared" si="1"/>
        <v>450000</v>
      </c>
      <c r="P8" s="241">
        <f t="shared" si="1"/>
        <v>500000</v>
      </c>
      <c r="Q8" s="241">
        <f t="shared" si="1"/>
        <v>550000</v>
      </c>
    </row>
    <row r="9" spans="1:17" ht="12.75" x14ac:dyDescent="0.2">
      <c r="B9" s="213" t="s">
        <v>129</v>
      </c>
      <c r="C9" s="231">
        <v>0</v>
      </c>
      <c r="D9" s="231">
        <v>90</v>
      </c>
      <c r="E9" s="231">
        <v>180</v>
      </c>
      <c r="F9" s="231">
        <v>290</v>
      </c>
      <c r="G9" s="231">
        <v>5000</v>
      </c>
      <c r="H9" s="241">
        <f t="shared" si="1"/>
        <v>10000</v>
      </c>
      <c r="I9" s="241">
        <f t="shared" si="1"/>
        <v>20000</v>
      </c>
      <c r="J9" s="241">
        <f t="shared" si="1"/>
        <v>35000</v>
      </c>
      <c r="K9" s="241">
        <f t="shared" si="1"/>
        <v>50000</v>
      </c>
      <c r="L9" s="241">
        <f t="shared" si="1"/>
        <v>75000</v>
      </c>
      <c r="M9" s="241">
        <f t="shared" si="1"/>
        <v>100000</v>
      </c>
      <c r="N9" s="241">
        <f t="shared" si="1"/>
        <v>125000</v>
      </c>
      <c r="O9" s="241">
        <f t="shared" si="1"/>
        <v>150000</v>
      </c>
      <c r="P9" s="241">
        <f t="shared" si="1"/>
        <v>175000</v>
      </c>
      <c r="Q9" s="241">
        <f t="shared" si="1"/>
        <v>200000</v>
      </c>
    </row>
    <row r="10" spans="1:17" ht="12.75" thickBot="1" x14ac:dyDescent="0.25">
      <c r="B10" s="65" t="s">
        <v>55</v>
      </c>
      <c r="C10" s="242">
        <f t="shared" ref="C10:Q10" si="2">SUM(C5:C9)</f>
        <v>961000</v>
      </c>
      <c r="D10" s="242">
        <f t="shared" si="2"/>
        <v>1314090</v>
      </c>
      <c r="E10" s="242">
        <f t="shared" si="2"/>
        <v>1710080</v>
      </c>
      <c r="F10" s="242">
        <f t="shared" si="2"/>
        <v>1679290</v>
      </c>
      <c r="G10" s="242">
        <f t="shared" si="2"/>
        <v>1685000</v>
      </c>
      <c r="H10" s="242">
        <f t="shared" si="2"/>
        <v>1775000</v>
      </c>
      <c r="I10" s="242">
        <f t="shared" si="2"/>
        <v>1960000</v>
      </c>
      <c r="J10" s="242">
        <f t="shared" si="2"/>
        <v>2225000</v>
      </c>
      <c r="K10" s="242">
        <f t="shared" si="2"/>
        <v>2500000</v>
      </c>
      <c r="L10" s="242">
        <f t="shared" si="2"/>
        <v>2825000</v>
      </c>
      <c r="M10" s="242">
        <f t="shared" si="2"/>
        <v>3100000</v>
      </c>
      <c r="N10" s="242">
        <f t="shared" si="2"/>
        <v>3375000</v>
      </c>
      <c r="O10" s="242">
        <f t="shared" si="2"/>
        <v>3650000</v>
      </c>
      <c r="P10" s="242">
        <f t="shared" si="2"/>
        <v>3925000</v>
      </c>
      <c r="Q10" s="242">
        <f t="shared" si="2"/>
        <v>4200000</v>
      </c>
    </row>
    <row r="11" spans="1:17" ht="6" customHeight="1" x14ac:dyDescent="0.2"/>
    <row r="12" spans="1:17" x14ac:dyDescent="0.2">
      <c r="B12" s="51" t="s">
        <v>137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</row>
    <row r="13" spans="1:17" ht="9.75" customHeight="1" x14ac:dyDescent="0.2">
      <c r="B13" s="51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x14ac:dyDescent="0.2">
      <c r="B14" s="52" t="s">
        <v>130</v>
      </c>
      <c r="C14" s="55" t="s">
        <v>51</v>
      </c>
      <c r="D14" s="234">
        <f t="shared" ref="D14:G16" si="3">D5/C5-1</f>
        <v>6.0000000000000053E-2</v>
      </c>
      <c r="E14" s="234">
        <f t="shared" si="3"/>
        <v>-5.6603773584905648E-2</v>
      </c>
      <c r="F14" s="234">
        <f t="shared" si="3"/>
        <v>-4.0000000000000036E-2</v>
      </c>
      <c r="G14" s="234">
        <f t="shared" si="3"/>
        <v>-6.25E-2</v>
      </c>
      <c r="H14" s="234">
        <f t="shared" ref="H14:Q14" si="4">H5/G5-1</f>
        <v>0</v>
      </c>
      <c r="I14" s="234">
        <f t="shared" si="4"/>
        <v>0</v>
      </c>
      <c r="J14" s="234">
        <f t="shared" si="4"/>
        <v>0.11111111111111116</v>
      </c>
      <c r="K14" s="234">
        <f t="shared" si="4"/>
        <v>0.10000000000000009</v>
      </c>
      <c r="L14" s="234">
        <f t="shared" si="4"/>
        <v>9.0909090909090828E-2</v>
      </c>
      <c r="M14" s="234">
        <f t="shared" si="4"/>
        <v>8.3333333333333259E-2</v>
      </c>
      <c r="N14" s="234">
        <f t="shared" si="4"/>
        <v>7.6923076923076872E-2</v>
      </c>
      <c r="O14" s="234">
        <f t="shared" si="4"/>
        <v>7.1428571428571397E-2</v>
      </c>
      <c r="P14" s="234">
        <f t="shared" si="4"/>
        <v>6.6666666666666652E-2</v>
      </c>
      <c r="Q14" s="234">
        <f t="shared" si="4"/>
        <v>6.25E-2</v>
      </c>
    </row>
    <row r="15" spans="1:17" x14ac:dyDescent="0.2">
      <c r="B15" s="52" t="s">
        <v>135</v>
      </c>
      <c r="C15" s="55" t="s">
        <v>51</v>
      </c>
      <c r="D15" s="234">
        <f t="shared" si="3"/>
        <v>0.34000000000000008</v>
      </c>
      <c r="E15" s="234">
        <f t="shared" si="3"/>
        <v>2.9850746268656803E-2</v>
      </c>
      <c r="F15" s="234">
        <f t="shared" si="3"/>
        <v>-0.18840579710144922</v>
      </c>
      <c r="G15" s="234">
        <f t="shared" si="3"/>
        <v>-0.1071428571428571</v>
      </c>
      <c r="H15" s="234">
        <f t="shared" ref="H15:J15" si="5">H6/G6-1</f>
        <v>-0.19999999999999996</v>
      </c>
      <c r="I15" s="234">
        <f t="shared" si="5"/>
        <v>-0.5</v>
      </c>
      <c r="J15" s="234">
        <f t="shared" si="5"/>
        <v>-0.5</v>
      </c>
      <c r="K15" s="137" t="s">
        <v>51</v>
      </c>
      <c r="L15" s="137" t="s">
        <v>51</v>
      </c>
      <c r="M15" s="137" t="s">
        <v>51</v>
      </c>
      <c r="N15" s="137" t="s">
        <v>51</v>
      </c>
      <c r="O15" s="137" t="s">
        <v>51</v>
      </c>
      <c r="P15" s="137" t="s">
        <v>51</v>
      </c>
      <c r="Q15" s="137" t="s">
        <v>51</v>
      </c>
    </row>
    <row r="16" spans="1:17" x14ac:dyDescent="0.2">
      <c r="B16" s="52" t="s">
        <v>131</v>
      </c>
      <c r="C16" s="55" t="s">
        <v>51</v>
      </c>
      <c r="D16" s="234">
        <f t="shared" si="3"/>
        <v>0.74452554744525545</v>
      </c>
      <c r="E16" s="234">
        <f t="shared" si="3"/>
        <v>0.58995815899581583</v>
      </c>
      <c r="F16" s="234">
        <f t="shared" si="3"/>
        <v>-1.4035087719298289E-2</v>
      </c>
      <c r="G16" s="234">
        <f t="shared" si="3"/>
        <v>5.3380782918148739E-3</v>
      </c>
      <c r="H16" s="234">
        <f t="shared" ref="H16:Q16" si="6">H7/G7-1</f>
        <v>6.1946902654867353E-2</v>
      </c>
      <c r="I16" s="234">
        <f t="shared" si="6"/>
        <v>0.125</v>
      </c>
      <c r="J16" s="234">
        <f t="shared" si="6"/>
        <v>0.11111111111111116</v>
      </c>
      <c r="K16" s="234">
        <f t="shared" si="6"/>
        <v>0.10000000000000009</v>
      </c>
      <c r="L16" s="234">
        <f t="shared" si="6"/>
        <v>0.1212121212121211</v>
      </c>
      <c r="M16" s="234">
        <f t="shared" si="6"/>
        <v>8.1081081081081141E-2</v>
      </c>
      <c r="N16" s="234">
        <f t="shared" si="6"/>
        <v>7.4999999999999956E-2</v>
      </c>
      <c r="O16" s="234">
        <f t="shared" si="6"/>
        <v>6.9767441860465018E-2</v>
      </c>
      <c r="P16" s="234">
        <f t="shared" si="6"/>
        <v>6.5217391304347894E-2</v>
      </c>
      <c r="Q16" s="234">
        <f t="shared" si="6"/>
        <v>6.1224489795918435E-2</v>
      </c>
    </row>
    <row r="17" spans="2:17" x14ac:dyDescent="0.2">
      <c r="B17" s="52" t="s">
        <v>282</v>
      </c>
      <c r="C17" s="55" t="s">
        <v>51</v>
      </c>
      <c r="D17" s="137" t="s">
        <v>51</v>
      </c>
      <c r="E17" s="137" t="s">
        <v>51</v>
      </c>
      <c r="F17" s="234">
        <f>F8/E8-1</f>
        <v>20.111111111111111</v>
      </c>
      <c r="G17" s="234">
        <f>G8/F8-1</f>
        <v>1.6315789473684212</v>
      </c>
      <c r="H17" s="234">
        <f t="shared" ref="H17:Q18" si="7">H8/G8-1</f>
        <v>0.5</v>
      </c>
      <c r="I17" s="234">
        <f t="shared" si="7"/>
        <v>0.60000000000000009</v>
      </c>
      <c r="J17" s="234">
        <f t="shared" si="7"/>
        <v>0.5</v>
      </c>
      <c r="K17" s="234">
        <f t="shared" si="7"/>
        <v>0.38888888888888884</v>
      </c>
      <c r="L17" s="234">
        <f t="shared" si="7"/>
        <v>0.19999999999999996</v>
      </c>
      <c r="M17" s="234">
        <f t="shared" si="7"/>
        <v>0.16666666666666674</v>
      </c>
      <c r="N17" s="234">
        <f t="shared" si="7"/>
        <v>0.14285714285714279</v>
      </c>
      <c r="O17" s="234">
        <f t="shared" si="7"/>
        <v>0.125</v>
      </c>
      <c r="P17" s="234">
        <f t="shared" si="7"/>
        <v>0.11111111111111116</v>
      </c>
      <c r="Q17" s="234">
        <f t="shared" si="7"/>
        <v>0.10000000000000009</v>
      </c>
    </row>
    <row r="18" spans="2:17" x14ac:dyDescent="0.2">
      <c r="B18" s="52" t="s">
        <v>129</v>
      </c>
      <c r="C18" s="55" t="s">
        <v>51</v>
      </c>
      <c r="D18" s="137" t="s">
        <v>51</v>
      </c>
      <c r="E18" s="234">
        <f t="shared" ref="E18:G18" si="8">E9/D9-1</f>
        <v>1</v>
      </c>
      <c r="F18" s="234">
        <f t="shared" si="8"/>
        <v>0.61111111111111116</v>
      </c>
      <c r="G18" s="234">
        <f t="shared" si="8"/>
        <v>16.241379310344829</v>
      </c>
      <c r="H18" s="234">
        <f t="shared" si="7"/>
        <v>1</v>
      </c>
      <c r="I18" s="234">
        <f t="shared" si="7"/>
        <v>1</v>
      </c>
      <c r="J18" s="234">
        <f t="shared" si="7"/>
        <v>0.75</v>
      </c>
      <c r="K18" s="234">
        <f t="shared" si="7"/>
        <v>0.4285714285714286</v>
      </c>
      <c r="L18" s="234">
        <f t="shared" si="7"/>
        <v>0.5</v>
      </c>
      <c r="M18" s="234">
        <f t="shared" si="7"/>
        <v>0.33333333333333326</v>
      </c>
      <c r="N18" s="234">
        <f t="shared" si="7"/>
        <v>0.25</v>
      </c>
      <c r="O18" s="234">
        <f t="shared" si="7"/>
        <v>0.19999999999999996</v>
      </c>
      <c r="P18" s="234">
        <f t="shared" si="7"/>
        <v>0.16666666666666674</v>
      </c>
      <c r="Q18" s="234">
        <f t="shared" si="7"/>
        <v>0.14285714285714279</v>
      </c>
    </row>
    <row r="19" spans="2:17" x14ac:dyDescent="0.2">
      <c r="B19" s="52"/>
      <c r="C19" s="55"/>
      <c r="D19" s="55"/>
      <c r="E19" s="55"/>
      <c r="F19" s="52"/>
      <c r="G19" s="52"/>
      <c r="H19" s="55"/>
      <c r="I19" s="53"/>
      <c r="J19" s="53"/>
      <c r="K19" s="53"/>
      <c r="L19" s="53"/>
      <c r="M19" s="53"/>
      <c r="N19" s="53"/>
      <c r="O19" s="53"/>
      <c r="P19" s="53"/>
      <c r="Q19" s="53"/>
    </row>
    <row r="23" spans="2:17" x14ac:dyDescent="0.2">
      <c r="B23" s="51" t="s">
        <v>61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</row>
    <row r="24" spans="2:17" x14ac:dyDescent="0.2">
      <c r="B24" s="52" t="s">
        <v>130</v>
      </c>
      <c r="C24" s="55"/>
      <c r="D24" s="55"/>
      <c r="E24" s="55"/>
      <c r="F24" s="55"/>
      <c r="G24" s="52"/>
      <c r="H24" s="243">
        <f>CHOOSE(Drivers!$C$3,H31,H38,H45)</f>
        <v>450000</v>
      </c>
      <c r="I24" s="243">
        <f>CHOOSE(Drivers!$C$3,I31,I38,I45)</f>
        <v>450000</v>
      </c>
      <c r="J24" s="243">
        <f>CHOOSE(Drivers!$C$3,J31,J38,J45)</f>
        <v>500000</v>
      </c>
      <c r="K24" s="243">
        <f>CHOOSE(Drivers!$C$3,K31,K38,K45)</f>
        <v>550000</v>
      </c>
      <c r="L24" s="243">
        <f>CHOOSE(Drivers!$C$3,L31,L38,L45)</f>
        <v>600000</v>
      </c>
      <c r="M24" s="243">
        <f>CHOOSE(Drivers!$C$3,M31,M38,M45)</f>
        <v>650000</v>
      </c>
      <c r="N24" s="243">
        <f>CHOOSE(Drivers!$C$3,N31,N38,N45)</f>
        <v>700000</v>
      </c>
      <c r="O24" s="243">
        <f>CHOOSE(Drivers!$C$3,O31,O38,O45)</f>
        <v>750000</v>
      </c>
      <c r="P24" s="243">
        <f>CHOOSE(Drivers!$C$3,P31,P38,P45)</f>
        <v>800000</v>
      </c>
      <c r="Q24" s="243">
        <f>CHOOSE(Drivers!$C$3,Q31,Q38,Q45)</f>
        <v>850000</v>
      </c>
    </row>
    <row r="25" spans="2:17" x14ac:dyDescent="0.2">
      <c r="B25" s="52" t="s">
        <v>135</v>
      </c>
      <c r="C25" s="55"/>
      <c r="D25" s="47"/>
      <c r="E25" s="47"/>
      <c r="F25" s="47"/>
      <c r="G25" s="52"/>
      <c r="H25" s="243">
        <f>CHOOSE(Drivers!$C$3,H32,H39,H46)</f>
        <v>40000</v>
      </c>
      <c r="I25" s="243">
        <f>CHOOSE(Drivers!$C$3,I32,I39,I46)</f>
        <v>20000</v>
      </c>
      <c r="J25" s="243">
        <f>CHOOSE(Drivers!$C$3,J32,J39,J46)</f>
        <v>10000</v>
      </c>
      <c r="K25" s="243">
        <f>CHOOSE(Drivers!$C$3,K32,K39,K46)</f>
        <v>0</v>
      </c>
      <c r="L25" s="243">
        <f>CHOOSE(Drivers!$C$3,L32,L39,L46)</f>
        <v>0</v>
      </c>
      <c r="M25" s="243">
        <f>CHOOSE(Drivers!$C$3,M32,M39,M46)</f>
        <v>0</v>
      </c>
      <c r="N25" s="243">
        <f>CHOOSE(Drivers!$C$3,N32,N39,N46)</f>
        <v>0</v>
      </c>
      <c r="O25" s="243">
        <f>CHOOSE(Drivers!$C$3,O32,O39,O46)</f>
        <v>0</v>
      </c>
      <c r="P25" s="243">
        <f>CHOOSE(Drivers!$C$3,P32,P39,P46)</f>
        <v>0</v>
      </c>
      <c r="Q25" s="243">
        <f>CHOOSE(Drivers!$C$3,Q32,Q39,Q46)</f>
        <v>0</v>
      </c>
    </row>
    <row r="26" spans="2:17" x14ac:dyDescent="0.2">
      <c r="B26" s="52" t="s">
        <v>131</v>
      </c>
      <c r="C26" s="55"/>
      <c r="D26" s="55"/>
      <c r="E26" s="55"/>
      <c r="F26" s="55"/>
      <c r="G26" s="52"/>
      <c r="H26" s="243">
        <f>CHOOSE(Drivers!$C$3,H33,H40,H47)</f>
        <v>1200000</v>
      </c>
      <c r="I26" s="243">
        <f>CHOOSE(Drivers!$C$3,I33,I40,I47)</f>
        <v>1350000</v>
      </c>
      <c r="J26" s="243">
        <f>CHOOSE(Drivers!$C$3,J33,J40,J47)</f>
        <v>1500000</v>
      </c>
      <c r="K26" s="243">
        <f>CHOOSE(Drivers!$C$3,K33,K40,K47)</f>
        <v>1650000</v>
      </c>
      <c r="L26" s="243">
        <f>CHOOSE(Drivers!$C$3,L33,L40,L47)</f>
        <v>1850000</v>
      </c>
      <c r="M26" s="243">
        <f>CHOOSE(Drivers!$C$3,M33,M40,M47)</f>
        <v>2000000</v>
      </c>
      <c r="N26" s="243">
        <f>CHOOSE(Drivers!$C$3,N33,N40,N47)</f>
        <v>2150000</v>
      </c>
      <c r="O26" s="243">
        <f>CHOOSE(Drivers!$C$3,O33,O40,O47)</f>
        <v>2300000</v>
      </c>
      <c r="P26" s="243">
        <f>CHOOSE(Drivers!$C$3,P33,P40,P47)</f>
        <v>2450000</v>
      </c>
      <c r="Q26" s="243">
        <f>CHOOSE(Drivers!$C$3,Q33,Q40,Q47)</f>
        <v>2600000</v>
      </c>
    </row>
    <row r="27" spans="2:17" x14ac:dyDescent="0.2">
      <c r="B27" s="52" t="s">
        <v>282</v>
      </c>
      <c r="C27" s="55"/>
      <c r="D27" s="55"/>
      <c r="E27" s="55"/>
      <c r="F27" s="55"/>
      <c r="G27" s="52"/>
      <c r="H27" s="243">
        <f>CHOOSE(Drivers!$C$3,H34,H41,H48)</f>
        <v>75000</v>
      </c>
      <c r="I27" s="243">
        <f>CHOOSE(Drivers!$C$3,I34,I41,I48)</f>
        <v>120000</v>
      </c>
      <c r="J27" s="243">
        <f>CHOOSE(Drivers!$C$3,J34,J41,J48)</f>
        <v>180000</v>
      </c>
      <c r="K27" s="243">
        <f>CHOOSE(Drivers!$C$3,K34,K41,K48)</f>
        <v>250000</v>
      </c>
      <c r="L27" s="243">
        <f>CHOOSE(Drivers!$C$3,L34,L41,L48)</f>
        <v>300000</v>
      </c>
      <c r="M27" s="243">
        <f>CHOOSE(Drivers!$C$3,M34,M41,M48)</f>
        <v>350000</v>
      </c>
      <c r="N27" s="243">
        <f>CHOOSE(Drivers!$C$3,N34,N41,N48)</f>
        <v>400000</v>
      </c>
      <c r="O27" s="243">
        <f>CHOOSE(Drivers!$C$3,O34,O41,O48)</f>
        <v>450000</v>
      </c>
      <c r="P27" s="243">
        <f>CHOOSE(Drivers!$C$3,P34,P41,P48)</f>
        <v>500000</v>
      </c>
      <c r="Q27" s="243">
        <f>CHOOSE(Drivers!$C$3,Q34,Q41,Q48)</f>
        <v>550000</v>
      </c>
    </row>
    <row r="28" spans="2:17" x14ac:dyDescent="0.2">
      <c r="B28" s="52" t="s">
        <v>129</v>
      </c>
      <c r="C28" s="55"/>
      <c r="D28" s="55"/>
      <c r="E28" s="55"/>
      <c r="F28" s="55"/>
      <c r="G28" s="52"/>
      <c r="H28" s="243">
        <f>CHOOSE(Drivers!$C$3,H35,H42,H49)</f>
        <v>10000</v>
      </c>
      <c r="I28" s="243">
        <f>CHOOSE(Drivers!$C$3,I35,I42,I49)</f>
        <v>20000</v>
      </c>
      <c r="J28" s="243">
        <f>CHOOSE(Drivers!$C$3,J35,J42,J49)</f>
        <v>35000</v>
      </c>
      <c r="K28" s="243">
        <f>CHOOSE(Drivers!$C$3,K35,K42,K49)</f>
        <v>50000</v>
      </c>
      <c r="L28" s="243">
        <f>CHOOSE(Drivers!$C$3,L35,L42,L49)</f>
        <v>75000</v>
      </c>
      <c r="M28" s="243">
        <f>CHOOSE(Drivers!$C$3,M35,M42,M49)</f>
        <v>100000</v>
      </c>
      <c r="N28" s="243">
        <f>CHOOSE(Drivers!$C$3,N35,N42,N49)</f>
        <v>125000</v>
      </c>
      <c r="O28" s="243">
        <f>CHOOSE(Drivers!$C$3,O35,O42,O49)</f>
        <v>150000</v>
      </c>
      <c r="P28" s="243">
        <f>CHOOSE(Drivers!$C$3,P35,P42,P49)</f>
        <v>175000</v>
      </c>
      <c r="Q28" s="243">
        <f>CHOOSE(Drivers!$C$3,Q35,Q42,Q49)</f>
        <v>200000</v>
      </c>
    </row>
    <row r="29" spans="2:17" x14ac:dyDescent="0.2">
      <c r="B29" s="52"/>
      <c r="C29" s="55"/>
      <c r="D29" s="55"/>
      <c r="E29" s="55"/>
      <c r="F29" s="55"/>
      <c r="G29" s="52"/>
      <c r="H29" s="243"/>
      <c r="I29" s="243"/>
      <c r="J29" s="243"/>
      <c r="K29" s="243"/>
      <c r="L29" s="243"/>
      <c r="M29" s="243"/>
      <c r="N29" s="243"/>
      <c r="O29" s="243"/>
      <c r="P29" s="243"/>
      <c r="Q29" s="243"/>
    </row>
    <row r="30" spans="2:17" x14ac:dyDescent="0.2">
      <c r="B30" s="51" t="s">
        <v>57</v>
      </c>
      <c r="C30" s="52"/>
      <c r="D30" s="52"/>
      <c r="E30" s="52"/>
      <c r="F30" s="52"/>
      <c r="G30" s="52"/>
      <c r="H30" s="243"/>
      <c r="I30" s="243"/>
      <c r="J30" s="243"/>
      <c r="K30" s="243"/>
      <c r="L30" s="243"/>
      <c r="M30" s="243"/>
      <c r="N30" s="243"/>
      <c r="O30" s="243"/>
      <c r="P30" s="243"/>
      <c r="Q30" s="243"/>
    </row>
    <row r="31" spans="2:17" x14ac:dyDescent="0.2">
      <c r="B31" s="52" t="s">
        <v>130</v>
      </c>
      <c r="C31" s="55"/>
      <c r="D31" s="55"/>
      <c r="E31" s="55"/>
      <c r="F31" s="55"/>
      <c r="G31" s="52"/>
      <c r="H31" s="243">
        <f>H38*105%</f>
        <v>472500</v>
      </c>
      <c r="I31" s="243">
        <f t="shared" ref="I31:Q31" si="9">I38*105%</f>
        <v>472500</v>
      </c>
      <c r="J31" s="243">
        <f t="shared" si="9"/>
        <v>525000</v>
      </c>
      <c r="K31" s="243">
        <f t="shared" si="9"/>
        <v>577500</v>
      </c>
      <c r="L31" s="243">
        <f t="shared" si="9"/>
        <v>630000</v>
      </c>
      <c r="M31" s="243">
        <f t="shared" si="9"/>
        <v>682500</v>
      </c>
      <c r="N31" s="243">
        <f t="shared" si="9"/>
        <v>735000</v>
      </c>
      <c r="O31" s="243">
        <f t="shared" si="9"/>
        <v>787500</v>
      </c>
      <c r="P31" s="243">
        <f t="shared" si="9"/>
        <v>840000</v>
      </c>
      <c r="Q31" s="243">
        <f t="shared" si="9"/>
        <v>892500</v>
      </c>
    </row>
    <row r="32" spans="2:17" x14ac:dyDescent="0.2">
      <c r="B32" s="52" t="s">
        <v>135</v>
      </c>
      <c r="C32" s="55"/>
      <c r="D32" s="47"/>
      <c r="E32" s="47"/>
      <c r="F32" s="47"/>
      <c r="G32" s="52"/>
      <c r="H32" s="243">
        <f t="shared" ref="H32:Q32" si="10">H39*105%</f>
        <v>42000</v>
      </c>
      <c r="I32" s="243">
        <f t="shared" si="10"/>
        <v>21000</v>
      </c>
      <c r="J32" s="243">
        <f t="shared" si="10"/>
        <v>10500</v>
      </c>
      <c r="K32" s="243">
        <f t="shared" si="10"/>
        <v>0</v>
      </c>
      <c r="L32" s="243">
        <f t="shared" si="10"/>
        <v>0</v>
      </c>
      <c r="M32" s="243">
        <f t="shared" si="10"/>
        <v>0</v>
      </c>
      <c r="N32" s="243">
        <f t="shared" si="10"/>
        <v>0</v>
      </c>
      <c r="O32" s="243">
        <f t="shared" si="10"/>
        <v>0</v>
      </c>
      <c r="P32" s="243">
        <f t="shared" si="10"/>
        <v>0</v>
      </c>
      <c r="Q32" s="243">
        <f t="shared" si="10"/>
        <v>0</v>
      </c>
    </row>
    <row r="33" spans="2:17" x14ac:dyDescent="0.2">
      <c r="B33" s="52" t="s">
        <v>131</v>
      </c>
      <c r="C33" s="55"/>
      <c r="D33" s="55"/>
      <c r="E33" s="55"/>
      <c r="F33" s="55"/>
      <c r="G33" s="52"/>
      <c r="H33" s="243">
        <f t="shared" ref="H33:Q33" si="11">H40*105%</f>
        <v>1260000</v>
      </c>
      <c r="I33" s="243">
        <f t="shared" si="11"/>
        <v>1417500</v>
      </c>
      <c r="J33" s="243">
        <f t="shared" si="11"/>
        <v>1575000</v>
      </c>
      <c r="K33" s="243">
        <f t="shared" si="11"/>
        <v>1732500</v>
      </c>
      <c r="L33" s="243">
        <f t="shared" si="11"/>
        <v>1942500</v>
      </c>
      <c r="M33" s="243">
        <f t="shared" si="11"/>
        <v>2100000</v>
      </c>
      <c r="N33" s="243">
        <f t="shared" si="11"/>
        <v>2257500</v>
      </c>
      <c r="O33" s="243">
        <f t="shared" si="11"/>
        <v>2415000</v>
      </c>
      <c r="P33" s="243">
        <f t="shared" si="11"/>
        <v>2572500</v>
      </c>
      <c r="Q33" s="243">
        <f t="shared" si="11"/>
        <v>2730000</v>
      </c>
    </row>
    <row r="34" spans="2:17" x14ac:dyDescent="0.2">
      <c r="B34" s="52" t="s">
        <v>282</v>
      </c>
      <c r="C34" s="55"/>
      <c r="D34" s="55"/>
      <c r="E34" s="55"/>
      <c r="F34" s="55"/>
      <c r="G34" s="52"/>
      <c r="H34" s="243">
        <f t="shared" ref="H34:Q34" si="12">H41*105%</f>
        <v>78750</v>
      </c>
      <c r="I34" s="243">
        <f t="shared" si="12"/>
        <v>126000</v>
      </c>
      <c r="J34" s="243">
        <f t="shared" si="12"/>
        <v>189000</v>
      </c>
      <c r="K34" s="243">
        <f t="shared" si="12"/>
        <v>262500</v>
      </c>
      <c r="L34" s="243">
        <f t="shared" si="12"/>
        <v>315000</v>
      </c>
      <c r="M34" s="243">
        <f t="shared" si="12"/>
        <v>367500</v>
      </c>
      <c r="N34" s="243">
        <f t="shared" si="12"/>
        <v>420000</v>
      </c>
      <c r="O34" s="243">
        <f t="shared" si="12"/>
        <v>472500</v>
      </c>
      <c r="P34" s="243">
        <f t="shared" si="12"/>
        <v>525000</v>
      </c>
      <c r="Q34" s="243">
        <f t="shared" si="12"/>
        <v>577500</v>
      </c>
    </row>
    <row r="35" spans="2:17" x14ac:dyDescent="0.2">
      <c r="B35" s="52" t="s">
        <v>129</v>
      </c>
      <c r="C35" s="55"/>
      <c r="D35" s="55"/>
      <c r="E35" s="55"/>
      <c r="F35" s="55"/>
      <c r="G35" s="52"/>
      <c r="H35" s="243">
        <f t="shared" ref="H35:Q35" si="13">H42*105%</f>
        <v>10500</v>
      </c>
      <c r="I35" s="243">
        <f t="shared" si="13"/>
        <v>21000</v>
      </c>
      <c r="J35" s="243">
        <f t="shared" si="13"/>
        <v>36750</v>
      </c>
      <c r="K35" s="243">
        <f t="shared" si="13"/>
        <v>52500</v>
      </c>
      <c r="L35" s="243">
        <f t="shared" si="13"/>
        <v>78750</v>
      </c>
      <c r="M35" s="243">
        <f t="shared" si="13"/>
        <v>105000</v>
      </c>
      <c r="N35" s="243">
        <f t="shared" si="13"/>
        <v>131250</v>
      </c>
      <c r="O35" s="243">
        <f t="shared" si="13"/>
        <v>157500</v>
      </c>
      <c r="P35" s="243">
        <f t="shared" si="13"/>
        <v>183750</v>
      </c>
      <c r="Q35" s="243">
        <f t="shared" si="13"/>
        <v>210000</v>
      </c>
    </row>
    <row r="36" spans="2:17" x14ac:dyDescent="0.2">
      <c r="B36" s="52"/>
      <c r="C36" s="55"/>
      <c r="D36" s="55"/>
      <c r="E36" s="55"/>
      <c r="F36" s="55"/>
      <c r="G36" s="52"/>
      <c r="H36" s="243"/>
      <c r="I36" s="243"/>
      <c r="J36" s="243"/>
      <c r="K36" s="243"/>
      <c r="L36" s="243"/>
      <c r="M36" s="243"/>
      <c r="N36" s="243"/>
      <c r="O36" s="243"/>
      <c r="P36" s="243"/>
      <c r="Q36" s="243"/>
    </row>
    <row r="37" spans="2:17" x14ac:dyDescent="0.2">
      <c r="B37" s="51" t="s">
        <v>58</v>
      </c>
      <c r="C37" s="52"/>
      <c r="D37" s="52"/>
      <c r="E37" s="52"/>
      <c r="F37" s="52"/>
      <c r="G37" s="52"/>
      <c r="H37" s="243"/>
      <c r="I37" s="243"/>
      <c r="J37" s="243"/>
      <c r="K37" s="243"/>
      <c r="L37" s="243"/>
      <c r="M37" s="243"/>
      <c r="N37" s="243"/>
      <c r="O37" s="243"/>
      <c r="P37" s="243"/>
      <c r="Q37" s="243"/>
    </row>
    <row r="38" spans="2:17" x14ac:dyDescent="0.2">
      <c r="B38" s="52" t="s">
        <v>130</v>
      </c>
      <c r="C38" s="55"/>
      <c r="D38" s="55"/>
      <c r="E38" s="55"/>
      <c r="F38" s="55"/>
      <c r="G38" s="52"/>
      <c r="H38" s="244">
        <v>450000</v>
      </c>
      <c r="I38" s="244">
        <v>450000</v>
      </c>
      <c r="J38" s="244">
        <v>500000</v>
      </c>
      <c r="K38" s="244">
        <v>550000</v>
      </c>
      <c r="L38" s="244">
        <v>600000</v>
      </c>
      <c r="M38" s="244">
        <v>650000</v>
      </c>
      <c r="N38" s="244">
        <v>700000</v>
      </c>
      <c r="O38" s="244">
        <v>750000</v>
      </c>
      <c r="P38" s="244">
        <v>800000</v>
      </c>
      <c r="Q38" s="244">
        <v>850000</v>
      </c>
    </row>
    <row r="39" spans="2:17" x14ac:dyDescent="0.2">
      <c r="B39" s="52" t="s">
        <v>135</v>
      </c>
      <c r="C39" s="55"/>
      <c r="D39" s="47"/>
      <c r="E39" s="47"/>
      <c r="F39" s="47"/>
      <c r="G39" s="52"/>
      <c r="H39" s="244">
        <v>40000</v>
      </c>
      <c r="I39" s="244">
        <v>20000</v>
      </c>
      <c r="J39" s="244">
        <v>10000</v>
      </c>
      <c r="K39" s="244">
        <v>0</v>
      </c>
      <c r="L39" s="244">
        <v>0</v>
      </c>
      <c r="M39" s="244">
        <v>0</v>
      </c>
      <c r="N39" s="244">
        <v>0</v>
      </c>
      <c r="O39" s="244">
        <v>0</v>
      </c>
      <c r="P39" s="244">
        <v>0</v>
      </c>
      <c r="Q39" s="244">
        <v>0</v>
      </c>
    </row>
    <row r="40" spans="2:17" x14ac:dyDescent="0.2">
      <c r="B40" s="52" t="s">
        <v>131</v>
      </c>
      <c r="C40" s="55"/>
      <c r="D40" s="55"/>
      <c r="E40" s="55"/>
      <c r="F40" s="55"/>
      <c r="G40" s="52"/>
      <c r="H40" s="244">
        <v>1200000</v>
      </c>
      <c r="I40" s="244">
        <v>1350000</v>
      </c>
      <c r="J40" s="244">
        <v>1500000</v>
      </c>
      <c r="K40" s="244">
        <v>1650000</v>
      </c>
      <c r="L40" s="244">
        <v>1850000</v>
      </c>
      <c r="M40" s="244">
        <v>2000000</v>
      </c>
      <c r="N40" s="244">
        <v>2150000</v>
      </c>
      <c r="O40" s="244">
        <v>2300000</v>
      </c>
      <c r="P40" s="244">
        <v>2450000</v>
      </c>
      <c r="Q40" s="244">
        <v>2600000</v>
      </c>
    </row>
    <row r="41" spans="2:17" x14ac:dyDescent="0.2">
      <c r="B41" s="52" t="s">
        <v>282</v>
      </c>
      <c r="C41" s="55"/>
      <c r="D41" s="55"/>
      <c r="E41" s="55"/>
      <c r="F41" s="55"/>
      <c r="G41" s="52"/>
      <c r="H41" s="244">
        <v>75000</v>
      </c>
      <c r="I41" s="244">
        <v>120000</v>
      </c>
      <c r="J41" s="244">
        <v>180000</v>
      </c>
      <c r="K41" s="244">
        <v>250000</v>
      </c>
      <c r="L41" s="244">
        <v>300000</v>
      </c>
      <c r="M41" s="244">
        <v>350000</v>
      </c>
      <c r="N41" s="244">
        <v>400000</v>
      </c>
      <c r="O41" s="244">
        <v>450000</v>
      </c>
      <c r="P41" s="244">
        <v>500000</v>
      </c>
      <c r="Q41" s="244">
        <v>550000</v>
      </c>
    </row>
    <row r="42" spans="2:17" x14ac:dyDescent="0.2">
      <c r="B42" s="52" t="s">
        <v>129</v>
      </c>
      <c r="C42" s="55"/>
      <c r="D42" s="55"/>
      <c r="E42" s="55"/>
      <c r="F42" s="55"/>
      <c r="G42" s="52"/>
      <c r="H42" s="244">
        <v>10000</v>
      </c>
      <c r="I42" s="244">
        <v>20000</v>
      </c>
      <c r="J42" s="244">
        <v>35000</v>
      </c>
      <c r="K42" s="244">
        <v>50000</v>
      </c>
      <c r="L42" s="244">
        <v>75000</v>
      </c>
      <c r="M42" s="244">
        <v>100000</v>
      </c>
      <c r="N42" s="244">
        <v>125000</v>
      </c>
      <c r="O42" s="244">
        <v>150000</v>
      </c>
      <c r="P42" s="244">
        <v>175000</v>
      </c>
      <c r="Q42" s="244">
        <v>200000</v>
      </c>
    </row>
    <row r="43" spans="2:17" x14ac:dyDescent="0.2">
      <c r="B43" s="52"/>
      <c r="C43" s="55"/>
      <c r="D43" s="55"/>
      <c r="E43" s="55"/>
      <c r="F43" s="55"/>
      <c r="G43" s="52"/>
      <c r="H43" s="243"/>
      <c r="I43" s="243"/>
      <c r="J43" s="243"/>
      <c r="K43" s="243"/>
      <c r="L43" s="243"/>
      <c r="M43" s="243"/>
      <c r="N43" s="243"/>
      <c r="O43" s="243"/>
      <c r="P43" s="243"/>
      <c r="Q43" s="243"/>
    </row>
    <row r="44" spans="2:17" x14ac:dyDescent="0.2">
      <c r="B44" s="51" t="s">
        <v>59</v>
      </c>
      <c r="C44" s="52"/>
      <c r="D44" s="52"/>
      <c r="E44" s="52"/>
      <c r="F44" s="52"/>
      <c r="G44" s="52"/>
      <c r="H44" s="243"/>
      <c r="I44" s="243"/>
      <c r="J44" s="243"/>
      <c r="K44" s="243"/>
      <c r="L44" s="243"/>
      <c r="M44" s="243"/>
      <c r="N44" s="243"/>
      <c r="O44" s="243"/>
      <c r="P44" s="243"/>
      <c r="Q44" s="243"/>
    </row>
    <row r="45" spans="2:17" x14ac:dyDescent="0.2">
      <c r="B45" s="52" t="s">
        <v>130</v>
      </c>
      <c r="C45" s="55"/>
      <c r="D45" s="55"/>
      <c r="E45" s="55"/>
      <c r="F45" s="55"/>
      <c r="G45" s="52"/>
      <c r="H45" s="243">
        <f>H38*95%</f>
        <v>427500</v>
      </c>
      <c r="I45" s="243">
        <f t="shared" ref="I45:Q45" si="14">I38*95%</f>
        <v>427500</v>
      </c>
      <c r="J45" s="243">
        <f t="shared" si="14"/>
        <v>475000</v>
      </c>
      <c r="K45" s="243">
        <f t="shared" si="14"/>
        <v>522500</v>
      </c>
      <c r="L45" s="243">
        <f t="shared" si="14"/>
        <v>570000</v>
      </c>
      <c r="M45" s="243">
        <f t="shared" si="14"/>
        <v>617500</v>
      </c>
      <c r="N45" s="243">
        <f t="shared" si="14"/>
        <v>665000</v>
      </c>
      <c r="O45" s="243">
        <f t="shared" si="14"/>
        <v>712500</v>
      </c>
      <c r="P45" s="243">
        <f t="shared" si="14"/>
        <v>760000</v>
      </c>
      <c r="Q45" s="243">
        <f t="shared" si="14"/>
        <v>807500</v>
      </c>
    </row>
    <row r="46" spans="2:17" x14ac:dyDescent="0.2">
      <c r="B46" s="52" t="s">
        <v>135</v>
      </c>
      <c r="C46" s="55"/>
      <c r="D46" s="47"/>
      <c r="E46" s="47"/>
      <c r="F46" s="47"/>
      <c r="G46" s="52"/>
      <c r="H46" s="243">
        <f t="shared" ref="H46:Q46" si="15">H39*95%</f>
        <v>38000</v>
      </c>
      <c r="I46" s="243">
        <f t="shared" si="15"/>
        <v>19000</v>
      </c>
      <c r="J46" s="243">
        <f t="shared" si="15"/>
        <v>9500</v>
      </c>
      <c r="K46" s="243">
        <f t="shared" si="15"/>
        <v>0</v>
      </c>
      <c r="L46" s="243">
        <f t="shared" si="15"/>
        <v>0</v>
      </c>
      <c r="M46" s="243">
        <f t="shared" si="15"/>
        <v>0</v>
      </c>
      <c r="N46" s="243">
        <f t="shared" si="15"/>
        <v>0</v>
      </c>
      <c r="O46" s="243">
        <f t="shared" si="15"/>
        <v>0</v>
      </c>
      <c r="P46" s="243">
        <f t="shared" si="15"/>
        <v>0</v>
      </c>
      <c r="Q46" s="243">
        <f t="shared" si="15"/>
        <v>0</v>
      </c>
    </row>
    <row r="47" spans="2:17" x14ac:dyDescent="0.2">
      <c r="B47" s="52" t="s">
        <v>282</v>
      </c>
      <c r="C47" s="55"/>
      <c r="D47" s="55"/>
      <c r="E47" s="55"/>
      <c r="F47" s="55"/>
      <c r="G47" s="52"/>
      <c r="H47" s="243">
        <f t="shared" ref="H47:Q47" si="16">H40*95%</f>
        <v>1140000</v>
      </c>
      <c r="I47" s="243">
        <f t="shared" si="16"/>
        <v>1282500</v>
      </c>
      <c r="J47" s="243">
        <f t="shared" si="16"/>
        <v>1425000</v>
      </c>
      <c r="K47" s="243">
        <f t="shared" si="16"/>
        <v>1567500</v>
      </c>
      <c r="L47" s="243">
        <f t="shared" si="16"/>
        <v>1757500</v>
      </c>
      <c r="M47" s="243">
        <f t="shared" si="16"/>
        <v>1900000</v>
      </c>
      <c r="N47" s="243">
        <f t="shared" si="16"/>
        <v>2042500</v>
      </c>
      <c r="O47" s="243">
        <f t="shared" si="16"/>
        <v>2185000</v>
      </c>
      <c r="P47" s="243">
        <f t="shared" si="16"/>
        <v>2327500</v>
      </c>
      <c r="Q47" s="243">
        <f t="shared" si="16"/>
        <v>2470000</v>
      </c>
    </row>
    <row r="48" spans="2:17" x14ac:dyDescent="0.2">
      <c r="B48" s="52" t="s">
        <v>132</v>
      </c>
      <c r="C48" s="55"/>
      <c r="D48" s="55"/>
      <c r="E48" s="55"/>
      <c r="F48" s="55"/>
      <c r="G48" s="52"/>
      <c r="H48" s="243">
        <f t="shared" ref="H48:Q48" si="17">H41*95%</f>
        <v>71250</v>
      </c>
      <c r="I48" s="243">
        <f t="shared" si="17"/>
        <v>114000</v>
      </c>
      <c r="J48" s="243">
        <f t="shared" si="17"/>
        <v>171000</v>
      </c>
      <c r="K48" s="243">
        <f t="shared" si="17"/>
        <v>237500</v>
      </c>
      <c r="L48" s="243">
        <f t="shared" si="17"/>
        <v>285000</v>
      </c>
      <c r="M48" s="243">
        <f t="shared" si="17"/>
        <v>332500</v>
      </c>
      <c r="N48" s="243">
        <f t="shared" si="17"/>
        <v>380000</v>
      </c>
      <c r="O48" s="243">
        <f t="shared" si="17"/>
        <v>427500</v>
      </c>
      <c r="P48" s="243">
        <f t="shared" si="17"/>
        <v>475000</v>
      </c>
      <c r="Q48" s="243">
        <f t="shared" si="17"/>
        <v>522500</v>
      </c>
    </row>
    <row r="49" spans="2:17" x14ac:dyDescent="0.2">
      <c r="B49" s="52" t="s">
        <v>129</v>
      </c>
      <c r="C49" s="55"/>
      <c r="D49" s="55"/>
      <c r="E49" s="55"/>
      <c r="F49" s="55"/>
      <c r="G49" s="52"/>
      <c r="H49" s="243">
        <f t="shared" ref="H49:Q49" si="18">H42*95%</f>
        <v>9500</v>
      </c>
      <c r="I49" s="243">
        <f t="shared" si="18"/>
        <v>19000</v>
      </c>
      <c r="J49" s="243">
        <f t="shared" si="18"/>
        <v>33250</v>
      </c>
      <c r="K49" s="243">
        <f t="shared" si="18"/>
        <v>47500</v>
      </c>
      <c r="L49" s="243">
        <f t="shared" si="18"/>
        <v>71250</v>
      </c>
      <c r="M49" s="243">
        <f t="shared" si="18"/>
        <v>95000</v>
      </c>
      <c r="N49" s="243">
        <f t="shared" si="18"/>
        <v>118750</v>
      </c>
      <c r="O49" s="243">
        <f t="shared" si="18"/>
        <v>142500</v>
      </c>
      <c r="P49" s="243">
        <f t="shared" si="18"/>
        <v>166250</v>
      </c>
      <c r="Q49" s="243">
        <f t="shared" si="18"/>
        <v>190000</v>
      </c>
    </row>
    <row r="50" spans="2:17" x14ac:dyDescent="0.2">
      <c r="B50" s="52"/>
      <c r="C50" s="55"/>
      <c r="D50" s="55"/>
      <c r="E50" s="55"/>
      <c r="F50" s="55"/>
      <c r="G50" s="52"/>
      <c r="H50" s="55"/>
      <c r="I50" s="53"/>
      <c r="J50" s="53"/>
      <c r="K50" s="53"/>
      <c r="L50" s="53"/>
      <c r="M50" s="53"/>
      <c r="N50" s="53"/>
      <c r="O50" s="53"/>
      <c r="P50" s="53"/>
      <c r="Q50" s="53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>
      <selection activeCell="O42" sqref="O42"/>
    </sheetView>
  </sheetViews>
  <sheetFormatPr defaultColWidth="9.140625" defaultRowHeight="12" x14ac:dyDescent="0.2"/>
  <cols>
    <col min="1" max="1" width="2" style="7" customWidth="1"/>
    <col min="2" max="3" width="15.140625" style="7" customWidth="1"/>
    <col min="4" max="4" width="2" style="7" customWidth="1"/>
    <col min="5" max="6" width="11.28515625" style="7" bestFit="1" customWidth="1"/>
    <col min="7" max="7" width="9.140625" style="7"/>
    <col min="8" max="8" width="11.42578125" style="7" bestFit="1" customWidth="1"/>
    <col min="9" max="10" width="10.28515625" style="7" customWidth="1"/>
    <col min="11" max="12" width="10.28515625" style="7" bestFit="1" customWidth="1"/>
    <col min="13" max="17" width="10.42578125" style="7" bestFit="1" customWidth="1"/>
    <col min="18" max="16384" width="9.140625" style="7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31"/>
  <sheetViews>
    <sheetView workbookViewId="0">
      <selection activeCell="B5" sqref="B5"/>
    </sheetView>
  </sheetViews>
  <sheetFormatPr defaultColWidth="9.140625" defaultRowHeight="12" x14ac:dyDescent="0.2"/>
  <cols>
    <col min="1" max="1" width="2" style="7" customWidth="1"/>
    <col min="2" max="2" width="29.7109375" style="7" bestFit="1" customWidth="1"/>
    <col min="3" max="3" width="23.28515625" style="7" customWidth="1"/>
    <col min="4" max="4" width="14" style="7" bestFit="1" customWidth="1"/>
    <col min="5" max="5" width="10.85546875" style="7" bestFit="1" customWidth="1"/>
    <col min="6" max="6" width="9.140625" style="7"/>
    <col min="7" max="7" width="10.5703125" style="7" bestFit="1" customWidth="1"/>
    <col min="8" max="16384" width="9.140625" style="7"/>
  </cols>
  <sheetData>
    <row r="1" spans="1:6" ht="15.75" x14ac:dyDescent="0.2">
      <c r="A1" s="1"/>
      <c r="B1" s="2" t="s">
        <v>201</v>
      </c>
    </row>
    <row r="2" spans="1:6" ht="15.75" x14ac:dyDescent="0.2">
      <c r="A2" s="1"/>
      <c r="B2" s="2"/>
    </row>
    <row r="3" spans="1:6" x14ac:dyDescent="0.2">
      <c r="B3" s="89" t="s">
        <v>260</v>
      </c>
    </row>
    <row r="5" spans="1:6" ht="12.75" x14ac:dyDescent="0.2">
      <c r="B5"/>
      <c r="F5" s="7" t="s">
        <v>148</v>
      </c>
    </row>
    <row r="6" spans="1:6" x14ac:dyDescent="0.2">
      <c r="B6" s="93" t="s">
        <v>261</v>
      </c>
      <c r="C6" s="39" t="s">
        <v>146</v>
      </c>
      <c r="D6" s="39" t="s">
        <v>178</v>
      </c>
    </row>
    <row r="7" spans="1:6" ht="12.75" x14ac:dyDescent="0.2">
      <c r="B7" s="131" t="s">
        <v>270</v>
      </c>
      <c r="C7" s="247">
        <v>939000</v>
      </c>
      <c r="D7" s="247">
        <f t="shared" ref="D7:D19" si="0">C7</f>
        <v>939000</v>
      </c>
    </row>
    <row r="8" spans="1:6" ht="12.75" x14ac:dyDescent="0.2">
      <c r="B8" s="131" t="s">
        <v>271</v>
      </c>
      <c r="C8" s="247">
        <v>128000</v>
      </c>
      <c r="D8" s="247">
        <f t="shared" si="0"/>
        <v>128000</v>
      </c>
    </row>
    <row r="9" spans="1:6" ht="12.75" x14ac:dyDescent="0.2">
      <c r="B9" s="131" t="s">
        <v>272</v>
      </c>
      <c r="C9" s="247">
        <v>115000</v>
      </c>
      <c r="D9" s="247">
        <f t="shared" si="0"/>
        <v>115000</v>
      </c>
    </row>
    <row r="10" spans="1:6" ht="12.75" x14ac:dyDescent="0.2">
      <c r="B10" s="131" t="s">
        <v>273</v>
      </c>
      <c r="C10" s="247">
        <v>226000</v>
      </c>
      <c r="D10" s="247">
        <f t="shared" si="0"/>
        <v>226000</v>
      </c>
    </row>
    <row r="11" spans="1:6" ht="12" customHeight="1" x14ac:dyDescent="0.2">
      <c r="B11" s="131" t="s">
        <v>274</v>
      </c>
      <c r="C11" s="247">
        <v>25000</v>
      </c>
      <c r="D11" s="247">
        <f t="shared" si="0"/>
        <v>25000</v>
      </c>
    </row>
    <row r="12" spans="1:6" ht="12.75" x14ac:dyDescent="0.2">
      <c r="B12" s="131" t="s">
        <v>275</v>
      </c>
      <c r="C12" s="247">
        <v>4000</v>
      </c>
      <c r="D12" s="247">
        <f t="shared" si="0"/>
        <v>4000</v>
      </c>
    </row>
    <row r="13" spans="1:6" ht="12.75" x14ac:dyDescent="0.2">
      <c r="B13" s="131" t="s">
        <v>276</v>
      </c>
      <c r="C13" s="247">
        <v>10100000</v>
      </c>
      <c r="D13" s="247">
        <f t="shared" si="0"/>
        <v>10100000</v>
      </c>
    </row>
    <row r="14" spans="1:6" ht="12.75" x14ac:dyDescent="0.2">
      <c r="B14" s="131" t="s">
        <v>277</v>
      </c>
      <c r="C14" s="247">
        <v>8700000</v>
      </c>
      <c r="D14" s="247">
        <f t="shared" si="0"/>
        <v>8700000</v>
      </c>
    </row>
    <row r="15" spans="1:6" ht="12.75" x14ac:dyDescent="0.2">
      <c r="B15" s="131" t="s">
        <v>278</v>
      </c>
      <c r="C15" s="247">
        <v>6800000</v>
      </c>
      <c r="D15" s="247">
        <f t="shared" si="0"/>
        <v>6800000</v>
      </c>
    </row>
    <row r="16" spans="1:6" ht="12.75" x14ac:dyDescent="0.2">
      <c r="B16" s="131" t="s">
        <v>279</v>
      </c>
      <c r="C16" s="247">
        <v>6100000</v>
      </c>
      <c r="D16" s="247">
        <f t="shared" si="0"/>
        <v>6100000</v>
      </c>
    </row>
    <row r="17" spans="2:4" ht="12.75" x14ac:dyDescent="0.2">
      <c r="B17" s="131" t="s">
        <v>168</v>
      </c>
      <c r="C17" s="247">
        <v>4300000</v>
      </c>
      <c r="D17" s="247">
        <f t="shared" si="0"/>
        <v>4300000</v>
      </c>
    </row>
    <row r="18" spans="2:4" ht="12.75" x14ac:dyDescent="0.2">
      <c r="B18" s="131" t="s">
        <v>170</v>
      </c>
      <c r="C18" s="247">
        <v>2300000</v>
      </c>
      <c r="D18" s="247">
        <f t="shared" si="0"/>
        <v>2300000</v>
      </c>
    </row>
    <row r="19" spans="2:4" ht="12.75" x14ac:dyDescent="0.2">
      <c r="B19" s="131" t="s">
        <v>280</v>
      </c>
      <c r="C19" s="247">
        <v>2100000</v>
      </c>
      <c r="D19" s="247">
        <f t="shared" si="0"/>
        <v>2100000</v>
      </c>
    </row>
    <row r="20" spans="2:4" x14ac:dyDescent="0.2">
      <c r="B20" s="70" t="s">
        <v>174</v>
      </c>
      <c r="C20" s="248" t="s">
        <v>51</v>
      </c>
      <c r="D20" s="248" t="s">
        <v>51</v>
      </c>
    </row>
    <row r="21" spans="2:4" x14ac:dyDescent="0.2">
      <c r="B21" s="70" t="s">
        <v>175</v>
      </c>
      <c r="C21" s="248" t="s">
        <v>51</v>
      </c>
      <c r="D21" s="248" t="s">
        <v>51</v>
      </c>
    </row>
    <row r="22" spans="2:4" x14ac:dyDescent="0.2">
      <c r="B22" s="70" t="s">
        <v>176</v>
      </c>
      <c r="C22" s="248" t="s">
        <v>51</v>
      </c>
      <c r="D22" s="248" t="s">
        <v>51</v>
      </c>
    </row>
    <row r="23" spans="2:4" x14ac:dyDescent="0.2">
      <c r="B23" s="70" t="s">
        <v>177</v>
      </c>
      <c r="C23" s="248" t="s">
        <v>51</v>
      </c>
      <c r="D23" s="248" t="s">
        <v>51</v>
      </c>
    </row>
    <row r="24" spans="2:4" x14ac:dyDescent="0.2">
      <c r="B24" s="8" t="s">
        <v>146</v>
      </c>
      <c r="C24" s="249" t="s">
        <v>51</v>
      </c>
      <c r="D24" s="245">
        <f>AVERAGE(D7:D23)</f>
        <v>3218230.769230769</v>
      </c>
    </row>
    <row r="25" spans="2:4" x14ac:dyDescent="0.2">
      <c r="C25" s="87"/>
      <c r="D25" s="87"/>
    </row>
    <row r="28" spans="2:4" x14ac:dyDescent="0.2">
      <c r="B28" s="93" t="s">
        <v>231</v>
      </c>
      <c r="C28" s="39"/>
      <c r="D28" s="39"/>
    </row>
    <row r="29" spans="2:4" x14ac:dyDescent="0.2">
      <c r="B29" s="7">
        <v>2026</v>
      </c>
      <c r="D29" s="246">
        <f>Deliveries!H$10</f>
        <v>1775000</v>
      </c>
    </row>
    <row r="30" spans="2:4" x14ac:dyDescent="0.2">
      <c r="B30" s="7">
        <v>2030</v>
      </c>
      <c r="D30" s="246">
        <f>Deliveries!L$10</f>
        <v>2825000</v>
      </c>
    </row>
    <row r="31" spans="2:4" x14ac:dyDescent="0.2">
      <c r="B31" s="7">
        <v>2035</v>
      </c>
      <c r="D31" s="246">
        <f>Deliveries!Q$10</f>
        <v>4200000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N35"/>
  <sheetViews>
    <sheetView showGridLines="0" workbookViewId="0">
      <selection activeCell="B14" sqref="B14"/>
    </sheetView>
  </sheetViews>
  <sheetFormatPr defaultRowHeight="12.75" x14ac:dyDescent="0.2"/>
  <cols>
    <col min="1" max="1" width="2" style="1" customWidth="1"/>
    <col min="2" max="2" width="31.7109375" style="97" bestFit="1" customWidth="1"/>
    <col min="3" max="3" width="13.140625" style="97" bestFit="1" customWidth="1"/>
    <col min="4" max="4" width="12.85546875" style="97" bestFit="1" customWidth="1"/>
    <col min="5" max="5" width="13.42578125" style="97" customWidth="1"/>
    <col min="6" max="6" width="34" style="98" customWidth="1"/>
    <col min="7" max="10" width="9.140625" style="1"/>
    <col min="11" max="11" width="18.140625" style="1" bestFit="1" customWidth="1"/>
    <col min="12" max="12" width="19.28515625" style="1" bestFit="1" customWidth="1"/>
    <col min="13" max="13" width="23.140625" style="1" bestFit="1" customWidth="1"/>
    <col min="14" max="14" width="13.140625" style="1" bestFit="1" customWidth="1"/>
    <col min="15" max="16384" width="9.140625" style="1"/>
  </cols>
  <sheetData>
    <row r="1" spans="2:14" ht="16.5" x14ac:dyDescent="0.2">
      <c r="B1" s="2" t="s">
        <v>234</v>
      </c>
      <c r="C1" s="1"/>
      <c r="D1" s="1"/>
      <c r="E1" s="1"/>
      <c r="F1" s="96"/>
    </row>
    <row r="2" spans="2:14" ht="16.5" x14ac:dyDescent="0.2">
      <c r="B2"/>
      <c r="C2" s="1"/>
      <c r="D2" s="1"/>
      <c r="E2" s="1"/>
      <c r="F2" s="96"/>
    </row>
    <row r="3" spans="2:14" x14ac:dyDescent="0.2">
      <c r="B3" s="103" t="s">
        <v>222</v>
      </c>
      <c r="C3" s="104" t="s">
        <v>266</v>
      </c>
      <c r="D3" s="104" t="s">
        <v>223</v>
      </c>
      <c r="E3" s="104" t="s">
        <v>224</v>
      </c>
      <c r="F3" s="105" t="s">
        <v>230</v>
      </c>
    </row>
    <row r="4" spans="2:14" x14ac:dyDescent="0.2">
      <c r="B4" s="7" t="s">
        <v>130</v>
      </c>
      <c r="C4" s="123" t="s">
        <v>262</v>
      </c>
      <c r="D4" s="125">
        <v>36990</v>
      </c>
      <c r="E4" s="126">
        <v>56990</v>
      </c>
      <c r="F4" s="250">
        <f>AVERAGE(D4:E4)</f>
        <v>46990</v>
      </c>
      <c r="G4"/>
    </row>
    <row r="5" spans="2:14" x14ac:dyDescent="0.2">
      <c r="B5" s="117"/>
      <c r="C5" s="123"/>
      <c r="D5" s="125"/>
      <c r="E5" s="125"/>
      <c r="F5" s="251"/>
      <c r="G5" s="117"/>
    </row>
    <row r="6" spans="2:14" x14ac:dyDescent="0.2">
      <c r="B6" s="7" t="s">
        <v>263</v>
      </c>
      <c r="C6" s="123" t="s">
        <v>267</v>
      </c>
      <c r="D6" s="125">
        <v>94990</v>
      </c>
      <c r="E6" s="125">
        <v>111990</v>
      </c>
      <c r="F6" s="250">
        <f t="shared" ref="F6:F14" si="0">AVERAGE(D6:E6)</f>
        <v>103490</v>
      </c>
      <c r="G6" s="117"/>
    </row>
    <row r="7" spans="2:14" x14ac:dyDescent="0.2">
      <c r="B7" s="7" t="s">
        <v>264</v>
      </c>
      <c r="C7" s="123" t="s">
        <v>225</v>
      </c>
      <c r="D7" s="125">
        <v>101630</v>
      </c>
      <c r="E7" s="125">
        <v>116990</v>
      </c>
      <c r="F7" s="250">
        <f>AVERAGE(D7:E7)</f>
        <v>109310</v>
      </c>
      <c r="G7" s="117"/>
    </row>
    <row r="8" spans="2:14" x14ac:dyDescent="0.2">
      <c r="B8" s="124" t="s">
        <v>281</v>
      </c>
      <c r="C8" s="132"/>
      <c r="D8" s="133"/>
      <c r="E8" s="133"/>
      <c r="F8" s="252">
        <f>AVERAGE(F6:F7)</f>
        <v>106400</v>
      </c>
      <c r="G8" s="117"/>
    </row>
    <row r="9" spans="2:14" x14ac:dyDescent="0.2">
      <c r="B9" s="122"/>
      <c r="C9" s="1"/>
      <c r="D9" s="127"/>
      <c r="E9" s="127"/>
      <c r="F9" s="250"/>
      <c r="G9" s="117"/>
    </row>
    <row r="10" spans="2:14" x14ac:dyDescent="0.2">
      <c r="B10" s="7" t="s">
        <v>131</v>
      </c>
      <c r="C10" s="123" t="s">
        <v>265</v>
      </c>
      <c r="D10" s="127">
        <v>39990</v>
      </c>
      <c r="E10" s="127">
        <v>59990</v>
      </c>
      <c r="F10" s="250">
        <f t="shared" si="0"/>
        <v>49990</v>
      </c>
      <c r="G10" s="117"/>
    </row>
    <row r="11" spans="2:14" x14ac:dyDescent="0.2">
      <c r="B11" s="7"/>
      <c r="C11" s="1"/>
      <c r="D11" s="127"/>
      <c r="E11" s="127"/>
      <c r="F11" s="250"/>
      <c r="G11" s="117"/>
    </row>
    <row r="12" spans="2:14" s="7" customFormat="1" x14ac:dyDescent="0.2">
      <c r="B12" s="7" t="s">
        <v>259</v>
      </c>
      <c r="C12" s="123" t="s">
        <v>268</v>
      </c>
      <c r="D12" s="128">
        <v>69990</v>
      </c>
      <c r="E12" s="128">
        <v>117999</v>
      </c>
      <c r="F12" s="250">
        <f t="shared" si="0"/>
        <v>93994.5</v>
      </c>
    </row>
    <row r="13" spans="2:14" x14ac:dyDescent="0.2">
      <c r="B13" s="7"/>
      <c r="C13" s="119"/>
      <c r="D13" s="129"/>
      <c r="E13" s="129"/>
      <c r="F13" s="250"/>
      <c r="K13" s="122"/>
      <c r="L13" s="123"/>
      <c r="M13" s="123"/>
      <c r="N13" s="123"/>
    </row>
    <row r="14" spans="2:14" x14ac:dyDescent="0.2">
      <c r="B14" s="213" t="s">
        <v>129</v>
      </c>
      <c r="C14" s="123" t="s">
        <v>269</v>
      </c>
      <c r="D14" s="130">
        <v>260000</v>
      </c>
      <c r="E14" s="130">
        <v>290000</v>
      </c>
      <c r="F14" s="250">
        <f t="shared" si="0"/>
        <v>275000</v>
      </c>
      <c r="K14" s="122"/>
      <c r="L14" s="123"/>
      <c r="M14" s="123"/>
      <c r="N14" s="123"/>
    </row>
    <row r="15" spans="2:14" x14ac:dyDescent="0.2">
      <c r="B15" s="118"/>
      <c r="C15" s="1"/>
      <c r="D15" s="1"/>
      <c r="E15" s="1"/>
      <c r="F15" s="1"/>
      <c r="K15" s="116"/>
      <c r="L15" s="120"/>
      <c r="M15" s="120"/>
    </row>
    <row r="16" spans="2:14" x14ac:dyDescent="0.2">
      <c r="B16" s="118"/>
      <c r="C16" s="1"/>
      <c r="D16" s="1"/>
      <c r="E16" s="1"/>
      <c r="F16" s="1"/>
      <c r="K16" s="117"/>
      <c r="L16" s="121"/>
      <c r="M16" s="121"/>
    </row>
    <row r="17" spans="2:13" ht="18" customHeight="1" x14ac:dyDescent="0.2">
      <c r="B17" s="118"/>
      <c r="C17" s="1"/>
      <c r="D17" s="1"/>
      <c r="E17" s="1"/>
      <c r="F17" s="1"/>
      <c r="K17" s="117"/>
      <c r="L17" s="121"/>
      <c r="M17" s="121"/>
    </row>
    <row r="18" spans="2:13" ht="18" customHeight="1" x14ac:dyDescent="0.2">
      <c r="B18" s="118"/>
      <c r="C18" s="1"/>
      <c r="D18" s="1"/>
      <c r="E18" s="1"/>
      <c r="F18" s="1"/>
      <c r="K18" s="117"/>
      <c r="L18" s="121"/>
      <c r="M18" s="121"/>
    </row>
    <row r="19" spans="2:13" ht="18" customHeight="1" x14ac:dyDescent="0.2">
      <c r="B19" s="118"/>
      <c r="C19" s="1"/>
      <c r="D19" s="1"/>
      <c r="E19" s="1"/>
      <c r="F19" s="1"/>
      <c r="K19" s="117"/>
      <c r="L19" s="121"/>
      <c r="M19" s="121"/>
    </row>
    <row r="20" spans="2:13" ht="18" customHeight="1" x14ac:dyDescent="0.2">
      <c r="B20" s="118"/>
      <c r="C20" s="1"/>
      <c r="D20" s="1"/>
      <c r="E20" s="1"/>
      <c r="F20" s="1"/>
    </row>
    <row r="21" spans="2:13" x14ac:dyDescent="0.2">
      <c r="B21" s="118"/>
      <c r="C21" s="1"/>
      <c r="D21" s="1"/>
      <c r="E21" s="1"/>
      <c r="F21" s="1"/>
    </row>
    <row r="22" spans="2:13" x14ac:dyDescent="0.2">
      <c r="B22" s="118"/>
      <c r="C22" s="1"/>
      <c r="D22" s="1"/>
      <c r="E22" s="1"/>
      <c r="F22" s="1"/>
    </row>
    <row r="23" spans="2:13" x14ac:dyDescent="0.2">
      <c r="B23" s="118"/>
      <c r="C23" s="1"/>
      <c r="D23" s="1"/>
      <c r="E23" s="1"/>
      <c r="F23" s="1"/>
    </row>
    <row r="24" spans="2:13" x14ac:dyDescent="0.2">
      <c r="C24" s="1"/>
      <c r="D24" s="1"/>
      <c r="E24" s="1"/>
      <c r="F24" s="1"/>
    </row>
    <row r="25" spans="2:13" x14ac:dyDescent="0.2">
      <c r="C25" s="1"/>
      <c r="D25" s="1"/>
      <c r="E25" s="1"/>
      <c r="F25" s="1"/>
    </row>
    <row r="26" spans="2:13" x14ac:dyDescent="0.2">
      <c r="C26" s="1"/>
      <c r="D26" s="1"/>
      <c r="E26" s="1"/>
      <c r="F26" s="1"/>
    </row>
    <row r="27" spans="2:13" x14ac:dyDescent="0.2">
      <c r="C27" s="1"/>
      <c r="D27" s="1"/>
      <c r="E27" s="1"/>
      <c r="F27" s="1"/>
    </row>
    <row r="28" spans="2:13" ht="16.5" x14ac:dyDescent="0.2">
      <c r="C28" s="100"/>
      <c r="D28" s="100"/>
      <c r="E28" s="100"/>
      <c r="F28" s="97"/>
      <c r="G28" s="96"/>
    </row>
    <row r="29" spans="2:13" x14ac:dyDescent="0.2">
      <c r="F29" s="97"/>
    </row>
    <row r="30" spans="2:13" x14ac:dyDescent="0.2">
      <c r="B30" s="99"/>
    </row>
    <row r="34" spans="2:2" x14ac:dyDescent="0.2">
      <c r="B34" s="101"/>
    </row>
    <row r="35" spans="2:2" x14ac:dyDescent="0.2">
      <c r="B35" s="102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1"/>
  <sheetViews>
    <sheetView zoomScale="90" zoomScaleNormal="90" workbookViewId="0">
      <selection activeCell="S48" sqref="S48"/>
    </sheetView>
  </sheetViews>
  <sheetFormatPr defaultColWidth="9.140625" defaultRowHeight="12" x14ac:dyDescent="0.2"/>
  <cols>
    <col min="1" max="1" width="2" style="7" customWidth="1"/>
    <col min="2" max="2" width="16.85546875" style="7" customWidth="1"/>
    <col min="3" max="3" width="10.7109375" style="7" customWidth="1"/>
    <col min="4" max="4" width="11.42578125" style="7" customWidth="1"/>
    <col min="5" max="5" width="11" style="7" customWidth="1"/>
    <col min="6" max="7" width="14.5703125" style="7" bestFit="1" customWidth="1"/>
    <col min="8" max="12" width="9.7109375" style="7" customWidth="1"/>
    <col min="13" max="13" width="10" style="7" bestFit="1" customWidth="1"/>
    <col min="14" max="17" width="11.42578125" style="7" bestFit="1" customWidth="1"/>
    <col min="18" max="18" width="15.140625" style="7" customWidth="1"/>
    <col min="19" max="19" width="9.140625" style="7"/>
    <col min="20" max="22" width="9.140625" style="7" customWidth="1"/>
    <col min="23" max="16384" width="9.140625" style="7"/>
  </cols>
  <sheetData>
    <row r="1" spans="1:18" ht="15.75" x14ac:dyDescent="0.2">
      <c r="A1" s="1"/>
      <c r="B1" s="2" t="s">
        <v>158</v>
      </c>
      <c r="F1" s="50"/>
      <c r="G1" s="50"/>
      <c r="R1" s="7" t="s">
        <v>62</v>
      </c>
    </row>
    <row r="2" spans="1:18" ht="15.75" x14ac:dyDescent="0.2">
      <c r="A2" s="1"/>
      <c r="B2" s="2"/>
      <c r="C2" s="46"/>
      <c r="D2" s="46"/>
      <c r="E2" s="46"/>
      <c r="F2" s="46"/>
      <c r="G2" s="46"/>
    </row>
    <row r="3" spans="1:18" x14ac:dyDescent="0.2">
      <c r="B3" s="353"/>
      <c r="C3" s="368" t="s">
        <v>162</v>
      </c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</row>
    <row r="4" spans="1:18" ht="24" x14ac:dyDescent="0.2">
      <c r="B4" s="27" t="s">
        <v>128</v>
      </c>
      <c r="C4" s="6" t="s">
        <v>241</v>
      </c>
      <c r="D4" s="6" t="s">
        <v>242</v>
      </c>
      <c r="E4" s="6" t="s">
        <v>243</v>
      </c>
      <c r="F4" s="6" t="s">
        <v>244</v>
      </c>
      <c r="G4" s="6" t="s">
        <v>245</v>
      </c>
      <c r="H4" s="57" t="s">
        <v>198</v>
      </c>
      <c r="I4" s="57" t="s">
        <v>199</v>
      </c>
      <c r="J4" s="57" t="s">
        <v>200</v>
      </c>
      <c r="K4" s="57" t="s">
        <v>221</v>
      </c>
      <c r="L4" s="57" t="s">
        <v>258</v>
      </c>
      <c r="M4" s="57" t="s">
        <v>257</v>
      </c>
      <c r="N4" s="57" t="s">
        <v>256</v>
      </c>
      <c r="O4" s="57" t="s">
        <v>255</v>
      </c>
      <c r="P4" s="57" t="s">
        <v>254</v>
      </c>
      <c r="Q4" s="57" t="s">
        <v>253</v>
      </c>
      <c r="R4" s="39" t="s">
        <v>133</v>
      </c>
    </row>
    <row r="5" spans="1:18" ht="13.15" customHeight="1" x14ac:dyDescent="0.2">
      <c r="B5" s="7" t="s">
        <v>130</v>
      </c>
      <c r="C5" s="253">
        <f>($R5*Deliveries!C5)/1000000</f>
        <v>23495</v>
      </c>
      <c r="D5" s="253">
        <f>($R5*Deliveries!D5)/1000000</f>
        <v>24904.7</v>
      </c>
      <c r="E5" s="253">
        <f>($R5*Deliveries!E5)/1000000</f>
        <v>23495</v>
      </c>
      <c r="F5" s="253">
        <f>($R5*Deliveries!F5)/1000000</f>
        <v>22555.200000000001</v>
      </c>
      <c r="G5" s="253">
        <f>($R5*Deliveries!G5)/1000000</f>
        <v>21145.5</v>
      </c>
      <c r="H5" s="254">
        <f>($R5*Deliveries!H5)*H15/1000000</f>
        <v>21145.5</v>
      </c>
      <c r="I5" s="254">
        <f>($R5*Deliveries!I5)*I15/1000000</f>
        <v>21145.5</v>
      </c>
      <c r="J5" s="254">
        <f>($R5*Deliveries!J5)*J15/1000000</f>
        <v>23495</v>
      </c>
      <c r="K5" s="254">
        <f>($R5*Deliveries!K5)*K15/1000000</f>
        <v>25844.5</v>
      </c>
      <c r="L5" s="254">
        <f>($R5*Deliveries!L5)*L15/1000000</f>
        <v>28194</v>
      </c>
      <c r="M5" s="254">
        <f>($R5*Deliveries!M5)*M15/1000000</f>
        <v>30543.5</v>
      </c>
      <c r="N5" s="254">
        <f>($R5*Deliveries!N5)*N15/1000000</f>
        <v>32893</v>
      </c>
      <c r="O5" s="254">
        <f>($R5*Deliveries!O5)*O15/1000000</f>
        <v>35242.5</v>
      </c>
      <c r="P5" s="254">
        <f>($R5*Deliveries!P5)*P15/1000000</f>
        <v>37592</v>
      </c>
      <c r="Q5" s="254">
        <f>($R5*Deliveries!Q5)*Q15/1000000</f>
        <v>39941.5</v>
      </c>
      <c r="R5" s="255">
        <f>'Average Prices'!F4</f>
        <v>46990</v>
      </c>
    </row>
    <row r="6" spans="1:18" x14ac:dyDescent="0.2">
      <c r="B6" s="7" t="s">
        <v>135</v>
      </c>
      <c r="C6" s="253">
        <f>($R6*Deliveries!C6)/1000000</f>
        <v>5320</v>
      </c>
      <c r="D6" s="253">
        <f>($R6*Deliveries!D6)/1000000</f>
        <v>7128.8</v>
      </c>
      <c r="E6" s="253">
        <f>($R6*Deliveries!E6)/1000000</f>
        <v>7341.6</v>
      </c>
      <c r="F6" s="253">
        <f>($R6*Deliveries!F6)/1000000</f>
        <v>5958.4</v>
      </c>
      <c r="G6" s="253">
        <f>($R6*Deliveries!G6)/1000000</f>
        <v>5320</v>
      </c>
      <c r="H6" s="254">
        <f>($R6*Deliveries!H6)*H16/1000000</f>
        <v>4256</v>
      </c>
      <c r="I6" s="254">
        <f>($R6*Deliveries!I6)*I16/1000000</f>
        <v>2128</v>
      </c>
      <c r="J6" s="254">
        <f>($R6*Deliveries!J6)*J16/1000000</f>
        <v>1064</v>
      </c>
      <c r="K6" s="254">
        <f>($R6*Deliveries!K6)*K16/1000000</f>
        <v>0</v>
      </c>
      <c r="L6" s="254">
        <f>($R6*Deliveries!L6)*L16/1000000</f>
        <v>0</v>
      </c>
      <c r="M6" s="254">
        <f>($R6*Deliveries!M6)*M16/1000000</f>
        <v>0</v>
      </c>
      <c r="N6" s="254">
        <f>($R6*Deliveries!N6)*N16/1000000</f>
        <v>0</v>
      </c>
      <c r="O6" s="254">
        <f>($R6*Deliveries!O6)*O16/1000000</f>
        <v>0</v>
      </c>
      <c r="P6" s="254">
        <f>($R6*Deliveries!P6)*P16/1000000</f>
        <v>0</v>
      </c>
      <c r="Q6" s="254">
        <f>($R6*Deliveries!Q6)*Q16/1000000</f>
        <v>0</v>
      </c>
      <c r="R6" s="255">
        <f>'Average Prices'!F8</f>
        <v>106400</v>
      </c>
    </row>
    <row r="7" spans="1:18" x14ac:dyDescent="0.2">
      <c r="B7" s="7" t="s">
        <v>131</v>
      </c>
      <c r="C7" s="253">
        <f>($R7*Deliveries!C7)/1000000</f>
        <v>20545.89</v>
      </c>
      <c r="D7" s="253">
        <f>($R7*Deliveries!D7)/1000000</f>
        <v>35842.83</v>
      </c>
      <c r="E7" s="253">
        <f>($R7*Deliveries!E7)/1000000</f>
        <v>56988.6</v>
      </c>
      <c r="F7" s="253">
        <f>($R7*Deliveries!F7)/1000000</f>
        <v>56188.76</v>
      </c>
      <c r="G7" s="253">
        <f>($R7*Deliveries!G7)/1000000</f>
        <v>56488.7</v>
      </c>
      <c r="H7" s="254">
        <f>($R7*Deliveries!H7)*H17/1000000</f>
        <v>59988</v>
      </c>
      <c r="I7" s="254">
        <f>($R7*Deliveries!I7)*I17/1000000</f>
        <v>67486.5</v>
      </c>
      <c r="J7" s="254">
        <f>($R7*Deliveries!J7)*J17/1000000</f>
        <v>74985</v>
      </c>
      <c r="K7" s="254">
        <f>($R7*Deliveries!K7)*K17/1000000</f>
        <v>82483.5</v>
      </c>
      <c r="L7" s="254">
        <f>($R7*Deliveries!L7)*L17/1000000</f>
        <v>92481.5</v>
      </c>
      <c r="M7" s="254">
        <f>($R7*Deliveries!M7)*M17/1000000</f>
        <v>99980</v>
      </c>
      <c r="N7" s="254">
        <f>($R7*Deliveries!N7)*N17/1000000</f>
        <v>107478.5</v>
      </c>
      <c r="O7" s="254">
        <f>($R7*Deliveries!O7)*O17/1000000</f>
        <v>114977</v>
      </c>
      <c r="P7" s="254">
        <f>($R7*Deliveries!P7)*P17/1000000</f>
        <v>122475.5</v>
      </c>
      <c r="Q7" s="254">
        <f>($R7*Deliveries!Q7)*Q17/1000000</f>
        <v>129974</v>
      </c>
      <c r="R7" s="255">
        <f>'Average Prices'!F10</f>
        <v>49990</v>
      </c>
    </row>
    <row r="8" spans="1:18" x14ac:dyDescent="0.2">
      <c r="B8" s="7" t="s">
        <v>282</v>
      </c>
      <c r="C8" s="253">
        <f>($R8*Deliveries!C8)/1000000</f>
        <v>0</v>
      </c>
      <c r="D8" s="253">
        <f>($R8*Deliveries!D8)/1000000</f>
        <v>0</v>
      </c>
      <c r="E8" s="253">
        <f>($R8*Deliveries!E8)/1000000</f>
        <v>84.595050000000001</v>
      </c>
      <c r="F8" s="253">
        <f>($R8*Deliveries!F8)/1000000</f>
        <v>1785.8955000000001</v>
      </c>
      <c r="G8" s="253">
        <f>($R8*Deliveries!G8)/1000000</f>
        <v>4699.7250000000004</v>
      </c>
      <c r="H8" s="254">
        <f>($R8*Deliveries!H8)*H18/1000000</f>
        <v>7049.5874999999996</v>
      </c>
      <c r="I8" s="254">
        <f>($R8*Deliveries!I8)*I18/1000000</f>
        <v>11279.34</v>
      </c>
      <c r="J8" s="254">
        <f>($R8*Deliveries!J8)*J18/1000000</f>
        <v>16919.009999999998</v>
      </c>
      <c r="K8" s="254">
        <f>($R8*Deliveries!K8)*K18/1000000</f>
        <v>23498.625</v>
      </c>
      <c r="L8" s="254">
        <f>($R8*Deliveries!L8)*L18/1000000</f>
        <v>28198.35</v>
      </c>
      <c r="M8" s="254">
        <f>($R8*Deliveries!M8)*M18/1000000</f>
        <v>32898.074999999997</v>
      </c>
      <c r="N8" s="254">
        <f>($R8*Deliveries!N8)*N18/1000000</f>
        <v>37597.800000000003</v>
      </c>
      <c r="O8" s="254">
        <f>($R8*Deliveries!O8)*O18/1000000</f>
        <v>42297.525000000001</v>
      </c>
      <c r="P8" s="254">
        <f>($R8*Deliveries!P8)*P18/1000000</f>
        <v>46997.25</v>
      </c>
      <c r="Q8" s="254">
        <f>($R8*Deliveries!Q8)*Q18/1000000</f>
        <v>51696.974999999999</v>
      </c>
      <c r="R8" s="255">
        <f>'Average Prices'!F12</f>
        <v>93994.5</v>
      </c>
    </row>
    <row r="9" spans="1:18" x14ac:dyDescent="0.2">
      <c r="B9" s="7" t="s">
        <v>129</v>
      </c>
      <c r="C9" s="253">
        <f>($R9*Deliveries!C9)/1000000</f>
        <v>0</v>
      </c>
      <c r="D9" s="253">
        <f>($R9*Deliveries!D9)/1000000</f>
        <v>24.75</v>
      </c>
      <c r="E9" s="253">
        <f>($R9*Deliveries!E9)/1000000</f>
        <v>49.5</v>
      </c>
      <c r="F9" s="253">
        <f>($R9*Deliveries!F9)/1000000</f>
        <v>79.75</v>
      </c>
      <c r="G9" s="253">
        <f>($R9*Deliveries!G9)/1000000</f>
        <v>1375</v>
      </c>
      <c r="H9" s="254">
        <f>($R9*Deliveries!H9)*H19/1000000</f>
        <v>2750</v>
      </c>
      <c r="I9" s="254">
        <f>($R9*Deliveries!I9)*I19/1000000</f>
        <v>5500</v>
      </c>
      <c r="J9" s="254">
        <f>($R9*Deliveries!J9)*J19/1000000</f>
        <v>9625</v>
      </c>
      <c r="K9" s="254">
        <f>($R9*Deliveries!K9)*K19/1000000</f>
        <v>13750</v>
      </c>
      <c r="L9" s="254">
        <f>($R9*Deliveries!L9)*L19/1000000</f>
        <v>20625</v>
      </c>
      <c r="M9" s="254">
        <f>($R9*Deliveries!M9)*M19/1000000</f>
        <v>27500</v>
      </c>
      <c r="N9" s="254">
        <f>($R9*Deliveries!N9)*N19/1000000</f>
        <v>34375</v>
      </c>
      <c r="O9" s="254">
        <f>($R9*Deliveries!O9)*O19/1000000</f>
        <v>41250</v>
      </c>
      <c r="P9" s="254">
        <f>($R9*Deliveries!P9)*P19/1000000</f>
        <v>48125</v>
      </c>
      <c r="Q9" s="254">
        <f>($R9*Deliveries!Q9)*Q19/1000000</f>
        <v>55000</v>
      </c>
      <c r="R9" s="255">
        <f>'Average Prices'!F14</f>
        <v>275000</v>
      </c>
    </row>
    <row r="10" spans="1:18" ht="12.75" thickBot="1" x14ac:dyDescent="0.25">
      <c r="B10" s="65" t="s">
        <v>55</v>
      </c>
      <c r="C10" s="69">
        <f>'P&amp;L Input'!C4</f>
        <v>47232</v>
      </c>
      <c r="D10" s="69">
        <f>'P&amp;L Input'!D4</f>
        <v>71462</v>
      </c>
      <c r="E10" s="69">
        <f>'P&amp;L Input'!E4</f>
        <v>82419</v>
      </c>
      <c r="F10" s="69">
        <f>'P&amp;L Input'!F4</f>
        <v>77070</v>
      </c>
      <c r="G10" s="69">
        <f>'P&amp;L Input'!G4</f>
        <v>69526</v>
      </c>
      <c r="H10" s="69">
        <f>SUM(H5:H9)</f>
        <v>95189.087499999994</v>
      </c>
      <c r="I10" s="69">
        <f t="shared" ref="I10:L10" si="0">SUM(I5:I9)</f>
        <v>107539.34</v>
      </c>
      <c r="J10" s="69">
        <f t="shared" si="0"/>
        <v>126088.01</v>
      </c>
      <c r="K10" s="69">
        <f t="shared" si="0"/>
        <v>145576.625</v>
      </c>
      <c r="L10" s="69">
        <f t="shared" si="0"/>
        <v>169498.85</v>
      </c>
      <c r="M10" s="69">
        <f>SUM(M5:M9)</f>
        <v>190921.57500000001</v>
      </c>
      <c r="N10" s="69">
        <f>SUM(N5:N9)</f>
        <v>212344.3</v>
      </c>
      <c r="O10" s="69">
        <f>SUM(O5:O9)</f>
        <v>233767.02499999999</v>
      </c>
      <c r="P10" s="69">
        <f>SUM(P5:P9)</f>
        <v>255189.75</v>
      </c>
      <c r="Q10" s="69">
        <f>SUM(Q5:Q9)</f>
        <v>276612.47499999998</v>
      </c>
      <c r="R10" s="56"/>
    </row>
    <row r="11" spans="1:18" ht="3" customHeight="1" x14ac:dyDescent="0.2"/>
    <row r="12" spans="1:18" ht="3" customHeight="1" x14ac:dyDescent="0.2"/>
    <row r="13" spans="1:18" ht="3" customHeight="1" x14ac:dyDescent="0.2"/>
    <row r="14" spans="1:18" x14ac:dyDescent="0.2">
      <c r="B14" s="51" t="s">
        <v>61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26"/>
    </row>
    <row r="15" spans="1:18" x14ac:dyDescent="0.2">
      <c r="B15" s="52" t="s">
        <v>130</v>
      </c>
      <c r="C15" s="55"/>
      <c r="D15" s="55"/>
      <c r="E15" s="55"/>
      <c r="F15" s="55"/>
      <c r="G15" s="52"/>
      <c r="H15" s="54">
        <f>CHOOSE(Drivers!$C$3,'Automotive Revenue'!H22,'Automotive Revenue'!H29,'Automotive Revenue'!H36)</f>
        <v>1</v>
      </c>
      <c r="I15" s="54">
        <f>CHOOSE(Drivers!$C$3,'Automotive Revenue'!I22,'Automotive Revenue'!I29,'Automotive Revenue'!I36)</f>
        <v>1</v>
      </c>
      <c r="J15" s="54">
        <f>CHOOSE(Drivers!$C$3,'Automotive Revenue'!J22,'Automotive Revenue'!J29,'Automotive Revenue'!J36)</f>
        <v>1</v>
      </c>
      <c r="K15" s="54">
        <f>CHOOSE(Drivers!$C$3,'Automotive Revenue'!K22,'Automotive Revenue'!K29,'Automotive Revenue'!K36)</f>
        <v>1</v>
      </c>
      <c r="L15" s="54">
        <f>CHOOSE(Drivers!$C$3,'Automotive Revenue'!L22,'Automotive Revenue'!L29,'Automotive Revenue'!L36)</f>
        <v>1</v>
      </c>
      <c r="M15" s="54">
        <f>CHOOSE(Drivers!$C$3,'Automotive Revenue'!M22,'Automotive Revenue'!M29,'Automotive Revenue'!M36)</f>
        <v>1</v>
      </c>
      <c r="N15" s="54">
        <f>CHOOSE(Drivers!$C$3,'Automotive Revenue'!N22,'Automotive Revenue'!N29,'Automotive Revenue'!N36)</f>
        <v>1</v>
      </c>
      <c r="O15" s="54">
        <f>CHOOSE(Drivers!$C$3,'Automotive Revenue'!O22,'Automotive Revenue'!O29,'Automotive Revenue'!O36)</f>
        <v>1</v>
      </c>
      <c r="P15" s="54">
        <f>CHOOSE(Drivers!$C$3,'Automotive Revenue'!P22,'Automotive Revenue'!P29,'Automotive Revenue'!P36)</f>
        <v>1</v>
      </c>
      <c r="Q15" s="54">
        <f>CHOOSE(Drivers!$C$3,'Automotive Revenue'!Q22,'Automotive Revenue'!Q29,'Automotive Revenue'!Q36)</f>
        <v>1</v>
      </c>
      <c r="R15" s="26"/>
    </row>
    <row r="16" spans="1:18" x14ac:dyDescent="0.2">
      <c r="B16" s="52" t="s">
        <v>135</v>
      </c>
      <c r="C16" s="55"/>
      <c r="D16" s="47"/>
      <c r="E16" s="47"/>
      <c r="F16" s="47"/>
      <c r="G16" s="52"/>
      <c r="H16" s="54">
        <f>CHOOSE(Drivers!$C$3,'Automotive Revenue'!H23,'Automotive Revenue'!H30,'Automotive Revenue'!H37)</f>
        <v>1</v>
      </c>
      <c r="I16" s="54">
        <f>CHOOSE(Drivers!$C$3,'Automotive Revenue'!I23,'Automotive Revenue'!I30,'Automotive Revenue'!I37)</f>
        <v>1</v>
      </c>
      <c r="J16" s="54">
        <f>CHOOSE(Drivers!$C$3,'Automotive Revenue'!J23,'Automotive Revenue'!J30,'Automotive Revenue'!J37)</f>
        <v>1</v>
      </c>
      <c r="K16" s="54">
        <f>CHOOSE(Drivers!$C$3,'Automotive Revenue'!K23,'Automotive Revenue'!K30,'Automotive Revenue'!K37)</f>
        <v>1</v>
      </c>
      <c r="L16" s="54">
        <f>CHOOSE(Drivers!$C$3,'Automotive Revenue'!L23,'Automotive Revenue'!L30,'Automotive Revenue'!L37)</f>
        <v>1</v>
      </c>
      <c r="M16" s="54">
        <f>CHOOSE(Drivers!$C$3,'Automotive Revenue'!M23,'Automotive Revenue'!M30,'Automotive Revenue'!M37)</f>
        <v>1</v>
      </c>
      <c r="N16" s="54">
        <f>CHOOSE(Drivers!$C$3,'Automotive Revenue'!N23,'Automotive Revenue'!N30,'Automotive Revenue'!N37)</f>
        <v>1</v>
      </c>
      <c r="O16" s="54">
        <f>CHOOSE(Drivers!$C$3,'Automotive Revenue'!O23,'Automotive Revenue'!O30,'Automotive Revenue'!O37)</f>
        <v>1</v>
      </c>
      <c r="P16" s="54">
        <f>CHOOSE(Drivers!$C$3,'Automotive Revenue'!P23,'Automotive Revenue'!P30,'Automotive Revenue'!P37)</f>
        <v>1</v>
      </c>
      <c r="Q16" s="54">
        <f>CHOOSE(Drivers!$C$3,'Automotive Revenue'!Q23,'Automotive Revenue'!Q30,'Automotive Revenue'!Q37)</f>
        <v>1</v>
      </c>
      <c r="R16" s="26"/>
    </row>
    <row r="17" spans="2:18" x14ac:dyDescent="0.2">
      <c r="B17" s="52" t="s">
        <v>131</v>
      </c>
      <c r="C17" s="55"/>
      <c r="D17" s="55"/>
      <c r="E17" s="55"/>
      <c r="F17" s="55"/>
      <c r="G17" s="52"/>
      <c r="H17" s="54">
        <f>CHOOSE(Drivers!$C$3,'Automotive Revenue'!H24,'Automotive Revenue'!H31,'Automotive Revenue'!H38)</f>
        <v>1</v>
      </c>
      <c r="I17" s="54">
        <f>CHOOSE(Drivers!$C$3,'Automotive Revenue'!I24,'Automotive Revenue'!I31,'Automotive Revenue'!I38)</f>
        <v>1</v>
      </c>
      <c r="J17" s="54">
        <f>CHOOSE(Drivers!$C$3,'Automotive Revenue'!J24,'Automotive Revenue'!J31,'Automotive Revenue'!J38)</f>
        <v>1</v>
      </c>
      <c r="K17" s="54">
        <f>CHOOSE(Drivers!$C$3,'Automotive Revenue'!K24,'Automotive Revenue'!K31,'Automotive Revenue'!K38)</f>
        <v>1</v>
      </c>
      <c r="L17" s="54">
        <f>CHOOSE(Drivers!$C$3,'Automotive Revenue'!L24,'Automotive Revenue'!L31,'Automotive Revenue'!L38)</f>
        <v>1</v>
      </c>
      <c r="M17" s="54">
        <f>CHOOSE(Drivers!$C$3,'Automotive Revenue'!M24,'Automotive Revenue'!M31,'Automotive Revenue'!M38)</f>
        <v>1</v>
      </c>
      <c r="N17" s="54">
        <f>CHOOSE(Drivers!$C$3,'Automotive Revenue'!N24,'Automotive Revenue'!N31,'Automotive Revenue'!N38)</f>
        <v>1</v>
      </c>
      <c r="O17" s="54">
        <f>CHOOSE(Drivers!$C$3,'Automotive Revenue'!O24,'Automotive Revenue'!O31,'Automotive Revenue'!O38)</f>
        <v>1</v>
      </c>
      <c r="P17" s="54">
        <f>CHOOSE(Drivers!$C$3,'Automotive Revenue'!P24,'Automotive Revenue'!P31,'Automotive Revenue'!P38)</f>
        <v>1</v>
      </c>
      <c r="Q17" s="54">
        <f>CHOOSE(Drivers!$C$3,'Automotive Revenue'!Q24,'Automotive Revenue'!Q31,'Automotive Revenue'!Q38)</f>
        <v>1</v>
      </c>
      <c r="R17" s="26"/>
    </row>
    <row r="18" spans="2:18" x14ac:dyDescent="0.2">
      <c r="B18" s="52" t="s">
        <v>282</v>
      </c>
      <c r="C18" s="55"/>
      <c r="D18" s="55"/>
      <c r="E18" s="55"/>
      <c r="F18" s="55"/>
      <c r="G18" s="52"/>
      <c r="H18" s="54">
        <f>CHOOSE(Drivers!$C$3,'Automotive Revenue'!H25,'Automotive Revenue'!H32,'Automotive Revenue'!H39)</f>
        <v>1</v>
      </c>
      <c r="I18" s="54">
        <f>CHOOSE(Drivers!$C$3,'Automotive Revenue'!I25,'Automotive Revenue'!I32,'Automotive Revenue'!I39)</f>
        <v>1</v>
      </c>
      <c r="J18" s="54">
        <f>CHOOSE(Drivers!$C$3,'Automotive Revenue'!J25,'Automotive Revenue'!J32,'Automotive Revenue'!J39)</f>
        <v>1</v>
      </c>
      <c r="K18" s="54">
        <f>CHOOSE(Drivers!$C$3,'Automotive Revenue'!K25,'Automotive Revenue'!K32,'Automotive Revenue'!K39)</f>
        <v>1</v>
      </c>
      <c r="L18" s="54">
        <f>CHOOSE(Drivers!$C$3,'Automotive Revenue'!L25,'Automotive Revenue'!L32,'Automotive Revenue'!L39)</f>
        <v>1</v>
      </c>
      <c r="M18" s="54">
        <f>CHOOSE(Drivers!$C$3,'Automotive Revenue'!M25,'Automotive Revenue'!M32,'Automotive Revenue'!M39)</f>
        <v>1</v>
      </c>
      <c r="N18" s="54">
        <f>CHOOSE(Drivers!$C$3,'Automotive Revenue'!N25,'Automotive Revenue'!N32,'Automotive Revenue'!N39)</f>
        <v>1</v>
      </c>
      <c r="O18" s="54">
        <f>CHOOSE(Drivers!$C$3,'Automotive Revenue'!O25,'Automotive Revenue'!O32,'Automotive Revenue'!O39)</f>
        <v>1</v>
      </c>
      <c r="P18" s="54">
        <f>CHOOSE(Drivers!$C$3,'Automotive Revenue'!P25,'Automotive Revenue'!P32,'Automotive Revenue'!P39)</f>
        <v>1</v>
      </c>
      <c r="Q18" s="54">
        <f>CHOOSE(Drivers!$C$3,'Automotive Revenue'!Q25,'Automotive Revenue'!Q32,'Automotive Revenue'!Q39)</f>
        <v>1</v>
      </c>
      <c r="R18" s="26"/>
    </row>
    <row r="19" spans="2:18" x14ac:dyDescent="0.2">
      <c r="B19" s="52" t="s">
        <v>129</v>
      </c>
      <c r="C19" s="55"/>
      <c r="D19" s="55"/>
      <c r="E19" s="55"/>
      <c r="F19" s="55"/>
      <c r="G19" s="52"/>
      <c r="H19" s="54">
        <f>CHOOSE(Drivers!$C$3,'Automotive Revenue'!H26,'Automotive Revenue'!H33,'Automotive Revenue'!H40)</f>
        <v>1</v>
      </c>
      <c r="I19" s="54">
        <f>CHOOSE(Drivers!$C$3,'Automotive Revenue'!I26,'Automotive Revenue'!I33,'Automotive Revenue'!I40)</f>
        <v>1</v>
      </c>
      <c r="J19" s="54">
        <f>CHOOSE(Drivers!$C$3,'Automotive Revenue'!J26,'Automotive Revenue'!J33,'Automotive Revenue'!J40)</f>
        <v>1</v>
      </c>
      <c r="K19" s="54">
        <f>CHOOSE(Drivers!$C$3,'Automotive Revenue'!K26,'Automotive Revenue'!K33,'Automotive Revenue'!K40)</f>
        <v>1</v>
      </c>
      <c r="L19" s="54">
        <f>CHOOSE(Drivers!$C$3,'Automotive Revenue'!L26,'Automotive Revenue'!L33,'Automotive Revenue'!L40)</f>
        <v>1</v>
      </c>
      <c r="M19" s="54">
        <f>CHOOSE(Drivers!$C$3,'Automotive Revenue'!M26,'Automotive Revenue'!M33,'Automotive Revenue'!M40)</f>
        <v>1</v>
      </c>
      <c r="N19" s="54">
        <f>CHOOSE(Drivers!$C$3,'Automotive Revenue'!N26,'Automotive Revenue'!N33,'Automotive Revenue'!N40)</f>
        <v>1</v>
      </c>
      <c r="O19" s="54">
        <f>CHOOSE(Drivers!$C$3,'Automotive Revenue'!O26,'Automotive Revenue'!O33,'Automotive Revenue'!O40)</f>
        <v>1</v>
      </c>
      <c r="P19" s="54">
        <f>CHOOSE(Drivers!$C$3,'Automotive Revenue'!P26,'Automotive Revenue'!P33,'Automotive Revenue'!P40)</f>
        <v>1</v>
      </c>
      <c r="Q19" s="54">
        <f>CHOOSE(Drivers!$C$3,'Automotive Revenue'!Q26,'Automotive Revenue'!Q33,'Automotive Revenue'!Q40)</f>
        <v>1</v>
      </c>
      <c r="R19" s="26"/>
    </row>
    <row r="20" spans="2:18" x14ac:dyDescent="0.2">
      <c r="B20" s="52"/>
      <c r="C20" s="55"/>
      <c r="D20" s="55"/>
      <c r="E20" s="55"/>
      <c r="F20" s="55"/>
      <c r="G20" s="52"/>
      <c r="H20" s="55"/>
      <c r="I20" s="53"/>
      <c r="J20" s="53"/>
      <c r="K20" s="53"/>
      <c r="L20" s="53"/>
      <c r="M20" s="53"/>
      <c r="N20" s="53"/>
      <c r="O20" s="53"/>
      <c r="P20" s="53"/>
      <c r="Q20" s="53"/>
      <c r="R20" s="26"/>
    </row>
    <row r="21" spans="2:18" x14ac:dyDescent="0.2">
      <c r="B21" s="51" t="s">
        <v>57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26"/>
    </row>
    <row r="22" spans="2:18" x14ac:dyDescent="0.2">
      <c r="B22" s="52" t="s">
        <v>130</v>
      </c>
      <c r="C22" s="55"/>
      <c r="D22" s="55"/>
      <c r="E22" s="55"/>
      <c r="F22" s="55"/>
      <c r="G22" s="52"/>
      <c r="H22" s="54">
        <v>1.02</v>
      </c>
      <c r="I22" s="54">
        <v>1.02</v>
      </c>
      <c r="J22" s="54">
        <v>1.02</v>
      </c>
      <c r="K22" s="54">
        <v>1.02</v>
      </c>
      <c r="L22" s="54">
        <v>1.02</v>
      </c>
      <c r="M22" s="54">
        <v>1.02</v>
      </c>
      <c r="N22" s="54">
        <v>1.02</v>
      </c>
      <c r="O22" s="54">
        <v>1.02</v>
      </c>
      <c r="P22" s="54">
        <v>1.02</v>
      </c>
      <c r="Q22" s="54">
        <v>1.02</v>
      </c>
      <c r="R22" s="26"/>
    </row>
    <row r="23" spans="2:18" x14ac:dyDescent="0.2">
      <c r="B23" s="52" t="s">
        <v>135</v>
      </c>
      <c r="C23" s="55"/>
      <c r="D23" s="47"/>
      <c r="E23" s="47"/>
      <c r="F23" s="47"/>
      <c r="G23" s="52"/>
      <c r="H23" s="54">
        <v>1.02</v>
      </c>
      <c r="I23" s="54">
        <v>1.02</v>
      </c>
      <c r="J23" s="54">
        <v>1.02</v>
      </c>
      <c r="K23" s="54">
        <v>1.02</v>
      </c>
      <c r="L23" s="54">
        <v>1.02</v>
      </c>
      <c r="M23" s="54">
        <v>1.02</v>
      </c>
      <c r="N23" s="54">
        <v>1.02</v>
      </c>
      <c r="O23" s="54">
        <v>1.02</v>
      </c>
      <c r="P23" s="54">
        <v>1.02</v>
      </c>
      <c r="Q23" s="54">
        <v>1.02</v>
      </c>
      <c r="R23" s="26"/>
    </row>
    <row r="24" spans="2:18" x14ac:dyDescent="0.2">
      <c r="B24" s="52" t="s">
        <v>131</v>
      </c>
      <c r="C24" s="55"/>
      <c r="D24" s="55"/>
      <c r="E24" s="55"/>
      <c r="F24" s="55"/>
      <c r="G24" s="52"/>
      <c r="H24" s="54">
        <v>1.02</v>
      </c>
      <c r="I24" s="54">
        <v>1.02</v>
      </c>
      <c r="J24" s="54">
        <v>1.02</v>
      </c>
      <c r="K24" s="54">
        <v>1.02</v>
      </c>
      <c r="L24" s="54">
        <v>1.02</v>
      </c>
      <c r="M24" s="54">
        <v>1.02</v>
      </c>
      <c r="N24" s="54">
        <v>1.02</v>
      </c>
      <c r="O24" s="54">
        <v>1.02</v>
      </c>
      <c r="P24" s="54">
        <v>1.02</v>
      </c>
      <c r="Q24" s="54">
        <v>1.02</v>
      </c>
      <c r="R24" s="26"/>
    </row>
    <row r="25" spans="2:18" x14ac:dyDescent="0.2">
      <c r="B25" s="52" t="s">
        <v>282</v>
      </c>
      <c r="C25" s="55"/>
      <c r="D25" s="55"/>
      <c r="E25" s="55"/>
      <c r="F25" s="55"/>
      <c r="G25" s="52"/>
      <c r="H25" s="54">
        <v>1.02</v>
      </c>
      <c r="I25" s="54">
        <v>1.02</v>
      </c>
      <c r="J25" s="54">
        <v>1.02</v>
      </c>
      <c r="K25" s="54">
        <v>1.02</v>
      </c>
      <c r="L25" s="54">
        <v>1.02</v>
      </c>
      <c r="M25" s="54">
        <v>1.02</v>
      </c>
      <c r="N25" s="54">
        <v>1.02</v>
      </c>
      <c r="O25" s="54">
        <v>1.02</v>
      </c>
      <c r="P25" s="54">
        <v>1.02</v>
      </c>
      <c r="Q25" s="54">
        <v>1.02</v>
      </c>
      <c r="R25" s="26"/>
    </row>
    <row r="26" spans="2:18" x14ac:dyDescent="0.2">
      <c r="B26" s="52" t="s">
        <v>129</v>
      </c>
      <c r="C26" s="55"/>
      <c r="D26" s="55"/>
      <c r="E26" s="55"/>
      <c r="F26" s="55"/>
      <c r="G26" s="52"/>
      <c r="H26" s="54">
        <v>1.02</v>
      </c>
      <c r="I26" s="54">
        <v>1.02</v>
      </c>
      <c r="J26" s="54">
        <v>1.02</v>
      </c>
      <c r="K26" s="54">
        <v>1.02</v>
      </c>
      <c r="L26" s="54">
        <v>1.02</v>
      </c>
      <c r="M26" s="54">
        <v>1.02</v>
      </c>
      <c r="N26" s="54">
        <v>1.02</v>
      </c>
      <c r="O26" s="54">
        <v>1.02</v>
      </c>
      <c r="P26" s="54">
        <v>1.02</v>
      </c>
      <c r="Q26" s="54">
        <v>1.02</v>
      </c>
      <c r="R26" s="26"/>
    </row>
    <row r="27" spans="2:18" x14ac:dyDescent="0.2">
      <c r="B27" s="52"/>
      <c r="C27" s="55"/>
      <c r="D27" s="55"/>
      <c r="E27" s="55"/>
      <c r="F27" s="55"/>
      <c r="G27" s="52"/>
      <c r="H27" s="55"/>
      <c r="I27" s="53"/>
      <c r="J27" s="53"/>
      <c r="K27" s="53"/>
      <c r="L27" s="53"/>
      <c r="M27" s="53"/>
      <c r="N27" s="53"/>
      <c r="O27" s="53"/>
      <c r="P27" s="53"/>
      <c r="Q27" s="53"/>
      <c r="R27" s="26"/>
    </row>
    <row r="28" spans="2:18" x14ac:dyDescent="0.2">
      <c r="B28" s="51" t="s">
        <v>58</v>
      </c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26"/>
    </row>
    <row r="29" spans="2:18" x14ac:dyDescent="0.2">
      <c r="B29" s="52" t="s">
        <v>130</v>
      </c>
      <c r="C29" s="55"/>
      <c r="D29" s="55"/>
      <c r="E29" s="55"/>
      <c r="F29" s="55"/>
      <c r="G29" s="52"/>
      <c r="H29" s="54">
        <v>1</v>
      </c>
      <c r="I29" s="54">
        <v>1</v>
      </c>
      <c r="J29" s="54">
        <v>1</v>
      </c>
      <c r="K29" s="54">
        <v>1</v>
      </c>
      <c r="L29" s="54">
        <v>1</v>
      </c>
      <c r="M29" s="54">
        <v>1</v>
      </c>
      <c r="N29" s="54">
        <v>1</v>
      </c>
      <c r="O29" s="54">
        <v>1</v>
      </c>
      <c r="P29" s="54">
        <v>1</v>
      </c>
      <c r="Q29" s="54">
        <v>1</v>
      </c>
      <c r="R29" s="26"/>
    </row>
    <row r="30" spans="2:18" x14ac:dyDescent="0.2">
      <c r="B30" s="52" t="s">
        <v>135</v>
      </c>
      <c r="C30" s="55"/>
      <c r="D30" s="47"/>
      <c r="E30" s="47"/>
      <c r="F30" s="47"/>
      <c r="G30" s="52"/>
      <c r="H30" s="54">
        <v>1</v>
      </c>
      <c r="I30" s="54">
        <v>1</v>
      </c>
      <c r="J30" s="54">
        <v>1</v>
      </c>
      <c r="K30" s="54">
        <v>1</v>
      </c>
      <c r="L30" s="54">
        <v>1</v>
      </c>
      <c r="M30" s="54">
        <v>1</v>
      </c>
      <c r="N30" s="54">
        <v>1</v>
      </c>
      <c r="O30" s="54">
        <v>1</v>
      </c>
      <c r="P30" s="54">
        <v>1</v>
      </c>
      <c r="Q30" s="54">
        <v>1</v>
      </c>
      <c r="R30" s="26"/>
    </row>
    <row r="31" spans="2:18" x14ac:dyDescent="0.2">
      <c r="B31" s="52" t="s">
        <v>131</v>
      </c>
      <c r="C31" s="55"/>
      <c r="D31" s="55"/>
      <c r="E31" s="55"/>
      <c r="F31" s="55"/>
      <c r="G31" s="52"/>
      <c r="H31" s="54">
        <v>1</v>
      </c>
      <c r="I31" s="54">
        <v>1</v>
      </c>
      <c r="J31" s="54">
        <v>1</v>
      </c>
      <c r="K31" s="54">
        <v>1</v>
      </c>
      <c r="L31" s="54">
        <v>1</v>
      </c>
      <c r="M31" s="54">
        <v>1</v>
      </c>
      <c r="N31" s="54">
        <v>1</v>
      </c>
      <c r="O31" s="54">
        <v>1</v>
      </c>
      <c r="P31" s="54">
        <v>1</v>
      </c>
      <c r="Q31" s="54">
        <v>1</v>
      </c>
      <c r="R31" s="26"/>
    </row>
    <row r="32" spans="2:18" x14ac:dyDescent="0.2">
      <c r="B32" s="52" t="s">
        <v>282</v>
      </c>
      <c r="C32" s="55"/>
      <c r="D32" s="55"/>
      <c r="E32" s="55"/>
      <c r="F32" s="55"/>
      <c r="G32" s="52"/>
      <c r="H32" s="54">
        <v>1</v>
      </c>
      <c r="I32" s="54">
        <v>1</v>
      </c>
      <c r="J32" s="54">
        <v>1</v>
      </c>
      <c r="K32" s="54">
        <v>1</v>
      </c>
      <c r="L32" s="54">
        <v>1</v>
      </c>
      <c r="M32" s="54">
        <v>1</v>
      </c>
      <c r="N32" s="54">
        <v>1</v>
      </c>
      <c r="O32" s="54">
        <v>1</v>
      </c>
      <c r="P32" s="54">
        <v>1</v>
      </c>
      <c r="Q32" s="54">
        <v>1</v>
      </c>
      <c r="R32" s="26"/>
    </row>
    <row r="33" spans="2:18" x14ac:dyDescent="0.2">
      <c r="B33" s="52" t="s">
        <v>129</v>
      </c>
      <c r="C33" s="55"/>
      <c r="D33" s="55"/>
      <c r="E33" s="55"/>
      <c r="F33" s="55"/>
      <c r="G33" s="52"/>
      <c r="H33" s="54">
        <v>1</v>
      </c>
      <c r="I33" s="54">
        <v>1</v>
      </c>
      <c r="J33" s="54">
        <v>1</v>
      </c>
      <c r="K33" s="54">
        <v>1</v>
      </c>
      <c r="L33" s="54">
        <v>1</v>
      </c>
      <c r="M33" s="54">
        <v>1</v>
      </c>
      <c r="N33" s="54">
        <v>1</v>
      </c>
      <c r="O33" s="54">
        <v>1</v>
      </c>
      <c r="P33" s="54">
        <v>1</v>
      </c>
      <c r="Q33" s="54">
        <v>1</v>
      </c>
      <c r="R33" s="26"/>
    </row>
    <row r="34" spans="2:18" x14ac:dyDescent="0.2">
      <c r="B34" s="52"/>
      <c r="C34" s="55"/>
      <c r="D34" s="55"/>
      <c r="E34" s="55"/>
      <c r="F34" s="55"/>
      <c r="G34" s="52"/>
      <c r="H34" s="55"/>
      <c r="I34" s="53"/>
      <c r="J34" s="53"/>
      <c r="K34" s="53"/>
      <c r="L34" s="53"/>
      <c r="M34" s="53"/>
      <c r="N34" s="53"/>
      <c r="O34" s="53"/>
      <c r="P34" s="53"/>
      <c r="Q34" s="53"/>
      <c r="R34" s="26"/>
    </row>
    <row r="35" spans="2:18" x14ac:dyDescent="0.2">
      <c r="B35" s="51" t="s">
        <v>59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26"/>
    </row>
    <row r="36" spans="2:18" x14ac:dyDescent="0.2">
      <c r="B36" s="52" t="s">
        <v>130</v>
      </c>
      <c r="C36" s="55"/>
      <c r="D36" s="55"/>
      <c r="E36" s="55"/>
      <c r="F36" s="55"/>
      <c r="G36" s="52"/>
      <c r="H36" s="54">
        <v>0.98</v>
      </c>
      <c r="I36" s="54">
        <v>0.98</v>
      </c>
      <c r="J36" s="54">
        <v>0.98</v>
      </c>
      <c r="K36" s="54">
        <v>0.98</v>
      </c>
      <c r="L36" s="54">
        <v>0.98</v>
      </c>
      <c r="M36" s="54">
        <v>0.98</v>
      </c>
      <c r="N36" s="54">
        <v>0.98</v>
      </c>
      <c r="O36" s="54">
        <v>0.98</v>
      </c>
      <c r="P36" s="54">
        <v>0.98</v>
      </c>
      <c r="Q36" s="54">
        <v>0.98</v>
      </c>
      <c r="R36" s="26"/>
    </row>
    <row r="37" spans="2:18" x14ac:dyDescent="0.2">
      <c r="B37" s="52" t="s">
        <v>135</v>
      </c>
      <c r="C37" s="55"/>
      <c r="D37" s="47"/>
      <c r="E37" s="47"/>
      <c r="F37" s="47"/>
      <c r="G37" s="52"/>
      <c r="H37" s="54">
        <v>0.98</v>
      </c>
      <c r="I37" s="54">
        <v>0.98</v>
      </c>
      <c r="J37" s="54">
        <v>0.98</v>
      </c>
      <c r="K37" s="54">
        <v>0.98</v>
      </c>
      <c r="L37" s="54">
        <v>0.98</v>
      </c>
      <c r="M37" s="54">
        <v>0.98</v>
      </c>
      <c r="N37" s="54">
        <v>0.98</v>
      </c>
      <c r="O37" s="54">
        <v>0.98</v>
      </c>
      <c r="P37" s="54">
        <v>0.98</v>
      </c>
      <c r="Q37" s="54">
        <v>0.98</v>
      </c>
      <c r="R37" s="26"/>
    </row>
    <row r="38" spans="2:18" x14ac:dyDescent="0.2">
      <c r="B38" s="52" t="s">
        <v>131</v>
      </c>
      <c r="C38" s="55"/>
      <c r="D38" s="55"/>
      <c r="E38" s="55"/>
      <c r="F38" s="55"/>
      <c r="G38" s="52"/>
      <c r="H38" s="54">
        <v>0.98</v>
      </c>
      <c r="I38" s="54">
        <v>0.98</v>
      </c>
      <c r="J38" s="54">
        <v>0.98</v>
      </c>
      <c r="K38" s="54">
        <v>0.98</v>
      </c>
      <c r="L38" s="54">
        <v>0.98</v>
      </c>
      <c r="M38" s="54">
        <v>0.98</v>
      </c>
      <c r="N38" s="54">
        <v>0.98</v>
      </c>
      <c r="O38" s="54">
        <v>0.98</v>
      </c>
      <c r="P38" s="54">
        <v>0.98</v>
      </c>
      <c r="Q38" s="54">
        <v>0.98</v>
      </c>
      <c r="R38" s="26"/>
    </row>
    <row r="39" spans="2:18" x14ac:dyDescent="0.2">
      <c r="B39" s="52" t="s">
        <v>282</v>
      </c>
      <c r="C39" s="55"/>
      <c r="D39" s="55"/>
      <c r="E39" s="55"/>
      <c r="F39" s="55"/>
      <c r="G39" s="52"/>
      <c r="H39" s="54">
        <v>0.98</v>
      </c>
      <c r="I39" s="54">
        <v>0.98</v>
      </c>
      <c r="J39" s="54">
        <v>0.98</v>
      </c>
      <c r="K39" s="54">
        <v>0.98</v>
      </c>
      <c r="L39" s="54">
        <v>0.98</v>
      </c>
      <c r="M39" s="54">
        <v>0.98</v>
      </c>
      <c r="N39" s="54">
        <v>0.98</v>
      </c>
      <c r="O39" s="54">
        <v>0.98</v>
      </c>
      <c r="P39" s="54">
        <v>0.98</v>
      </c>
      <c r="Q39" s="54">
        <v>0.98</v>
      </c>
      <c r="R39" s="26"/>
    </row>
    <row r="40" spans="2:18" x14ac:dyDescent="0.2">
      <c r="B40" s="52" t="s">
        <v>129</v>
      </c>
      <c r="C40" s="55"/>
      <c r="D40" s="55"/>
      <c r="E40" s="55"/>
      <c r="F40" s="55"/>
      <c r="G40" s="52"/>
      <c r="H40" s="54">
        <v>0.98</v>
      </c>
      <c r="I40" s="54">
        <v>0.98</v>
      </c>
      <c r="J40" s="54">
        <v>0.98</v>
      </c>
      <c r="K40" s="54">
        <v>0.98</v>
      </c>
      <c r="L40" s="54">
        <v>0.98</v>
      </c>
      <c r="M40" s="54">
        <v>0.98</v>
      </c>
      <c r="N40" s="54">
        <v>0.98</v>
      </c>
      <c r="O40" s="54">
        <v>0.98</v>
      </c>
      <c r="P40" s="54">
        <v>0.98</v>
      </c>
      <c r="Q40" s="54">
        <v>0.98</v>
      </c>
      <c r="R40" s="26"/>
    </row>
    <row r="41" spans="2:18" x14ac:dyDescent="0.2">
      <c r="B41" s="52"/>
      <c r="C41" s="55"/>
      <c r="D41" s="55"/>
      <c r="E41" s="55"/>
      <c r="F41" s="55"/>
      <c r="G41" s="52"/>
      <c r="H41" s="55"/>
      <c r="I41" s="53"/>
      <c r="J41" s="53"/>
      <c r="K41" s="53"/>
      <c r="L41" s="53"/>
      <c r="M41" s="53"/>
      <c r="N41" s="53"/>
      <c r="O41" s="53"/>
      <c r="P41" s="53"/>
      <c r="Q41" s="53"/>
      <c r="R41" s="26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19"/>
  <sheetViews>
    <sheetView workbookViewId="0">
      <selection activeCell="F27" sqref="F27"/>
    </sheetView>
  </sheetViews>
  <sheetFormatPr defaultColWidth="9.140625" defaultRowHeight="12" x14ac:dyDescent="0.2"/>
  <cols>
    <col min="1" max="1" width="2" style="7" customWidth="1"/>
    <col min="2" max="2" width="17.7109375" style="7" customWidth="1"/>
    <col min="3" max="3" width="33.28515625" style="7" customWidth="1"/>
    <col min="4" max="5" width="9.140625" style="7"/>
    <col min="6" max="6" width="12" style="7" bestFit="1" customWidth="1"/>
    <col min="7" max="7" width="4.5703125" style="7" customWidth="1"/>
    <col min="8" max="16384" width="9.140625" style="7"/>
  </cols>
  <sheetData>
    <row r="1" spans="1:9" ht="15.75" x14ac:dyDescent="0.2">
      <c r="A1" s="1"/>
      <c r="B1" s="2" t="s">
        <v>152</v>
      </c>
    </row>
    <row r="2" spans="1:9" ht="15.75" x14ac:dyDescent="0.2">
      <c r="A2" s="1"/>
      <c r="B2" s="2"/>
    </row>
    <row r="3" spans="1:9" ht="12.75" x14ac:dyDescent="0.2">
      <c r="A3" s="1"/>
      <c r="B3" s="60" t="s">
        <v>233</v>
      </c>
    </row>
    <row r="5" spans="1:9" ht="24" x14ac:dyDescent="0.2">
      <c r="B5" s="27" t="s">
        <v>128</v>
      </c>
      <c r="C5" s="27" t="s">
        <v>145</v>
      </c>
      <c r="D5" s="39" t="s">
        <v>149</v>
      </c>
      <c r="E5" s="39" t="s">
        <v>150</v>
      </c>
      <c r="F5" s="39" t="s">
        <v>151</v>
      </c>
      <c r="G5" s="58"/>
      <c r="H5" s="39" t="s">
        <v>146</v>
      </c>
    </row>
    <row r="6" spans="1:9" ht="12.75" x14ac:dyDescent="0.2">
      <c r="B6" s="7" t="s">
        <v>130</v>
      </c>
      <c r="C6" s="7" t="s">
        <v>153</v>
      </c>
      <c r="D6" s="134">
        <v>0.18</v>
      </c>
      <c r="E6" s="111">
        <f>(((155900-134693)/155900)+((160338-136269)/160338))/2</f>
        <v>0.14307181999290131</v>
      </c>
      <c r="F6" s="14">
        <f>(((108187-93164)/108187)+((110412-95011)/110412))/2</f>
        <v>0.13917403294178585</v>
      </c>
      <c r="G6" s="58"/>
      <c r="H6" s="95">
        <f>C15</f>
        <v>0.18</v>
      </c>
      <c r="I6" s="7" t="s">
        <v>228</v>
      </c>
    </row>
    <row r="7" spans="1:9" ht="12.75" x14ac:dyDescent="0.2">
      <c r="B7" s="7" t="s">
        <v>135</v>
      </c>
      <c r="C7" s="7" t="s">
        <v>154</v>
      </c>
      <c r="D7" s="134">
        <v>0.19</v>
      </c>
      <c r="E7" s="112">
        <f>((33067/167362)+(29165/172745))/2</f>
        <v>0.18320518912380251</v>
      </c>
      <c r="F7" s="61">
        <v>0.17199999999999999</v>
      </c>
      <c r="G7" s="58"/>
      <c r="H7" s="95">
        <f>C16</f>
        <v>0.19</v>
      </c>
      <c r="I7" s="7" t="s">
        <v>228</v>
      </c>
    </row>
    <row r="8" spans="1:9" ht="15" customHeight="1" x14ac:dyDescent="0.2">
      <c r="B8" s="7" t="s">
        <v>131</v>
      </c>
      <c r="C8" s="7" t="s">
        <v>153</v>
      </c>
      <c r="D8" s="134">
        <v>0.13</v>
      </c>
      <c r="E8" s="111">
        <f>(((155900-134693)/155900)+((160338-136269)/160338))/2</f>
        <v>0.14307181999290131</v>
      </c>
      <c r="F8" s="14">
        <f>(((108187-93164)/108187)+((110412-95011)/110412))/2</f>
        <v>0.13917403294178585</v>
      </c>
      <c r="G8" s="58"/>
      <c r="H8" s="95">
        <f t="shared" ref="H8:H10" si="0">C17</f>
        <v>0.2</v>
      </c>
      <c r="I8" s="7" t="s">
        <v>228</v>
      </c>
    </row>
    <row r="9" spans="1:9" ht="12.75" x14ac:dyDescent="0.2">
      <c r="B9" s="7" t="s">
        <v>132</v>
      </c>
      <c r="C9" s="7" t="s">
        <v>153</v>
      </c>
      <c r="D9" s="134">
        <v>0.14000000000000001</v>
      </c>
      <c r="E9" s="111">
        <f>(((155900-134693)/155900)+((160338-136269)/160338))/2</f>
        <v>0.14307181999290131</v>
      </c>
      <c r="F9" s="14">
        <f>F6</f>
        <v>0.13917403294178585</v>
      </c>
      <c r="G9" s="58"/>
      <c r="H9" s="95">
        <f t="shared" si="0"/>
        <v>0.12</v>
      </c>
      <c r="I9" s="7" t="s">
        <v>228</v>
      </c>
    </row>
    <row r="10" spans="1:9" ht="12.75" x14ac:dyDescent="0.2">
      <c r="B10" s="7" t="s">
        <v>129</v>
      </c>
      <c r="C10" s="7" t="s">
        <v>155</v>
      </c>
      <c r="D10" s="134">
        <v>0.15</v>
      </c>
      <c r="E10" s="111">
        <f>E7</f>
        <v>0.18320518912380251</v>
      </c>
      <c r="F10" s="14">
        <f>(((24120-20556)/24120)+((22139-18925)/22139))/2</f>
        <v>0.14646743472213888</v>
      </c>
      <c r="G10" s="58"/>
      <c r="H10" s="95">
        <f t="shared" si="0"/>
        <v>0.15</v>
      </c>
      <c r="I10" s="7" t="s">
        <v>228</v>
      </c>
    </row>
    <row r="11" spans="1:9" x14ac:dyDescent="0.2">
      <c r="E11" s="111"/>
    </row>
    <row r="12" spans="1:9" x14ac:dyDescent="0.2">
      <c r="B12" s="7" t="s">
        <v>147</v>
      </c>
    </row>
    <row r="13" spans="1:9" x14ac:dyDescent="0.2">
      <c r="F13" s="7" t="s">
        <v>148</v>
      </c>
    </row>
    <row r="14" spans="1:9" x14ac:dyDescent="0.2">
      <c r="B14" s="27" t="s">
        <v>128</v>
      </c>
      <c r="C14" s="27" t="s">
        <v>232</v>
      </c>
    </row>
    <row r="15" spans="1:9" ht="12.75" x14ac:dyDescent="0.2">
      <c r="B15" s="7" t="s">
        <v>130</v>
      </c>
      <c r="C15" s="134">
        <v>0.18</v>
      </c>
    </row>
    <row r="16" spans="1:9" ht="12.75" x14ac:dyDescent="0.2">
      <c r="B16" s="7" t="s">
        <v>135</v>
      </c>
      <c r="C16" s="134">
        <v>0.19</v>
      </c>
    </row>
    <row r="17" spans="2:3" ht="12.75" x14ac:dyDescent="0.2">
      <c r="B17" s="7" t="s">
        <v>131</v>
      </c>
      <c r="C17" s="134">
        <v>0.2</v>
      </c>
    </row>
    <row r="18" spans="2:3" ht="12.75" x14ac:dyDescent="0.2">
      <c r="B18" s="7" t="s">
        <v>132</v>
      </c>
      <c r="C18" s="134">
        <v>0.12</v>
      </c>
    </row>
    <row r="19" spans="2:3" ht="12.75" x14ac:dyDescent="0.2">
      <c r="B19" s="7" t="s">
        <v>129</v>
      </c>
      <c r="C19" s="134">
        <v>0.15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39"/>
  <sheetViews>
    <sheetView workbookViewId="0">
      <selection activeCell="B3" sqref="B3"/>
    </sheetView>
  </sheetViews>
  <sheetFormatPr defaultColWidth="9.140625" defaultRowHeight="12" x14ac:dyDescent="0.2"/>
  <cols>
    <col min="1" max="1" width="2" style="7" customWidth="1"/>
    <col min="2" max="2" width="19.42578125" style="7" customWidth="1"/>
    <col min="3" max="4" width="11.42578125" style="7" bestFit="1" customWidth="1"/>
    <col min="5" max="5" width="10" style="7" bestFit="1" customWidth="1"/>
    <col min="6" max="6" width="11.5703125" style="7" bestFit="1" customWidth="1"/>
    <col min="7" max="7" width="10.28515625" style="7" customWidth="1"/>
    <col min="8" max="8" width="10.42578125" style="7" bestFit="1" customWidth="1"/>
    <col min="9" max="12" width="10.5703125" style="7" bestFit="1" customWidth="1"/>
    <col min="13" max="17" width="10" style="7" bestFit="1" customWidth="1"/>
    <col min="18" max="16384" width="9.140625" style="7"/>
  </cols>
  <sheetData>
    <row r="1" spans="1:17" ht="15.75" x14ac:dyDescent="0.2">
      <c r="A1" s="1"/>
      <c r="B1" s="2" t="s">
        <v>63</v>
      </c>
    </row>
    <row r="2" spans="1:17" ht="15.75" x14ac:dyDescent="0.2">
      <c r="A2" s="1"/>
      <c r="B2" s="2"/>
    </row>
    <row r="3" spans="1:17" x14ac:dyDescent="0.2">
      <c r="B3" s="353" t="s">
        <v>349</v>
      </c>
      <c r="C3" s="368" t="s">
        <v>157</v>
      </c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</row>
    <row r="4" spans="1:17" ht="24" x14ac:dyDescent="0.2">
      <c r="B4" s="27" t="s">
        <v>128</v>
      </c>
      <c r="C4" s="6" t="s">
        <v>241</v>
      </c>
      <c r="D4" s="6" t="s">
        <v>242</v>
      </c>
      <c r="E4" s="6" t="s">
        <v>243</v>
      </c>
      <c r="F4" s="6" t="s">
        <v>244</v>
      </c>
      <c r="G4" s="6" t="s">
        <v>245</v>
      </c>
      <c r="H4" s="57" t="s">
        <v>198</v>
      </c>
      <c r="I4" s="57" t="s">
        <v>199</v>
      </c>
      <c r="J4" s="57" t="s">
        <v>200</v>
      </c>
      <c r="K4" s="57" t="s">
        <v>221</v>
      </c>
      <c r="L4" s="57" t="s">
        <v>258</v>
      </c>
      <c r="M4" s="57" t="s">
        <v>257</v>
      </c>
      <c r="N4" s="57" t="s">
        <v>256</v>
      </c>
      <c r="O4" s="57" t="s">
        <v>255</v>
      </c>
      <c r="P4" s="57" t="s">
        <v>254</v>
      </c>
      <c r="Q4" s="57" t="s">
        <v>253</v>
      </c>
    </row>
    <row r="5" spans="1:17" x14ac:dyDescent="0.2">
      <c r="B5" s="7" t="s">
        <v>130</v>
      </c>
      <c r="C5" s="256" t="s">
        <v>51</v>
      </c>
      <c r="D5" s="256" t="s">
        <v>51</v>
      </c>
      <c r="E5" s="256" t="s">
        <v>51</v>
      </c>
      <c r="F5" s="256" t="s">
        <v>51</v>
      </c>
      <c r="G5" s="256" t="s">
        <v>51</v>
      </c>
      <c r="H5" s="254">
        <f>H13*'Automotive Revenue'!H5</f>
        <v>3806.19</v>
      </c>
      <c r="I5" s="254">
        <f>I13*'Automotive Revenue'!I5</f>
        <v>3806.19</v>
      </c>
      <c r="J5" s="254">
        <f>J13*'Automotive Revenue'!J5</f>
        <v>4229.0999999999995</v>
      </c>
      <c r="K5" s="254">
        <f>K13*'Automotive Revenue'!K5</f>
        <v>4652.01</v>
      </c>
      <c r="L5" s="254">
        <f>L13*'Automotive Revenue'!L5</f>
        <v>5074.92</v>
      </c>
      <c r="M5" s="254">
        <f>M13*'Automotive Revenue'!M5</f>
        <v>5497.83</v>
      </c>
      <c r="N5" s="254">
        <f>N13*'Automotive Revenue'!N5</f>
        <v>5920.74</v>
      </c>
      <c r="O5" s="254">
        <f>O13*'Automotive Revenue'!O5</f>
        <v>6343.65</v>
      </c>
      <c r="P5" s="254">
        <f>P13*'Automotive Revenue'!P5</f>
        <v>6766.5599999999995</v>
      </c>
      <c r="Q5" s="254">
        <f>Q13*'Automotive Revenue'!Q5</f>
        <v>7189.4699999999993</v>
      </c>
    </row>
    <row r="6" spans="1:17" x14ac:dyDescent="0.2">
      <c r="B6" s="7" t="s">
        <v>135</v>
      </c>
      <c r="C6" s="256" t="s">
        <v>51</v>
      </c>
      <c r="D6" s="256" t="s">
        <v>51</v>
      </c>
      <c r="E6" s="256" t="s">
        <v>51</v>
      </c>
      <c r="F6" s="256" t="s">
        <v>51</v>
      </c>
      <c r="G6" s="256" t="s">
        <v>51</v>
      </c>
      <c r="H6" s="254">
        <f>H14*'Automotive Revenue'!H6</f>
        <v>808.64</v>
      </c>
      <c r="I6" s="254">
        <f>I14*'Automotive Revenue'!I6</f>
        <v>404.32</v>
      </c>
      <c r="J6" s="254">
        <f>J14*'Automotive Revenue'!J6</f>
        <v>202.16</v>
      </c>
      <c r="K6" s="254">
        <f>K14*'Automotive Revenue'!K6</f>
        <v>0</v>
      </c>
      <c r="L6" s="254">
        <f>L14*'Automotive Revenue'!L6</f>
        <v>0</v>
      </c>
      <c r="M6" s="254">
        <f>M14*'Automotive Revenue'!M6</f>
        <v>0</v>
      </c>
      <c r="N6" s="254">
        <f>N14*'Automotive Revenue'!N6</f>
        <v>0</v>
      </c>
      <c r="O6" s="254">
        <f>O14*'Automotive Revenue'!O6</f>
        <v>0</v>
      </c>
      <c r="P6" s="254">
        <f>P14*'Automotive Revenue'!P6</f>
        <v>0</v>
      </c>
      <c r="Q6" s="254">
        <f>Q14*'Automotive Revenue'!Q6</f>
        <v>0</v>
      </c>
    </row>
    <row r="7" spans="1:17" x14ac:dyDescent="0.2">
      <c r="B7" s="7" t="s">
        <v>131</v>
      </c>
      <c r="C7" s="256" t="s">
        <v>51</v>
      </c>
      <c r="D7" s="256" t="s">
        <v>51</v>
      </c>
      <c r="E7" s="256" t="s">
        <v>51</v>
      </c>
      <c r="F7" s="256" t="s">
        <v>51</v>
      </c>
      <c r="G7" s="256" t="s">
        <v>51</v>
      </c>
      <c r="H7" s="254">
        <f>H15*'Automotive Revenue'!H7</f>
        <v>11997.6</v>
      </c>
      <c r="I7" s="254">
        <f>I15*'Automotive Revenue'!I7</f>
        <v>13497.300000000001</v>
      </c>
      <c r="J7" s="254">
        <f>J15*'Automotive Revenue'!J7</f>
        <v>14997</v>
      </c>
      <c r="K7" s="254">
        <f>K15*'Automotive Revenue'!K7</f>
        <v>16496.7</v>
      </c>
      <c r="L7" s="254">
        <f>L15*'Automotive Revenue'!L7</f>
        <v>18496.3</v>
      </c>
      <c r="M7" s="254">
        <f>M15*'Automotive Revenue'!M7</f>
        <v>19996</v>
      </c>
      <c r="N7" s="254">
        <f>N15*'Automotive Revenue'!N7</f>
        <v>21495.7</v>
      </c>
      <c r="O7" s="254">
        <f>O15*'Automotive Revenue'!O7</f>
        <v>22995.4</v>
      </c>
      <c r="P7" s="254">
        <f>P15*'Automotive Revenue'!P7</f>
        <v>24495.100000000002</v>
      </c>
      <c r="Q7" s="254">
        <f>Q15*'Automotive Revenue'!Q7</f>
        <v>25994.800000000003</v>
      </c>
    </row>
    <row r="8" spans="1:17" x14ac:dyDescent="0.2">
      <c r="B8" s="7" t="s">
        <v>132</v>
      </c>
      <c r="C8" s="256">
        <v>0</v>
      </c>
      <c r="D8" s="256">
        <v>0</v>
      </c>
      <c r="E8" s="256" t="s">
        <v>51</v>
      </c>
      <c r="F8" s="256" t="s">
        <v>51</v>
      </c>
      <c r="G8" s="256" t="s">
        <v>51</v>
      </c>
      <c r="H8" s="254">
        <f>H16*'Automotive Revenue'!H8</f>
        <v>845.95049999999992</v>
      </c>
      <c r="I8" s="254">
        <f>I16*'Automotive Revenue'!I8</f>
        <v>1353.5208</v>
      </c>
      <c r="J8" s="254">
        <f>J16*'Automotive Revenue'!J8</f>
        <v>2030.2811999999997</v>
      </c>
      <c r="K8" s="254">
        <f>K16*'Automotive Revenue'!K8</f>
        <v>2819.835</v>
      </c>
      <c r="L8" s="254">
        <f>L16*'Automotive Revenue'!L8</f>
        <v>3383.8019999999997</v>
      </c>
      <c r="M8" s="254">
        <f>M16*'Automotive Revenue'!M8</f>
        <v>3947.7689999999993</v>
      </c>
      <c r="N8" s="254">
        <f>N16*'Automotive Revenue'!N8</f>
        <v>4511.7359999999999</v>
      </c>
      <c r="O8" s="254">
        <f>O16*'Automotive Revenue'!O8</f>
        <v>5075.7030000000004</v>
      </c>
      <c r="P8" s="254">
        <f>P16*'Automotive Revenue'!P8</f>
        <v>5639.67</v>
      </c>
      <c r="Q8" s="254">
        <f>Q16*'Automotive Revenue'!Q8</f>
        <v>6203.6369999999997</v>
      </c>
    </row>
    <row r="9" spans="1:17" x14ac:dyDescent="0.2">
      <c r="B9" s="7" t="s">
        <v>129</v>
      </c>
      <c r="C9" s="256">
        <v>0</v>
      </c>
      <c r="D9" s="256" t="s">
        <v>51</v>
      </c>
      <c r="E9" s="256" t="s">
        <v>51</v>
      </c>
      <c r="F9" s="256" t="s">
        <v>51</v>
      </c>
      <c r="G9" s="256" t="s">
        <v>51</v>
      </c>
      <c r="H9" s="254">
        <f>H17*'Automotive Revenue'!H9</f>
        <v>412.5</v>
      </c>
      <c r="I9" s="254">
        <f>I17*'Automotive Revenue'!I9</f>
        <v>825</v>
      </c>
      <c r="J9" s="254">
        <f>J17*'Automotive Revenue'!J9</f>
        <v>1443.75</v>
      </c>
      <c r="K9" s="254">
        <f>K17*'Automotive Revenue'!K9</f>
        <v>2062.5</v>
      </c>
      <c r="L9" s="254">
        <f>L17*'Automotive Revenue'!L9</f>
        <v>3093.75</v>
      </c>
      <c r="M9" s="254">
        <f>M17*'Automotive Revenue'!M9</f>
        <v>4125</v>
      </c>
      <c r="N9" s="254">
        <f>N17*'Automotive Revenue'!N9</f>
        <v>5156.25</v>
      </c>
      <c r="O9" s="254">
        <f>O17*'Automotive Revenue'!O9</f>
        <v>6187.5</v>
      </c>
      <c r="P9" s="254">
        <f>P17*'Automotive Revenue'!P9</f>
        <v>7218.75</v>
      </c>
      <c r="Q9" s="254">
        <f>Q17*'Automotive Revenue'!Q9</f>
        <v>8250</v>
      </c>
    </row>
    <row r="10" spans="1:17" ht="12.75" thickBot="1" x14ac:dyDescent="0.25">
      <c r="B10" s="65" t="s">
        <v>55</v>
      </c>
      <c r="C10" s="242">
        <f>('P&amp;L Input'!C4+'P&amp;L Input'!C8)</f>
        <v>13839</v>
      </c>
      <c r="D10" s="242">
        <f>('P&amp;L Input'!D4+'P&amp;L Input'!D8)</f>
        <v>20354</v>
      </c>
      <c r="E10" s="242">
        <f>('P&amp;L Input'!E4+'P&amp;L Input'!E8)</f>
        <v>16030</v>
      </c>
      <c r="F10" s="242">
        <f>('P&amp;L Input'!F4+'P&amp;L Input'!F8)</f>
        <v>14197</v>
      </c>
      <c r="G10" s="242">
        <f>('P&amp;L Input'!G4+'P&amp;L Input'!G8)</f>
        <v>12361</v>
      </c>
      <c r="H10" s="242">
        <f t="shared" ref="H10:Q10" si="0">SUM(H5:H9)</f>
        <v>17870.880499999999</v>
      </c>
      <c r="I10" s="242">
        <f t="shared" si="0"/>
        <v>19886.3308</v>
      </c>
      <c r="J10" s="242">
        <f t="shared" si="0"/>
        <v>22902.2912</v>
      </c>
      <c r="K10" s="242">
        <f t="shared" si="0"/>
        <v>26031.044999999998</v>
      </c>
      <c r="L10" s="242">
        <f t="shared" si="0"/>
        <v>30048.772000000001</v>
      </c>
      <c r="M10" s="242">
        <f t="shared" si="0"/>
        <v>33566.599000000002</v>
      </c>
      <c r="N10" s="242">
        <f t="shared" si="0"/>
        <v>37084.426000000007</v>
      </c>
      <c r="O10" s="242">
        <f t="shared" si="0"/>
        <v>40602.253000000004</v>
      </c>
      <c r="P10" s="242">
        <f t="shared" si="0"/>
        <v>44120.08</v>
      </c>
      <c r="Q10" s="242">
        <f t="shared" si="0"/>
        <v>47637.907000000007</v>
      </c>
    </row>
    <row r="11" spans="1:17" ht="3" customHeight="1" x14ac:dyDescent="0.2"/>
    <row r="12" spans="1:17" x14ac:dyDescent="0.2">
      <c r="B12" s="51" t="s">
        <v>61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</row>
    <row r="13" spans="1:17" x14ac:dyDescent="0.2">
      <c r="B13" s="52" t="s">
        <v>130</v>
      </c>
      <c r="C13" s="55"/>
      <c r="D13" s="55"/>
      <c r="E13" s="55"/>
      <c r="F13" s="55"/>
      <c r="G13" s="136">
        <f>CHOOSE(Drivers!$C$3,'Automotive Gross Profit'!G20,'Automotive Gross Profit'!G27,'Automotive Gross Profit'!G34)</f>
        <v>0.18</v>
      </c>
      <c r="H13" s="136">
        <f>CHOOSE(Drivers!$C$3,'Automotive Gross Profit'!H20,'Automotive Gross Profit'!H27,'Automotive Gross Profit'!H34)</f>
        <v>0.18</v>
      </c>
      <c r="I13" s="136">
        <f>CHOOSE(Drivers!$C$3,'Automotive Gross Profit'!I20,'Automotive Gross Profit'!I27,'Automotive Gross Profit'!I34)</f>
        <v>0.18</v>
      </c>
      <c r="J13" s="136">
        <f>CHOOSE(Drivers!$C$3,'Automotive Gross Profit'!J20,'Automotive Gross Profit'!J27,'Automotive Gross Profit'!J34)</f>
        <v>0.18</v>
      </c>
      <c r="K13" s="136">
        <f>CHOOSE(Drivers!$C$3,'Automotive Gross Profit'!K20,'Automotive Gross Profit'!K27,'Automotive Gross Profit'!K34)</f>
        <v>0.18</v>
      </c>
      <c r="L13" s="136">
        <f>CHOOSE(Drivers!$C$3,'Automotive Gross Profit'!L20,'Automotive Gross Profit'!L27,'Automotive Gross Profit'!L34)</f>
        <v>0.18</v>
      </c>
      <c r="M13" s="136">
        <f>CHOOSE(Drivers!$C$3,'Automotive Gross Profit'!M20,'Automotive Gross Profit'!M27,'Automotive Gross Profit'!M34)</f>
        <v>0.18</v>
      </c>
      <c r="N13" s="136">
        <f>CHOOSE(Drivers!$C$3,'Automotive Gross Profit'!N20,'Automotive Gross Profit'!N27,'Automotive Gross Profit'!N34)</f>
        <v>0.18</v>
      </c>
      <c r="O13" s="136">
        <f>CHOOSE(Drivers!$C$3,'Automotive Gross Profit'!O20,'Automotive Gross Profit'!O27,'Automotive Gross Profit'!O34)</f>
        <v>0.18</v>
      </c>
      <c r="P13" s="136">
        <f>CHOOSE(Drivers!$C$3,'Automotive Gross Profit'!P20,'Automotive Gross Profit'!P27,'Automotive Gross Profit'!P34)</f>
        <v>0.18</v>
      </c>
      <c r="Q13" s="136">
        <f>CHOOSE(Drivers!$C$3,'Automotive Gross Profit'!Q20,'Automotive Gross Profit'!Q27,'Automotive Gross Profit'!Q34)</f>
        <v>0.18</v>
      </c>
    </row>
    <row r="14" spans="1:17" x14ac:dyDescent="0.2">
      <c r="B14" s="52" t="s">
        <v>135</v>
      </c>
      <c r="C14" s="55"/>
      <c r="D14" s="47"/>
      <c r="E14" s="47"/>
      <c r="F14" s="47"/>
      <c r="G14" s="136">
        <f>CHOOSE(Drivers!$C$3,'Automotive Gross Profit'!G21,'Automotive Gross Profit'!G28,'Automotive Gross Profit'!G35)</f>
        <v>0.19</v>
      </c>
      <c r="H14" s="136">
        <f>CHOOSE(Drivers!$C$3,'Automotive Gross Profit'!H21,'Automotive Gross Profit'!H28,'Automotive Gross Profit'!H35)</f>
        <v>0.19</v>
      </c>
      <c r="I14" s="136">
        <f>CHOOSE(Drivers!$C$3,'Automotive Gross Profit'!I21,'Automotive Gross Profit'!I28,'Automotive Gross Profit'!I35)</f>
        <v>0.19</v>
      </c>
      <c r="J14" s="136">
        <f>CHOOSE(Drivers!$C$3,'Automotive Gross Profit'!J21,'Automotive Gross Profit'!J28,'Automotive Gross Profit'!J35)</f>
        <v>0.19</v>
      </c>
      <c r="K14" s="136">
        <f>CHOOSE(Drivers!$C$3,'Automotive Gross Profit'!K21,'Automotive Gross Profit'!K28,'Automotive Gross Profit'!K35)</f>
        <v>0.19</v>
      </c>
      <c r="L14" s="136">
        <f>CHOOSE(Drivers!$C$3,'Automotive Gross Profit'!L21,'Automotive Gross Profit'!L28,'Automotive Gross Profit'!L35)</f>
        <v>0.19</v>
      </c>
      <c r="M14" s="136">
        <f>CHOOSE(Drivers!$C$3,'Automotive Gross Profit'!M21,'Automotive Gross Profit'!M28,'Automotive Gross Profit'!M35)</f>
        <v>0.19</v>
      </c>
      <c r="N14" s="136">
        <f>CHOOSE(Drivers!$C$3,'Automotive Gross Profit'!N21,'Automotive Gross Profit'!N28,'Automotive Gross Profit'!N35)</f>
        <v>0.19</v>
      </c>
      <c r="O14" s="136">
        <f>CHOOSE(Drivers!$C$3,'Automotive Gross Profit'!O21,'Automotive Gross Profit'!O28,'Automotive Gross Profit'!O35)</f>
        <v>0.19</v>
      </c>
      <c r="P14" s="136">
        <f>CHOOSE(Drivers!$C$3,'Automotive Gross Profit'!P21,'Automotive Gross Profit'!P28,'Automotive Gross Profit'!P35)</f>
        <v>0.19</v>
      </c>
      <c r="Q14" s="136">
        <f>CHOOSE(Drivers!$C$3,'Automotive Gross Profit'!Q21,'Automotive Gross Profit'!Q28,'Automotive Gross Profit'!Q35)</f>
        <v>0.19</v>
      </c>
    </row>
    <row r="15" spans="1:17" x14ac:dyDescent="0.2">
      <c r="B15" s="52" t="s">
        <v>131</v>
      </c>
      <c r="C15" s="55"/>
      <c r="D15" s="55"/>
      <c r="E15" s="55"/>
      <c r="F15" s="55"/>
      <c r="G15" s="136">
        <f>CHOOSE(Drivers!$C$3,'Automotive Gross Profit'!G22,'Automotive Gross Profit'!G29,'Automotive Gross Profit'!G36)</f>
        <v>0.2</v>
      </c>
      <c r="H15" s="136">
        <f>CHOOSE(Drivers!$C$3,'Automotive Gross Profit'!H22,'Automotive Gross Profit'!H29,'Automotive Gross Profit'!H36)</f>
        <v>0.2</v>
      </c>
      <c r="I15" s="136">
        <f>CHOOSE(Drivers!$C$3,'Automotive Gross Profit'!I22,'Automotive Gross Profit'!I29,'Automotive Gross Profit'!I36)</f>
        <v>0.2</v>
      </c>
      <c r="J15" s="136">
        <f>CHOOSE(Drivers!$C$3,'Automotive Gross Profit'!J22,'Automotive Gross Profit'!J29,'Automotive Gross Profit'!J36)</f>
        <v>0.2</v>
      </c>
      <c r="K15" s="136">
        <f>CHOOSE(Drivers!$C$3,'Automotive Gross Profit'!K22,'Automotive Gross Profit'!K29,'Automotive Gross Profit'!K36)</f>
        <v>0.2</v>
      </c>
      <c r="L15" s="136">
        <f>CHOOSE(Drivers!$C$3,'Automotive Gross Profit'!L22,'Automotive Gross Profit'!L29,'Automotive Gross Profit'!L36)</f>
        <v>0.2</v>
      </c>
      <c r="M15" s="136">
        <f>CHOOSE(Drivers!$C$3,'Automotive Gross Profit'!M22,'Automotive Gross Profit'!M29,'Automotive Gross Profit'!M36)</f>
        <v>0.2</v>
      </c>
      <c r="N15" s="136">
        <f>CHOOSE(Drivers!$C$3,'Automotive Gross Profit'!N22,'Automotive Gross Profit'!N29,'Automotive Gross Profit'!N36)</f>
        <v>0.2</v>
      </c>
      <c r="O15" s="136">
        <f>CHOOSE(Drivers!$C$3,'Automotive Gross Profit'!O22,'Automotive Gross Profit'!O29,'Automotive Gross Profit'!O36)</f>
        <v>0.2</v>
      </c>
      <c r="P15" s="136">
        <f>CHOOSE(Drivers!$C$3,'Automotive Gross Profit'!P22,'Automotive Gross Profit'!P29,'Automotive Gross Profit'!P36)</f>
        <v>0.2</v>
      </c>
      <c r="Q15" s="136">
        <f>CHOOSE(Drivers!$C$3,'Automotive Gross Profit'!Q22,'Automotive Gross Profit'!Q29,'Automotive Gross Profit'!Q36)</f>
        <v>0.2</v>
      </c>
    </row>
    <row r="16" spans="1:17" x14ac:dyDescent="0.2">
      <c r="B16" s="52" t="s">
        <v>132</v>
      </c>
      <c r="C16" s="55"/>
      <c r="D16" s="55"/>
      <c r="E16" s="55"/>
      <c r="F16" s="55"/>
      <c r="G16" s="136">
        <f>CHOOSE(Drivers!$C$3,'Automotive Gross Profit'!G23,'Automotive Gross Profit'!G30,'Automotive Gross Profit'!G37)</f>
        <v>0.12</v>
      </c>
      <c r="H16" s="136">
        <f>CHOOSE(Drivers!$C$3,'Automotive Gross Profit'!H23,'Automotive Gross Profit'!H30,'Automotive Gross Profit'!H37)</f>
        <v>0.12</v>
      </c>
      <c r="I16" s="136">
        <f>CHOOSE(Drivers!$C$3,'Automotive Gross Profit'!I23,'Automotive Gross Profit'!I30,'Automotive Gross Profit'!I37)</f>
        <v>0.12</v>
      </c>
      <c r="J16" s="136">
        <f>CHOOSE(Drivers!$C$3,'Automotive Gross Profit'!J23,'Automotive Gross Profit'!J30,'Automotive Gross Profit'!J37)</f>
        <v>0.12</v>
      </c>
      <c r="K16" s="136">
        <f>CHOOSE(Drivers!$C$3,'Automotive Gross Profit'!K23,'Automotive Gross Profit'!K30,'Automotive Gross Profit'!K37)</f>
        <v>0.12</v>
      </c>
      <c r="L16" s="136">
        <f>CHOOSE(Drivers!$C$3,'Automotive Gross Profit'!L23,'Automotive Gross Profit'!L30,'Automotive Gross Profit'!L37)</f>
        <v>0.12</v>
      </c>
      <c r="M16" s="136">
        <f>CHOOSE(Drivers!$C$3,'Automotive Gross Profit'!M23,'Automotive Gross Profit'!M30,'Automotive Gross Profit'!M37)</f>
        <v>0.12</v>
      </c>
      <c r="N16" s="136">
        <f>CHOOSE(Drivers!$C$3,'Automotive Gross Profit'!N23,'Automotive Gross Profit'!N30,'Automotive Gross Profit'!N37)</f>
        <v>0.12</v>
      </c>
      <c r="O16" s="136">
        <f>CHOOSE(Drivers!$C$3,'Automotive Gross Profit'!O23,'Automotive Gross Profit'!O30,'Automotive Gross Profit'!O37)</f>
        <v>0.12</v>
      </c>
      <c r="P16" s="136">
        <f>CHOOSE(Drivers!$C$3,'Automotive Gross Profit'!P23,'Automotive Gross Profit'!P30,'Automotive Gross Profit'!P37)</f>
        <v>0.12</v>
      </c>
      <c r="Q16" s="136">
        <f>CHOOSE(Drivers!$C$3,'Automotive Gross Profit'!Q23,'Automotive Gross Profit'!Q30,'Automotive Gross Profit'!Q37)</f>
        <v>0.12</v>
      </c>
    </row>
    <row r="17" spans="2:17" x14ac:dyDescent="0.2">
      <c r="B17" s="52" t="s">
        <v>129</v>
      </c>
      <c r="C17" s="55"/>
      <c r="D17" s="55"/>
      <c r="E17" s="55"/>
      <c r="F17" s="55"/>
      <c r="G17" s="136">
        <f>CHOOSE(Drivers!$C$3,'Automotive Gross Profit'!G24,'Automotive Gross Profit'!G31,'Automotive Gross Profit'!G38)</f>
        <v>0.15</v>
      </c>
      <c r="H17" s="136">
        <f>CHOOSE(Drivers!$C$3,'Automotive Gross Profit'!H24,'Automotive Gross Profit'!H31,'Automotive Gross Profit'!H38)</f>
        <v>0.15</v>
      </c>
      <c r="I17" s="136">
        <f>CHOOSE(Drivers!$C$3,'Automotive Gross Profit'!I24,'Automotive Gross Profit'!I31,'Automotive Gross Profit'!I38)</f>
        <v>0.15</v>
      </c>
      <c r="J17" s="136">
        <f>CHOOSE(Drivers!$C$3,'Automotive Gross Profit'!J24,'Automotive Gross Profit'!J31,'Automotive Gross Profit'!J38)</f>
        <v>0.15</v>
      </c>
      <c r="K17" s="136">
        <f>CHOOSE(Drivers!$C$3,'Automotive Gross Profit'!K24,'Automotive Gross Profit'!K31,'Automotive Gross Profit'!K38)</f>
        <v>0.15</v>
      </c>
      <c r="L17" s="136">
        <f>CHOOSE(Drivers!$C$3,'Automotive Gross Profit'!L24,'Automotive Gross Profit'!L31,'Automotive Gross Profit'!L38)</f>
        <v>0.15</v>
      </c>
      <c r="M17" s="136">
        <f>CHOOSE(Drivers!$C$3,'Automotive Gross Profit'!M24,'Automotive Gross Profit'!M31,'Automotive Gross Profit'!M38)</f>
        <v>0.15</v>
      </c>
      <c r="N17" s="136">
        <f>CHOOSE(Drivers!$C$3,'Automotive Gross Profit'!N24,'Automotive Gross Profit'!N31,'Automotive Gross Profit'!N38)</f>
        <v>0.15</v>
      </c>
      <c r="O17" s="136">
        <f>CHOOSE(Drivers!$C$3,'Automotive Gross Profit'!O24,'Automotive Gross Profit'!O31,'Automotive Gross Profit'!O38)</f>
        <v>0.15</v>
      </c>
      <c r="P17" s="136">
        <f>CHOOSE(Drivers!$C$3,'Automotive Gross Profit'!P24,'Automotive Gross Profit'!P31,'Automotive Gross Profit'!P38)</f>
        <v>0.15</v>
      </c>
      <c r="Q17" s="136">
        <f>CHOOSE(Drivers!$C$3,'Automotive Gross Profit'!Q24,'Automotive Gross Profit'!Q31,'Automotive Gross Profit'!Q38)</f>
        <v>0.15</v>
      </c>
    </row>
    <row r="18" spans="2:17" x14ac:dyDescent="0.2">
      <c r="B18" s="52"/>
      <c r="C18" s="55"/>
      <c r="D18" s="55"/>
      <c r="E18" s="55"/>
      <c r="F18" s="55"/>
      <c r="G18" s="137"/>
      <c r="H18" s="137"/>
      <c r="I18" s="138"/>
      <c r="J18" s="138"/>
      <c r="K18" s="138"/>
      <c r="L18" s="138"/>
      <c r="M18" s="138"/>
      <c r="N18" s="138"/>
      <c r="O18" s="138"/>
      <c r="P18" s="138"/>
      <c r="Q18" s="138"/>
    </row>
    <row r="19" spans="2:17" x14ac:dyDescent="0.2">
      <c r="B19" s="51" t="s">
        <v>57</v>
      </c>
      <c r="C19" s="52"/>
      <c r="D19" s="52"/>
      <c r="E19" s="52"/>
      <c r="F19" s="52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</row>
    <row r="20" spans="2:17" x14ac:dyDescent="0.2">
      <c r="B20" s="52" t="s">
        <v>130</v>
      </c>
      <c r="C20" s="55"/>
      <c r="D20" s="55"/>
      <c r="E20" s="55"/>
      <c r="F20" s="55"/>
      <c r="G20" s="136">
        <f>G27+1.5%</f>
        <v>0.19500000000000001</v>
      </c>
      <c r="H20" s="136">
        <f t="shared" ref="H20:Q20" si="1">H27+1.5%</f>
        <v>0.19500000000000001</v>
      </c>
      <c r="I20" s="136">
        <f t="shared" si="1"/>
        <v>0.19500000000000001</v>
      </c>
      <c r="J20" s="136">
        <f t="shared" si="1"/>
        <v>0.19500000000000001</v>
      </c>
      <c r="K20" s="136">
        <f t="shared" si="1"/>
        <v>0.19500000000000001</v>
      </c>
      <c r="L20" s="136">
        <f t="shared" si="1"/>
        <v>0.19500000000000001</v>
      </c>
      <c r="M20" s="136">
        <f t="shared" si="1"/>
        <v>0.19500000000000001</v>
      </c>
      <c r="N20" s="136">
        <f t="shared" si="1"/>
        <v>0.19500000000000001</v>
      </c>
      <c r="O20" s="136">
        <f t="shared" si="1"/>
        <v>0.19500000000000001</v>
      </c>
      <c r="P20" s="136">
        <f t="shared" si="1"/>
        <v>0.19500000000000001</v>
      </c>
      <c r="Q20" s="136">
        <f t="shared" si="1"/>
        <v>0.19500000000000001</v>
      </c>
    </row>
    <row r="21" spans="2:17" x14ac:dyDescent="0.2">
      <c r="B21" s="52" t="s">
        <v>135</v>
      </c>
      <c r="C21" s="55"/>
      <c r="D21" s="47"/>
      <c r="E21" s="47"/>
      <c r="F21" s="47"/>
      <c r="G21" s="136">
        <f t="shared" ref="G21:Q21" si="2">G28+1.5%</f>
        <v>0.20500000000000002</v>
      </c>
      <c r="H21" s="136">
        <f t="shared" si="2"/>
        <v>0.20500000000000002</v>
      </c>
      <c r="I21" s="136">
        <f t="shared" si="2"/>
        <v>0.20500000000000002</v>
      </c>
      <c r="J21" s="136">
        <f t="shared" si="2"/>
        <v>0.20500000000000002</v>
      </c>
      <c r="K21" s="136">
        <f t="shared" si="2"/>
        <v>0.20500000000000002</v>
      </c>
      <c r="L21" s="136">
        <f t="shared" si="2"/>
        <v>0.20500000000000002</v>
      </c>
      <c r="M21" s="136">
        <f t="shared" si="2"/>
        <v>0.20500000000000002</v>
      </c>
      <c r="N21" s="136">
        <f t="shared" si="2"/>
        <v>0.20500000000000002</v>
      </c>
      <c r="O21" s="136">
        <f t="shared" si="2"/>
        <v>0.20500000000000002</v>
      </c>
      <c r="P21" s="136">
        <f t="shared" si="2"/>
        <v>0.20500000000000002</v>
      </c>
      <c r="Q21" s="136">
        <f t="shared" si="2"/>
        <v>0.20500000000000002</v>
      </c>
    </row>
    <row r="22" spans="2:17" x14ac:dyDescent="0.2">
      <c r="B22" s="52" t="s">
        <v>131</v>
      </c>
      <c r="C22" s="55"/>
      <c r="D22" s="55"/>
      <c r="E22" s="55"/>
      <c r="F22" s="55"/>
      <c r="G22" s="136">
        <f t="shared" ref="G22:Q22" si="3">G29+1.5%</f>
        <v>0.21500000000000002</v>
      </c>
      <c r="H22" s="136">
        <f t="shared" si="3"/>
        <v>0.21500000000000002</v>
      </c>
      <c r="I22" s="136">
        <f t="shared" si="3"/>
        <v>0.21500000000000002</v>
      </c>
      <c r="J22" s="136">
        <f t="shared" si="3"/>
        <v>0.21500000000000002</v>
      </c>
      <c r="K22" s="136">
        <f t="shared" si="3"/>
        <v>0.21500000000000002</v>
      </c>
      <c r="L22" s="136">
        <f t="shared" si="3"/>
        <v>0.21500000000000002</v>
      </c>
      <c r="M22" s="136">
        <f t="shared" si="3"/>
        <v>0.21500000000000002</v>
      </c>
      <c r="N22" s="136">
        <f t="shared" si="3"/>
        <v>0.21500000000000002</v>
      </c>
      <c r="O22" s="136">
        <f t="shared" si="3"/>
        <v>0.21500000000000002</v>
      </c>
      <c r="P22" s="136">
        <f t="shared" si="3"/>
        <v>0.21500000000000002</v>
      </c>
      <c r="Q22" s="136">
        <f t="shared" si="3"/>
        <v>0.21500000000000002</v>
      </c>
    </row>
    <row r="23" spans="2:17" x14ac:dyDescent="0.2">
      <c r="B23" s="52" t="s">
        <v>132</v>
      </c>
      <c r="C23" s="55"/>
      <c r="D23" s="55"/>
      <c r="E23" s="55"/>
      <c r="F23" s="55"/>
      <c r="G23" s="136">
        <f t="shared" ref="G23:Q23" si="4">G30+1.5%</f>
        <v>0.13500000000000001</v>
      </c>
      <c r="H23" s="136">
        <f t="shared" si="4"/>
        <v>0.13500000000000001</v>
      </c>
      <c r="I23" s="136">
        <f t="shared" si="4"/>
        <v>0.13500000000000001</v>
      </c>
      <c r="J23" s="136">
        <f t="shared" si="4"/>
        <v>0.13500000000000001</v>
      </c>
      <c r="K23" s="136">
        <f t="shared" si="4"/>
        <v>0.13500000000000001</v>
      </c>
      <c r="L23" s="136">
        <f t="shared" si="4"/>
        <v>0.13500000000000001</v>
      </c>
      <c r="M23" s="136">
        <f t="shared" si="4"/>
        <v>0.13500000000000001</v>
      </c>
      <c r="N23" s="136">
        <f t="shared" si="4"/>
        <v>0.13500000000000001</v>
      </c>
      <c r="O23" s="136">
        <f t="shared" si="4"/>
        <v>0.13500000000000001</v>
      </c>
      <c r="P23" s="136">
        <f t="shared" si="4"/>
        <v>0.13500000000000001</v>
      </c>
      <c r="Q23" s="136">
        <f t="shared" si="4"/>
        <v>0.13500000000000001</v>
      </c>
    </row>
    <row r="24" spans="2:17" x14ac:dyDescent="0.2">
      <c r="B24" s="52" t="s">
        <v>129</v>
      </c>
      <c r="C24" s="55"/>
      <c r="D24" s="55"/>
      <c r="E24" s="55"/>
      <c r="F24" s="55"/>
      <c r="G24" s="136">
        <f t="shared" ref="G24:Q24" si="5">G31+1.5%</f>
        <v>0.16499999999999998</v>
      </c>
      <c r="H24" s="136">
        <f t="shared" si="5"/>
        <v>0.16499999999999998</v>
      </c>
      <c r="I24" s="136">
        <f t="shared" si="5"/>
        <v>0.16499999999999998</v>
      </c>
      <c r="J24" s="136">
        <f t="shared" si="5"/>
        <v>0.16499999999999998</v>
      </c>
      <c r="K24" s="136">
        <f t="shared" si="5"/>
        <v>0.16499999999999998</v>
      </c>
      <c r="L24" s="136">
        <f t="shared" si="5"/>
        <v>0.16499999999999998</v>
      </c>
      <c r="M24" s="136">
        <f t="shared" si="5"/>
        <v>0.16499999999999998</v>
      </c>
      <c r="N24" s="136">
        <f t="shared" si="5"/>
        <v>0.16499999999999998</v>
      </c>
      <c r="O24" s="136">
        <f t="shared" si="5"/>
        <v>0.16499999999999998</v>
      </c>
      <c r="P24" s="136">
        <f t="shared" si="5"/>
        <v>0.16499999999999998</v>
      </c>
      <c r="Q24" s="136">
        <f t="shared" si="5"/>
        <v>0.16499999999999998</v>
      </c>
    </row>
    <row r="25" spans="2:17" x14ac:dyDescent="0.2">
      <c r="B25" s="52"/>
      <c r="C25" s="55"/>
      <c r="D25" s="55"/>
      <c r="E25" s="55"/>
      <c r="F25" s="55"/>
      <c r="G25" s="137"/>
      <c r="H25" s="137"/>
      <c r="I25" s="138"/>
      <c r="J25" s="138"/>
      <c r="K25" s="138"/>
      <c r="L25" s="138"/>
      <c r="M25" s="138"/>
      <c r="N25" s="138"/>
      <c r="O25" s="138"/>
      <c r="P25" s="138"/>
      <c r="Q25" s="138"/>
    </row>
    <row r="26" spans="2:17" x14ac:dyDescent="0.2">
      <c r="B26" s="51" t="s">
        <v>58</v>
      </c>
      <c r="C26" s="52"/>
      <c r="D26" s="52"/>
      <c r="E26" s="52"/>
      <c r="F26" s="52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</row>
    <row r="27" spans="2:17" x14ac:dyDescent="0.2">
      <c r="B27" s="52" t="s">
        <v>130</v>
      </c>
      <c r="C27" s="55"/>
      <c r="D27" s="55"/>
      <c r="E27" s="55"/>
      <c r="F27" s="55"/>
      <c r="G27" s="136">
        <f>'Automotive Gross Margin'!$H6</f>
        <v>0.18</v>
      </c>
      <c r="H27" s="136">
        <f>'Automotive Gross Margin'!$H6</f>
        <v>0.18</v>
      </c>
      <c r="I27" s="136">
        <f>'Automotive Gross Margin'!$H6</f>
        <v>0.18</v>
      </c>
      <c r="J27" s="136">
        <f>'Automotive Gross Margin'!$H6</f>
        <v>0.18</v>
      </c>
      <c r="K27" s="136">
        <f>'Automotive Gross Margin'!$H6</f>
        <v>0.18</v>
      </c>
      <c r="L27" s="136">
        <f>'Automotive Gross Margin'!$H6</f>
        <v>0.18</v>
      </c>
      <c r="M27" s="136">
        <f>'Automotive Gross Margin'!$H6</f>
        <v>0.18</v>
      </c>
      <c r="N27" s="136">
        <f>'Automotive Gross Margin'!$H6</f>
        <v>0.18</v>
      </c>
      <c r="O27" s="136">
        <f>'Automotive Gross Margin'!$H6</f>
        <v>0.18</v>
      </c>
      <c r="P27" s="136">
        <f>'Automotive Gross Margin'!$H6</f>
        <v>0.18</v>
      </c>
      <c r="Q27" s="136">
        <f>'Automotive Gross Margin'!$H6</f>
        <v>0.18</v>
      </c>
    </row>
    <row r="28" spans="2:17" x14ac:dyDescent="0.2">
      <c r="B28" s="52" t="s">
        <v>135</v>
      </c>
      <c r="C28" s="55"/>
      <c r="D28" s="47"/>
      <c r="E28" s="47"/>
      <c r="F28" s="47"/>
      <c r="G28" s="136">
        <f>'Automotive Gross Margin'!$H7</f>
        <v>0.19</v>
      </c>
      <c r="H28" s="136">
        <f>'Automotive Gross Margin'!$H7</f>
        <v>0.19</v>
      </c>
      <c r="I28" s="136">
        <f>'Automotive Gross Margin'!$H7</f>
        <v>0.19</v>
      </c>
      <c r="J28" s="136">
        <f>'Automotive Gross Margin'!$H7</f>
        <v>0.19</v>
      </c>
      <c r="K28" s="136">
        <f>'Automotive Gross Margin'!$H7</f>
        <v>0.19</v>
      </c>
      <c r="L28" s="136">
        <f>'Automotive Gross Margin'!$H7</f>
        <v>0.19</v>
      </c>
      <c r="M28" s="136">
        <f>'Automotive Gross Margin'!$H7</f>
        <v>0.19</v>
      </c>
      <c r="N28" s="136">
        <f>'Automotive Gross Margin'!$H7</f>
        <v>0.19</v>
      </c>
      <c r="O28" s="136">
        <f>'Automotive Gross Margin'!$H7</f>
        <v>0.19</v>
      </c>
      <c r="P28" s="136">
        <f>'Automotive Gross Margin'!$H7</f>
        <v>0.19</v>
      </c>
      <c r="Q28" s="136">
        <f>'Automotive Gross Margin'!$H7</f>
        <v>0.19</v>
      </c>
    </row>
    <row r="29" spans="2:17" x14ac:dyDescent="0.2">
      <c r="B29" s="52" t="s">
        <v>131</v>
      </c>
      <c r="C29" s="55"/>
      <c r="D29" s="55"/>
      <c r="E29" s="55"/>
      <c r="F29" s="55"/>
      <c r="G29" s="136">
        <f>'Automotive Gross Margin'!$H8</f>
        <v>0.2</v>
      </c>
      <c r="H29" s="136">
        <f>'Automotive Gross Margin'!$H8</f>
        <v>0.2</v>
      </c>
      <c r="I29" s="136">
        <f>'Automotive Gross Margin'!$H8</f>
        <v>0.2</v>
      </c>
      <c r="J29" s="136">
        <f>'Automotive Gross Margin'!$H8</f>
        <v>0.2</v>
      </c>
      <c r="K29" s="136">
        <f>'Automotive Gross Margin'!$H8</f>
        <v>0.2</v>
      </c>
      <c r="L29" s="136">
        <f>'Automotive Gross Margin'!$H8</f>
        <v>0.2</v>
      </c>
      <c r="M29" s="136">
        <f>'Automotive Gross Margin'!$H8</f>
        <v>0.2</v>
      </c>
      <c r="N29" s="136">
        <f>'Automotive Gross Margin'!$H8</f>
        <v>0.2</v>
      </c>
      <c r="O29" s="136">
        <f>'Automotive Gross Margin'!$H8</f>
        <v>0.2</v>
      </c>
      <c r="P29" s="136">
        <f>'Automotive Gross Margin'!$H8</f>
        <v>0.2</v>
      </c>
      <c r="Q29" s="136">
        <f>'Automotive Gross Margin'!$H8</f>
        <v>0.2</v>
      </c>
    </row>
    <row r="30" spans="2:17" x14ac:dyDescent="0.2">
      <c r="B30" s="52" t="s">
        <v>132</v>
      </c>
      <c r="C30" s="55"/>
      <c r="D30" s="55"/>
      <c r="E30" s="55"/>
      <c r="F30" s="55"/>
      <c r="G30" s="136">
        <f>'Automotive Gross Margin'!$H9</f>
        <v>0.12</v>
      </c>
      <c r="H30" s="136">
        <f>'Automotive Gross Margin'!$H9</f>
        <v>0.12</v>
      </c>
      <c r="I30" s="136">
        <f>'Automotive Gross Margin'!$H9</f>
        <v>0.12</v>
      </c>
      <c r="J30" s="136">
        <f>'Automotive Gross Margin'!$H9</f>
        <v>0.12</v>
      </c>
      <c r="K30" s="136">
        <f>'Automotive Gross Margin'!$H9</f>
        <v>0.12</v>
      </c>
      <c r="L30" s="136">
        <f>'Automotive Gross Margin'!$H9</f>
        <v>0.12</v>
      </c>
      <c r="M30" s="136">
        <f>'Automotive Gross Margin'!$H9</f>
        <v>0.12</v>
      </c>
      <c r="N30" s="136">
        <f>'Automotive Gross Margin'!$H9</f>
        <v>0.12</v>
      </c>
      <c r="O30" s="136">
        <f>'Automotive Gross Margin'!$H9</f>
        <v>0.12</v>
      </c>
      <c r="P30" s="136">
        <f>'Automotive Gross Margin'!$H9</f>
        <v>0.12</v>
      </c>
      <c r="Q30" s="136">
        <f>'Automotive Gross Margin'!$H9</f>
        <v>0.12</v>
      </c>
    </row>
    <row r="31" spans="2:17" x14ac:dyDescent="0.2">
      <c r="B31" s="52" t="s">
        <v>129</v>
      </c>
      <c r="C31" s="55"/>
      <c r="D31" s="55"/>
      <c r="E31" s="55"/>
      <c r="F31" s="55"/>
      <c r="G31" s="136">
        <f>'Automotive Gross Margin'!$H10</f>
        <v>0.15</v>
      </c>
      <c r="H31" s="136">
        <f>'Automotive Gross Margin'!$H10</f>
        <v>0.15</v>
      </c>
      <c r="I31" s="136">
        <f>'Automotive Gross Margin'!$H10</f>
        <v>0.15</v>
      </c>
      <c r="J31" s="136">
        <f>'Automotive Gross Margin'!$H10</f>
        <v>0.15</v>
      </c>
      <c r="K31" s="136">
        <f>'Automotive Gross Margin'!$H10</f>
        <v>0.15</v>
      </c>
      <c r="L31" s="136">
        <f>'Automotive Gross Margin'!$H10</f>
        <v>0.15</v>
      </c>
      <c r="M31" s="136">
        <f>'Automotive Gross Margin'!$H10</f>
        <v>0.15</v>
      </c>
      <c r="N31" s="136">
        <f>'Automotive Gross Margin'!$H10</f>
        <v>0.15</v>
      </c>
      <c r="O31" s="136">
        <f>'Automotive Gross Margin'!$H10</f>
        <v>0.15</v>
      </c>
      <c r="P31" s="136">
        <f>'Automotive Gross Margin'!$H10</f>
        <v>0.15</v>
      </c>
      <c r="Q31" s="136">
        <f>'Automotive Gross Margin'!$H10</f>
        <v>0.15</v>
      </c>
    </row>
    <row r="32" spans="2:17" x14ac:dyDescent="0.2">
      <c r="B32" s="52"/>
      <c r="C32" s="55"/>
      <c r="D32" s="55"/>
      <c r="E32" s="55"/>
      <c r="F32" s="55"/>
      <c r="G32" s="137"/>
      <c r="H32" s="137"/>
      <c r="I32" s="138"/>
      <c r="J32" s="138"/>
      <c r="K32" s="138"/>
      <c r="L32" s="138"/>
      <c r="M32" s="138"/>
      <c r="N32" s="138"/>
      <c r="O32" s="138"/>
      <c r="P32" s="138"/>
      <c r="Q32" s="138"/>
    </row>
    <row r="33" spans="2:17" x14ac:dyDescent="0.2">
      <c r="B33" s="51" t="s">
        <v>59</v>
      </c>
      <c r="C33" s="52"/>
      <c r="D33" s="52"/>
      <c r="E33" s="52"/>
      <c r="F33" s="52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</row>
    <row r="34" spans="2:17" x14ac:dyDescent="0.2">
      <c r="B34" s="52" t="s">
        <v>130</v>
      </c>
      <c r="C34" s="55"/>
      <c r="D34" s="55"/>
      <c r="E34" s="55"/>
      <c r="F34" s="55"/>
      <c r="G34" s="136">
        <f t="shared" ref="G34:Q34" si="6">G27-1.5%</f>
        <v>0.16499999999999998</v>
      </c>
      <c r="H34" s="136">
        <f t="shared" si="6"/>
        <v>0.16499999999999998</v>
      </c>
      <c r="I34" s="136">
        <f t="shared" si="6"/>
        <v>0.16499999999999998</v>
      </c>
      <c r="J34" s="136">
        <f t="shared" si="6"/>
        <v>0.16499999999999998</v>
      </c>
      <c r="K34" s="136">
        <f t="shared" si="6"/>
        <v>0.16499999999999998</v>
      </c>
      <c r="L34" s="136">
        <f t="shared" si="6"/>
        <v>0.16499999999999998</v>
      </c>
      <c r="M34" s="136">
        <f t="shared" si="6"/>
        <v>0.16499999999999998</v>
      </c>
      <c r="N34" s="136">
        <f t="shared" si="6"/>
        <v>0.16499999999999998</v>
      </c>
      <c r="O34" s="136">
        <f t="shared" si="6"/>
        <v>0.16499999999999998</v>
      </c>
      <c r="P34" s="136">
        <f t="shared" si="6"/>
        <v>0.16499999999999998</v>
      </c>
      <c r="Q34" s="136">
        <f t="shared" si="6"/>
        <v>0.16499999999999998</v>
      </c>
    </row>
    <row r="35" spans="2:17" x14ac:dyDescent="0.2">
      <c r="B35" s="52" t="s">
        <v>135</v>
      </c>
      <c r="C35" s="55"/>
      <c r="D35" s="47"/>
      <c r="E35" s="47"/>
      <c r="F35" s="47"/>
      <c r="G35" s="136">
        <f t="shared" ref="G35:Q35" si="7">G28-1.5%</f>
        <v>0.17499999999999999</v>
      </c>
      <c r="H35" s="136">
        <f t="shared" si="7"/>
        <v>0.17499999999999999</v>
      </c>
      <c r="I35" s="136">
        <f t="shared" si="7"/>
        <v>0.17499999999999999</v>
      </c>
      <c r="J35" s="136">
        <f t="shared" si="7"/>
        <v>0.17499999999999999</v>
      </c>
      <c r="K35" s="136">
        <f t="shared" si="7"/>
        <v>0.17499999999999999</v>
      </c>
      <c r="L35" s="136">
        <f t="shared" si="7"/>
        <v>0.17499999999999999</v>
      </c>
      <c r="M35" s="136">
        <f t="shared" si="7"/>
        <v>0.17499999999999999</v>
      </c>
      <c r="N35" s="136">
        <f t="shared" si="7"/>
        <v>0.17499999999999999</v>
      </c>
      <c r="O35" s="136">
        <f t="shared" si="7"/>
        <v>0.17499999999999999</v>
      </c>
      <c r="P35" s="136">
        <f t="shared" si="7"/>
        <v>0.17499999999999999</v>
      </c>
      <c r="Q35" s="136">
        <f t="shared" si="7"/>
        <v>0.17499999999999999</v>
      </c>
    </row>
    <row r="36" spans="2:17" x14ac:dyDescent="0.2">
      <c r="B36" s="52" t="s">
        <v>131</v>
      </c>
      <c r="C36" s="55"/>
      <c r="D36" s="55"/>
      <c r="E36" s="55"/>
      <c r="F36" s="55"/>
      <c r="G36" s="136">
        <f t="shared" ref="G36:Q36" si="8">G29-1.5%</f>
        <v>0.185</v>
      </c>
      <c r="H36" s="136">
        <f t="shared" si="8"/>
        <v>0.185</v>
      </c>
      <c r="I36" s="136">
        <f t="shared" si="8"/>
        <v>0.185</v>
      </c>
      <c r="J36" s="136">
        <f t="shared" si="8"/>
        <v>0.185</v>
      </c>
      <c r="K36" s="136">
        <f t="shared" si="8"/>
        <v>0.185</v>
      </c>
      <c r="L36" s="136">
        <f t="shared" si="8"/>
        <v>0.185</v>
      </c>
      <c r="M36" s="136">
        <f t="shared" si="8"/>
        <v>0.185</v>
      </c>
      <c r="N36" s="136">
        <f t="shared" si="8"/>
        <v>0.185</v>
      </c>
      <c r="O36" s="136">
        <f t="shared" si="8"/>
        <v>0.185</v>
      </c>
      <c r="P36" s="136">
        <f t="shared" si="8"/>
        <v>0.185</v>
      </c>
      <c r="Q36" s="136">
        <f t="shared" si="8"/>
        <v>0.185</v>
      </c>
    </row>
    <row r="37" spans="2:17" x14ac:dyDescent="0.2">
      <c r="B37" s="52" t="s">
        <v>132</v>
      </c>
      <c r="C37" s="55"/>
      <c r="D37" s="55"/>
      <c r="E37" s="55"/>
      <c r="F37" s="55"/>
      <c r="G37" s="136">
        <f t="shared" ref="G37:Q37" si="9">G30-1.5%</f>
        <v>0.105</v>
      </c>
      <c r="H37" s="136">
        <f t="shared" si="9"/>
        <v>0.105</v>
      </c>
      <c r="I37" s="136">
        <f t="shared" si="9"/>
        <v>0.105</v>
      </c>
      <c r="J37" s="136">
        <f t="shared" si="9"/>
        <v>0.105</v>
      </c>
      <c r="K37" s="136">
        <f t="shared" si="9"/>
        <v>0.105</v>
      </c>
      <c r="L37" s="136">
        <f t="shared" si="9"/>
        <v>0.105</v>
      </c>
      <c r="M37" s="136">
        <f t="shared" si="9"/>
        <v>0.105</v>
      </c>
      <c r="N37" s="136">
        <f t="shared" si="9"/>
        <v>0.105</v>
      </c>
      <c r="O37" s="136">
        <f t="shared" si="9"/>
        <v>0.105</v>
      </c>
      <c r="P37" s="136">
        <f t="shared" si="9"/>
        <v>0.105</v>
      </c>
      <c r="Q37" s="136">
        <f t="shared" si="9"/>
        <v>0.105</v>
      </c>
    </row>
    <row r="38" spans="2:17" x14ac:dyDescent="0.2">
      <c r="B38" s="52" t="s">
        <v>129</v>
      </c>
      <c r="C38" s="55"/>
      <c r="D38" s="55"/>
      <c r="E38" s="55"/>
      <c r="F38" s="55"/>
      <c r="G38" s="136">
        <f t="shared" ref="G38:Q38" si="10">G31-1.5%</f>
        <v>0.13500000000000001</v>
      </c>
      <c r="H38" s="136">
        <f t="shared" si="10"/>
        <v>0.13500000000000001</v>
      </c>
      <c r="I38" s="136">
        <f t="shared" si="10"/>
        <v>0.13500000000000001</v>
      </c>
      <c r="J38" s="136">
        <f t="shared" si="10"/>
        <v>0.13500000000000001</v>
      </c>
      <c r="K38" s="136">
        <f t="shared" si="10"/>
        <v>0.13500000000000001</v>
      </c>
      <c r="L38" s="136">
        <f t="shared" si="10"/>
        <v>0.13500000000000001</v>
      </c>
      <c r="M38" s="136">
        <f t="shared" si="10"/>
        <v>0.13500000000000001</v>
      </c>
      <c r="N38" s="136">
        <f t="shared" si="10"/>
        <v>0.13500000000000001</v>
      </c>
      <c r="O38" s="136">
        <f t="shared" si="10"/>
        <v>0.13500000000000001</v>
      </c>
      <c r="P38" s="136">
        <f t="shared" si="10"/>
        <v>0.13500000000000001</v>
      </c>
      <c r="Q38" s="136">
        <f t="shared" si="10"/>
        <v>0.13500000000000001</v>
      </c>
    </row>
    <row r="39" spans="2:17" x14ac:dyDescent="0.2">
      <c r="B39" s="52"/>
      <c r="C39" s="55"/>
      <c r="D39" s="55"/>
      <c r="E39" s="55"/>
      <c r="F39" s="55"/>
      <c r="G39" s="52"/>
      <c r="H39" s="55"/>
      <c r="I39" s="53"/>
      <c r="J39" s="53"/>
      <c r="K39" s="53"/>
      <c r="L39" s="53"/>
      <c r="M39" s="53"/>
      <c r="N39" s="53"/>
      <c r="O39" s="53"/>
      <c r="P39" s="53"/>
      <c r="Q39" s="53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0"/>
  <sheetViews>
    <sheetView workbookViewId="0">
      <selection activeCell="B3" sqref="B3"/>
    </sheetView>
  </sheetViews>
  <sheetFormatPr defaultColWidth="9.140625" defaultRowHeight="12" x14ac:dyDescent="0.2"/>
  <cols>
    <col min="1" max="1" width="2" style="7" customWidth="1"/>
    <col min="2" max="2" width="15.140625" style="7" customWidth="1"/>
    <col min="3" max="4" width="11.5703125" style="7" bestFit="1" customWidth="1"/>
    <col min="5" max="5" width="10.5703125" style="7" bestFit="1" customWidth="1"/>
    <col min="6" max="6" width="11.7109375" style="7" bestFit="1" customWidth="1"/>
    <col min="7" max="7" width="10.28515625" style="7" customWidth="1"/>
    <col min="8" max="8" width="10.5703125" style="7" bestFit="1" customWidth="1"/>
    <col min="9" max="9" width="10.7109375" style="7" bestFit="1" customWidth="1"/>
    <col min="10" max="17" width="12" style="7" bestFit="1" customWidth="1"/>
    <col min="18" max="16384" width="9.140625" style="7"/>
  </cols>
  <sheetData>
    <row r="1" spans="1:17" ht="15.75" x14ac:dyDescent="0.2">
      <c r="A1" s="1"/>
      <c r="B1" s="2" t="s">
        <v>165</v>
      </c>
    </row>
    <row r="2" spans="1:17" ht="15.75" x14ac:dyDescent="0.2">
      <c r="A2" s="1"/>
      <c r="B2" s="2"/>
    </row>
    <row r="3" spans="1:17" x14ac:dyDescent="0.2">
      <c r="B3" s="353" t="s">
        <v>349</v>
      </c>
      <c r="C3" s="368" t="s">
        <v>219</v>
      </c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</row>
    <row r="4" spans="1:17" ht="24" x14ac:dyDescent="0.2">
      <c r="B4" s="27" t="s">
        <v>128</v>
      </c>
      <c r="C4" s="6" t="s">
        <v>241</v>
      </c>
      <c r="D4" s="6" t="s">
        <v>242</v>
      </c>
      <c r="E4" s="6" t="s">
        <v>243</v>
      </c>
      <c r="F4" s="6" t="s">
        <v>244</v>
      </c>
      <c r="G4" s="6" t="s">
        <v>245</v>
      </c>
      <c r="H4" s="57" t="s">
        <v>198</v>
      </c>
      <c r="I4" s="57" t="s">
        <v>199</v>
      </c>
      <c r="J4" s="57" t="s">
        <v>200</v>
      </c>
      <c r="K4" s="57" t="s">
        <v>221</v>
      </c>
      <c r="L4" s="57" t="s">
        <v>258</v>
      </c>
      <c r="M4" s="57" t="s">
        <v>257</v>
      </c>
      <c r="N4" s="57" t="s">
        <v>256</v>
      </c>
      <c r="O4" s="57" t="s">
        <v>255</v>
      </c>
      <c r="P4" s="57" t="s">
        <v>254</v>
      </c>
      <c r="Q4" s="57" t="s">
        <v>253</v>
      </c>
    </row>
    <row r="5" spans="1:17" x14ac:dyDescent="0.2">
      <c r="B5" s="7" t="s">
        <v>130</v>
      </c>
      <c r="C5" s="256" t="s">
        <v>51</v>
      </c>
      <c r="D5" s="256" t="s">
        <v>51</v>
      </c>
      <c r="E5" s="256" t="s">
        <v>51</v>
      </c>
      <c r="F5" s="256" t="s">
        <v>51</v>
      </c>
      <c r="G5" s="256" t="s">
        <v>51</v>
      </c>
      <c r="H5" s="254">
        <f>-('Automotive Revenue'!H5-'Automotive Gross Profit'!H5)</f>
        <v>-17339.310000000001</v>
      </c>
      <c r="I5" s="254">
        <f>-('Automotive Revenue'!I5-'Automotive Gross Profit'!I5)</f>
        <v>-17339.310000000001</v>
      </c>
      <c r="J5" s="254">
        <f>-('Automotive Revenue'!J5-'Automotive Gross Profit'!J5)</f>
        <v>-19265.900000000001</v>
      </c>
      <c r="K5" s="254">
        <f>-('Automotive Revenue'!K5-'Automotive Gross Profit'!K5)</f>
        <v>-21192.489999999998</v>
      </c>
      <c r="L5" s="254">
        <f>-('Automotive Revenue'!L5-'Automotive Gross Profit'!L5)</f>
        <v>-23119.08</v>
      </c>
      <c r="M5" s="254">
        <f>-('Automotive Revenue'!M5-'Automotive Gross Profit'!M5)</f>
        <v>-25045.67</v>
      </c>
      <c r="N5" s="254">
        <f>-('Automotive Revenue'!N5-'Automotive Gross Profit'!N5)</f>
        <v>-26972.260000000002</v>
      </c>
      <c r="O5" s="254">
        <f>-('Automotive Revenue'!O5-'Automotive Gross Profit'!O5)</f>
        <v>-28898.85</v>
      </c>
      <c r="P5" s="254">
        <f>-('Automotive Revenue'!P5-'Automotive Gross Profit'!P5)</f>
        <v>-30825.440000000002</v>
      </c>
      <c r="Q5" s="254">
        <f>-('Automotive Revenue'!Q5-'Automotive Gross Profit'!Q5)</f>
        <v>-32752.03</v>
      </c>
    </row>
    <row r="6" spans="1:17" x14ac:dyDescent="0.2">
      <c r="B6" s="7" t="s">
        <v>135</v>
      </c>
      <c r="C6" s="256" t="s">
        <v>51</v>
      </c>
      <c r="D6" s="256" t="s">
        <v>51</v>
      </c>
      <c r="E6" s="256" t="s">
        <v>51</v>
      </c>
      <c r="F6" s="256" t="s">
        <v>51</v>
      </c>
      <c r="G6" s="256" t="s">
        <v>51</v>
      </c>
      <c r="H6" s="254">
        <f>-('Automotive Revenue'!H6-'Automotive Gross Profit'!H6)</f>
        <v>-3447.36</v>
      </c>
      <c r="I6" s="254">
        <f>-('Automotive Revenue'!I6-'Automotive Gross Profit'!I6)</f>
        <v>-1723.68</v>
      </c>
      <c r="J6" s="254">
        <f>-('Automotive Revenue'!J6-'Automotive Gross Profit'!J6)</f>
        <v>-861.84</v>
      </c>
      <c r="K6" s="254">
        <f>-('Automotive Revenue'!K6-'Automotive Gross Profit'!K6)</f>
        <v>0</v>
      </c>
      <c r="L6" s="254">
        <f>-('Automotive Revenue'!L6-'Automotive Gross Profit'!L6)</f>
        <v>0</v>
      </c>
      <c r="M6" s="254">
        <f>-('Automotive Revenue'!M6-'Automotive Gross Profit'!M6)</f>
        <v>0</v>
      </c>
      <c r="N6" s="254">
        <f>-('Automotive Revenue'!N6-'Automotive Gross Profit'!N6)</f>
        <v>0</v>
      </c>
      <c r="O6" s="254">
        <f>-('Automotive Revenue'!O6-'Automotive Gross Profit'!O6)</f>
        <v>0</v>
      </c>
      <c r="P6" s="254">
        <f>-('Automotive Revenue'!P6-'Automotive Gross Profit'!P6)</f>
        <v>0</v>
      </c>
      <c r="Q6" s="254">
        <f>-('Automotive Revenue'!Q6-'Automotive Gross Profit'!Q6)</f>
        <v>0</v>
      </c>
    </row>
    <row r="7" spans="1:17" x14ac:dyDescent="0.2">
      <c r="B7" s="7" t="s">
        <v>131</v>
      </c>
      <c r="C7" s="256" t="s">
        <v>51</v>
      </c>
      <c r="D7" s="256" t="s">
        <v>51</v>
      </c>
      <c r="E7" s="256" t="s">
        <v>51</v>
      </c>
      <c r="F7" s="256" t="s">
        <v>51</v>
      </c>
      <c r="G7" s="256" t="s">
        <v>51</v>
      </c>
      <c r="H7" s="254">
        <f>-('Automotive Revenue'!H7-'Automotive Gross Profit'!H7)</f>
        <v>-47990.400000000001</v>
      </c>
      <c r="I7" s="254">
        <f>-('Automotive Revenue'!I7-'Automotive Gross Profit'!I7)</f>
        <v>-53989.2</v>
      </c>
      <c r="J7" s="254">
        <f>-('Automotive Revenue'!J7-'Automotive Gross Profit'!J7)</f>
        <v>-59988</v>
      </c>
      <c r="K7" s="254">
        <f>-('Automotive Revenue'!K7-'Automotive Gross Profit'!K7)</f>
        <v>-65986.8</v>
      </c>
      <c r="L7" s="254">
        <f>-('Automotive Revenue'!L7-'Automotive Gross Profit'!L7)</f>
        <v>-73985.2</v>
      </c>
      <c r="M7" s="254">
        <f>-('Automotive Revenue'!M7-'Automotive Gross Profit'!M7)</f>
        <v>-79984</v>
      </c>
      <c r="N7" s="254">
        <f>-('Automotive Revenue'!N7-'Automotive Gross Profit'!N7)</f>
        <v>-85982.8</v>
      </c>
      <c r="O7" s="254">
        <f>-('Automotive Revenue'!O7-'Automotive Gross Profit'!O7)</f>
        <v>-91981.6</v>
      </c>
      <c r="P7" s="254">
        <f>-('Automotive Revenue'!P7-'Automotive Gross Profit'!P7)</f>
        <v>-97980.4</v>
      </c>
      <c r="Q7" s="254">
        <f>-('Automotive Revenue'!Q7-'Automotive Gross Profit'!Q7)</f>
        <v>-103979.2</v>
      </c>
    </row>
    <row r="8" spans="1:17" x14ac:dyDescent="0.2">
      <c r="B8" s="7" t="s">
        <v>132</v>
      </c>
      <c r="C8" s="256">
        <v>0</v>
      </c>
      <c r="D8" s="256">
        <v>0</v>
      </c>
      <c r="E8" s="256" t="s">
        <v>51</v>
      </c>
      <c r="F8" s="256" t="s">
        <v>51</v>
      </c>
      <c r="G8" s="256" t="s">
        <v>51</v>
      </c>
      <c r="H8" s="254">
        <f>-('Automotive Revenue'!H8-'Automotive Gross Profit'!H8)</f>
        <v>-6203.6369999999997</v>
      </c>
      <c r="I8" s="254">
        <f>-('Automotive Revenue'!I8-'Automotive Gross Profit'!I8)</f>
        <v>-9925.8191999999999</v>
      </c>
      <c r="J8" s="254">
        <f>-('Automotive Revenue'!J8-'Automotive Gross Profit'!J8)</f>
        <v>-14888.728799999999</v>
      </c>
      <c r="K8" s="254">
        <f>-('Automotive Revenue'!K8-'Automotive Gross Profit'!K8)</f>
        <v>-20678.79</v>
      </c>
      <c r="L8" s="254">
        <f>-('Automotive Revenue'!L8-'Automotive Gross Profit'!L8)</f>
        <v>-24814.547999999999</v>
      </c>
      <c r="M8" s="254">
        <f>-('Automotive Revenue'!M8-'Automotive Gross Profit'!M8)</f>
        <v>-28950.305999999997</v>
      </c>
      <c r="N8" s="254">
        <f>-('Automotive Revenue'!N8-'Automotive Gross Profit'!N8)</f>
        <v>-33086.064000000006</v>
      </c>
      <c r="O8" s="254">
        <f>-('Automotive Revenue'!O8-'Automotive Gross Profit'!O8)</f>
        <v>-37221.822</v>
      </c>
      <c r="P8" s="254">
        <f>-('Automotive Revenue'!P8-'Automotive Gross Profit'!P8)</f>
        <v>-41357.58</v>
      </c>
      <c r="Q8" s="254">
        <f>-('Automotive Revenue'!Q8-'Automotive Gross Profit'!Q8)</f>
        <v>-45493.337999999996</v>
      </c>
    </row>
    <row r="9" spans="1:17" x14ac:dyDescent="0.2">
      <c r="B9" s="7" t="s">
        <v>129</v>
      </c>
      <c r="C9" s="256">
        <v>0</v>
      </c>
      <c r="D9" s="256" t="s">
        <v>51</v>
      </c>
      <c r="E9" s="256" t="s">
        <v>51</v>
      </c>
      <c r="F9" s="256" t="s">
        <v>51</v>
      </c>
      <c r="G9" s="256" t="s">
        <v>51</v>
      </c>
      <c r="H9" s="254">
        <f>-('Automotive Revenue'!H9-'Automotive Gross Profit'!H9)</f>
        <v>-2337.5</v>
      </c>
      <c r="I9" s="254">
        <f>-('Automotive Revenue'!I9-'Automotive Gross Profit'!I9)</f>
        <v>-4675</v>
      </c>
      <c r="J9" s="254">
        <f>-('Automotive Revenue'!J9-'Automotive Gross Profit'!J9)</f>
        <v>-8181.25</v>
      </c>
      <c r="K9" s="254">
        <f>-('Automotive Revenue'!K9-'Automotive Gross Profit'!K9)</f>
        <v>-11687.5</v>
      </c>
      <c r="L9" s="254">
        <f>-('Automotive Revenue'!L9-'Automotive Gross Profit'!L9)</f>
        <v>-17531.25</v>
      </c>
      <c r="M9" s="254">
        <f>-('Automotive Revenue'!M9-'Automotive Gross Profit'!M9)</f>
        <v>-23375</v>
      </c>
      <c r="N9" s="254">
        <f>-('Automotive Revenue'!N9-'Automotive Gross Profit'!N9)</f>
        <v>-29218.75</v>
      </c>
      <c r="O9" s="254">
        <f>-('Automotive Revenue'!O9-'Automotive Gross Profit'!O9)</f>
        <v>-35062.5</v>
      </c>
      <c r="P9" s="254">
        <f>-('Automotive Revenue'!P9-'Automotive Gross Profit'!P9)</f>
        <v>-40906.25</v>
      </c>
      <c r="Q9" s="254">
        <f>-('Automotive Revenue'!Q9-'Automotive Gross Profit'!Q9)</f>
        <v>-46750</v>
      </c>
    </row>
    <row r="10" spans="1:17" ht="12.75" thickBot="1" x14ac:dyDescent="0.25">
      <c r="B10" s="65" t="s">
        <v>55</v>
      </c>
      <c r="C10" s="242">
        <f>-('Automotive Revenue'!C10-'Automotive Gross Profit'!C10)</f>
        <v>-33393</v>
      </c>
      <c r="D10" s="242">
        <f>-('Automotive Revenue'!D10-'Automotive Gross Profit'!D10)</f>
        <v>-51108</v>
      </c>
      <c r="E10" s="242">
        <f>-('Automotive Revenue'!E10-'Automotive Gross Profit'!E10)</f>
        <v>-66389</v>
      </c>
      <c r="F10" s="242">
        <f>-('Automotive Revenue'!F10-'Automotive Gross Profit'!F10)</f>
        <v>-62873</v>
      </c>
      <c r="G10" s="242">
        <f>-('Automotive Revenue'!G10-'Automotive Gross Profit'!G10)</f>
        <v>-57165</v>
      </c>
      <c r="H10" s="242">
        <f t="shared" ref="H10:L10" si="0">SUM(H5:H9)</f>
        <v>-77318.207000000009</v>
      </c>
      <c r="I10" s="242">
        <f t="shared" si="0"/>
        <v>-87653.0092</v>
      </c>
      <c r="J10" s="242">
        <f t="shared" si="0"/>
        <v>-103185.7188</v>
      </c>
      <c r="K10" s="242">
        <f t="shared" si="0"/>
        <v>-119545.58000000002</v>
      </c>
      <c r="L10" s="242">
        <f t="shared" si="0"/>
        <v>-139450.07799999998</v>
      </c>
      <c r="M10" s="242">
        <f>SUM(M5:M9)</f>
        <v>-157354.976</v>
      </c>
      <c r="N10" s="242">
        <f>SUM(N5:N9)</f>
        <v>-175259.87400000001</v>
      </c>
      <c r="O10" s="242">
        <f>SUM(O5:O9)</f>
        <v>-193164.772</v>
      </c>
      <c r="P10" s="242">
        <f>SUM(P5:P9)</f>
        <v>-211069.66999999998</v>
      </c>
      <c r="Q10" s="242">
        <f>SUM(Q5:Q9)</f>
        <v>-228974.56799999997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Q9"/>
  <sheetViews>
    <sheetView workbookViewId="0">
      <selection activeCell="B2" sqref="B2"/>
    </sheetView>
  </sheetViews>
  <sheetFormatPr defaultColWidth="9.140625" defaultRowHeight="12" x14ac:dyDescent="0.2"/>
  <cols>
    <col min="1" max="1" width="2" style="7" customWidth="1"/>
    <col min="2" max="2" width="22" style="7" customWidth="1"/>
    <col min="3" max="4" width="11.5703125" style="7" bestFit="1" customWidth="1"/>
    <col min="5" max="5" width="10" style="7" bestFit="1" customWidth="1"/>
    <col min="6" max="6" width="11.7109375" style="7" bestFit="1" customWidth="1"/>
    <col min="7" max="7" width="10.5703125" style="7" bestFit="1" customWidth="1"/>
    <col min="8" max="8" width="10.7109375" style="7" bestFit="1" customWidth="1"/>
    <col min="9" max="17" width="11.42578125" style="7" bestFit="1" customWidth="1"/>
    <col min="18" max="16384" width="9.140625" style="7"/>
  </cols>
  <sheetData>
    <row r="1" spans="1:17" ht="15.75" x14ac:dyDescent="0.2">
      <c r="A1" s="1"/>
      <c r="B1" s="2" t="s">
        <v>202</v>
      </c>
    </row>
    <row r="2" spans="1:17" ht="12.75" x14ac:dyDescent="0.2">
      <c r="A2" s="1"/>
      <c r="B2" s="353" t="s">
        <v>349</v>
      </c>
    </row>
    <row r="3" spans="1:17" ht="24" x14ac:dyDescent="0.2">
      <c r="A3" s="1"/>
      <c r="B3" s="27" t="s">
        <v>128</v>
      </c>
      <c r="C3" s="6" t="s">
        <v>241</v>
      </c>
      <c r="D3" s="6" t="s">
        <v>242</v>
      </c>
      <c r="E3" s="6" t="s">
        <v>243</v>
      </c>
      <c r="F3" s="6" t="s">
        <v>244</v>
      </c>
      <c r="G3" s="6" t="s">
        <v>245</v>
      </c>
      <c r="H3" s="57" t="s">
        <v>198</v>
      </c>
      <c r="I3" s="57" t="s">
        <v>199</v>
      </c>
      <c r="J3" s="57" t="s">
        <v>200</v>
      </c>
      <c r="K3" s="57" t="s">
        <v>221</v>
      </c>
      <c r="L3" s="57" t="s">
        <v>258</v>
      </c>
      <c r="M3" s="57" t="s">
        <v>257</v>
      </c>
      <c r="N3" s="57" t="s">
        <v>256</v>
      </c>
      <c r="O3" s="57" t="s">
        <v>255</v>
      </c>
      <c r="P3" s="57" t="s">
        <v>254</v>
      </c>
      <c r="Q3" s="57" t="s">
        <v>253</v>
      </c>
    </row>
    <row r="4" spans="1:17" x14ac:dyDescent="0.2">
      <c r="B4" s="7" t="s">
        <v>203</v>
      </c>
      <c r="C4" s="257">
        <f>'Automotive Revenue'!C10</f>
        <v>47232</v>
      </c>
      <c r="D4" s="257">
        <f>'Automotive Revenue'!D10</f>
        <v>71462</v>
      </c>
      <c r="E4" s="257">
        <f>'Automotive Revenue'!E10</f>
        <v>82419</v>
      </c>
      <c r="F4" s="257">
        <f>'Automotive Revenue'!F10</f>
        <v>77070</v>
      </c>
      <c r="G4" s="257">
        <f>'Automotive Revenue'!G10</f>
        <v>69526</v>
      </c>
      <c r="H4" s="257">
        <f>'Automotive Revenue'!H10</f>
        <v>95189.087499999994</v>
      </c>
      <c r="I4" s="257">
        <f>'Automotive Revenue'!I10</f>
        <v>107539.34</v>
      </c>
      <c r="J4" s="257">
        <f>'Automotive Revenue'!J10</f>
        <v>126088.01</v>
      </c>
      <c r="K4" s="257">
        <f>'Automotive Revenue'!K10</f>
        <v>145576.625</v>
      </c>
      <c r="L4" s="257">
        <f>'Automotive Revenue'!L10</f>
        <v>169498.85</v>
      </c>
      <c r="M4" s="257">
        <f>'Automotive Revenue'!M10</f>
        <v>190921.57500000001</v>
      </c>
      <c r="N4" s="257">
        <f>'Automotive Revenue'!N10</f>
        <v>212344.3</v>
      </c>
      <c r="O4" s="257">
        <f>'Automotive Revenue'!O10</f>
        <v>233767.02499999999</v>
      </c>
      <c r="P4" s="257">
        <f>'Automotive Revenue'!P10</f>
        <v>255189.75</v>
      </c>
      <c r="Q4" s="257">
        <f>'Automotive Revenue'!Q10</f>
        <v>276612.47499999998</v>
      </c>
    </row>
    <row r="5" spans="1:17" x14ac:dyDescent="0.2">
      <c r="B5" s="7" t="s">
        <v>204</v>
      </c>
      <c r="C5" s="257">
        <f>'Automotive Gross Profit'!C10</f>
        <v>13839</v>
      </c>
      <c r="D5" s="257">
        <f>'Automotive Gross Profit'!D10</f>
        <v>20354</v>
      </c>
      <c r="E5" s="257">
        <f>'Automotive Gross Profit'!E10</f>
        <v>16030</v>
      </c>
      <c r="F5" s="257">
        <f>'Automotive Gross Profit'!F10</f>
        <v>14197</v>
      </c>
      <c r="G5" s="257">
        <f>'Automotive Gross Profit'!G10</f>
        <v>12361</v>
      </c>
      <c r="H5" s="257">
        <f>'Automotive Gross Profit'!H10</f>
        <v>17870.880499999999</v>
      </c>
      <c r="I5" s="257">
        <f>'Automotive Gross Profit'!I10</f>
        <v>19886.3308</v>
      </c>
      <c r="J5" s="257">
        <f>'Automotive Gross Profit'!J10</f>
        <v>22902.2912</v>
      </c>
      <c r="K5" s="257">
        <f>'Automotive Gross Profit'!K10</f>
        <v>26031.044999999998</v>
      </c>
      <c r="L5" s="257">
        <f>'Automotive Gross Profit'!L10</f>
        <v>30048.772000000001</v>
      </c>
      <c r="M5" s="257">
        <f>'Automotive Gross Profit'!M10</f>
        <v>33566.599000000002</v>
      </c>
      <c r="N5" s="257">
        <f>'Automotive Gross Profit'!N10</f>
        <v>37084.426000000007</v>
      </c>
      <c r="O5" s="257">
        <f>'Automotive Gross Profit'!O10</f>
        <v>40602.253000000004</v>
      </c>
      <c r="P5" s="257">
        <f>'Automotive Gross Profit'!P10</f>
        <v>44120.08</v>
      </c>
      <c r="Q5" s="257">
        <f>'Automotive Gross Profit'!Q10</f>
        <v>47637.907000000007</v>
      </c>
    </row>
    <row r="6" spans="1:17" x14ac:dyDescent="0.2">
      <c r="B6" s="7" t="s">
        <v>163</v>
      </c>
      <c r="C6" s="258">
        <f>C5/C4</f>
        <v>0.29300050813008133</v>
      </c>
      <c r="D6" s="258">
        <f t="shared" ref="D6:Q6" si="0">D5/D4</f>
        <v>0.28482270297500767</v>
      </c>
      <c r="E6" s="258">
        <f t="shared" si="0"/>
        <v>0.19449398803673909</v>
      </c>
      <c r="F6" s="258">
        <f t="shared" si="0"/>
        <v>0.18420916050343844</v>
      </c>
      <c r="G6" s="258">
        <f t="shared" si="0"/>
        <v>0.17778960388919254</v>
      </c>
      <c r="H6" s="258">
        <f t="shared" si="0"/>
        <v>0.18774085317290179</v>
      </c>
      <c r="I6" s="258">
        <f t="shared" si="0"/>
        <v>0.18492145107083605</v>
      </c>
      <c r="J6" s="258">
        <f>J5/J4</f>
        <v>0.18163734363005651</v>
      </c>
      <c r="K6" s="258">
        <f t="shared" si="0"/>
        <v>0.17881335688335953</v>
      </c>
      <c r="L6" s="258">
        <f t="shared" si="0"/>
        <v>0.17728009364075331</v>
      </c>
      <c r="M6" s="258">
        <f t="shared" si="0"/>
        <v>0.17581354543089223</v>
      </c>
      <c r="N6" s="258">
        <f t="shared" si="0"/>
        <v>0.17464290776818595</v>
      </c>
      <c r="O6" s="258">
        <f t="shared" si="0"/>
        <v>0.1736868277294456</v>
      </c>
      <c r="P6" s="258">
        <f t="shared" si="0"/>
        <v>0.17289127012350614</v>
      </c>
      <c r="Q6" s="258">
        <f t="shared" si="0"/>
        <v>0.17221893914943645</v>
      </c>
    </row>
    <row r="7" spans="1:17" x14ac:dyDescent="0.2">
      <c r="J7" s="25"/>
      <c r="K7" s="25"/>
      <c r="L7" s="25"/>
      <c r="M7" s="25"/>
      <c r="N7" s="25"/>
      <c r="O7" s="25"/>
      <c r="P7" s="25"/>
    </row>
    <row r="8" spans="1:17" x14ac:dyDescent="0.2">
      <c r="J8" s="25"/>
      <c r="K8" s="25"/>
      <c r="L8" s="25"/>
      <c r="M8" s="25"/>
      <c r="N8" s="25"/>
      <c r="O8" s="25"/>
      <c r="P8" s="25"/>
    </row>
    <row r="9" spans="1:17" x14ac:dyDescent="0.2">
      <c r="J9" s="25"/>
      <c r="K9" s="25"/>
      <c r="L9" s="25"/>
      <c r="M9" s="25"/>
      <c r="N9" s="25"/>
      <c r="O9" s="25"/>
      <c r="P9" s="25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>
      <selection activeCell="E39" sqref="E3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182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Q20"/>
  <sheetViews>
    <sheetView workbookViewId="0">
      <selection activeCell="B4" sqref="B4"/>
    </sheetView>
  </sheetViews>
  <sheetFormatPr defaultColWidth="9.140625" defaultRowHeight="12" x14ac:dyDescent="0.2"/>
  <cols>
    <col min="1" max="1" width="2" style="7" customWidth="1"/>
    <col min="2" max="2" width="28" style="7" customWidth="1"/>
    <col min="3" max="12" width="9.7109375" style="7" customWidth="1"/>
    <col min="13" max="17" width="10" style="7" bestFit="1" customWidth="1"/>
    <col min="18" max="16384" width="9.140625" style="7"/>
  </cols>
  <sheetData>
    <row r="1" spans="1:17" ht="15.75" x14ac:dyDescent="0.2">
      <c r="A1" s="1"/>
      <c r="B1" s="2" t="s">
        <v>188</v>
      </c>
    </row>
    <row r="2" spans="1:17" ht="15.75" x14ac:dyDescent="0.2">
      <c r="A2" s="1"/>
      <c r="B2" s="2"/>
    </row>
    <row r="3" spans="1:17" x14ac:dyDescent="0.2">
      <c r="C3" s="368" t="s">
        <v>206</v>
      </c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</row>
    <row r="4" spans="1:17" ht="24" x14ac:dyDescent="0.2">
      <c r="B4" s="352" t="s">
        <v>349</v>
      </c>
      <c r="C4" s="6" t="s">
        <v>241</v>
      </c>
      <c r="D4" s="6" t="s">
        <v>242</v>
      </c>
      <c r="E4" s="6" t="s">
        <v>243</v>
      </c>
      <c r="F4" s="6" t="s">
        <v>244</v>
      </c>
      <c r="G4" s="6" t="s">
        <v>245</v>
      </c>
      <c r="H4" s="57" t="s">
        <v>198</v>
      </c>
      <c r="I4" s="57" t="s">
        <v>199</v>
      </c>
      <c r="J4" s="57" t="s">
        <v>200</v>
      </c>
      <c r="K4" s="57" t="s">
        <v>221</v>
      </c>
      <c r="L4" s="57" t="s">
        <v>258</v>
      </c>
      <c r="M4" s="57" t="s">
        <v>257</v>
      </c>
      <c r="N4" s="57" t="s">
        <v>256</v>
      </c>
      <c r="O4" s="57" t="s">
        <v>255</v>
      </c>
      <c r="P4" s="57" t="s">
        <v>254</v>
      </c>
      <c r="Q4" s="57" t="s">
        <v>253</v>
      </c>
    </row>
    <row r="5" spans="1:17" x14ac:dyDescent="0.2">
      <c r="B5" s="7" t="s">
        <v>3</v>
      </c>
      <c r="C5" s="259">
        <f>'P&amp;L Input'!C5</f>
        <v>2789</v>
      </c>
      <c r="D5" s="259">
        <f>'P&amp;L Input'!D5</f>
        <v>3909</v>
      </c>
      <c r="E5" s="259">
        <f>'P&amp;L Input'!E5</f>
        <v>6035</v>
      </c>
      <c r="F5" s="259">
        <f>'P&amp;L Input'!F5</f>
        <v>10086</v>
      </c>
      <c r="G5" s="259">
        <f>'P&amp;L Input'!G5</f>
        <v>12771</v>
      </c>
      <c r="H5" s="260" t="s">
        <v>51</v>
      </c>
      <c r="I5" s="260" t="s">
        <v>51</v>
      </c>
      <c r="J5" s="260" t="s">
        <v>51</v>
      </c>
      <c r="K5" s="260" t="s">
        <v>51</v>
      </c>
      <c r="L5" s="260" t="s">
        <v>51</v>
      </c>
      <c r="M5" s="260" t="s">
        <v>51</v>
      </c>
      <c r="N5" s="260" t="s">
        <v>51</v>
      </c>
      <c r="O5" s="260" t="s">
        <v>51</v>
      </c>
      <c r="P5" s="260" t="s">
        <v>51</v>
      </c>
      <c r="Q5" s="260" t="s">
        <v>51</v>
      </c>
    </row>
    <row r="6" spans="1:17" x14ac:dyDescent="0.2">
      <c r="B6" s="7" t="s">
        <v>2</v>
      </c>
      <c r="C6" s="259">
        <f>'P&amp;L Input'!C6</f>
        <v>3802</v>
      </c>
      <c r="D6" s="259">
        <f>'P&amp;L Input'!D6</f>
        <v>6091</v>
      </c>
      <c r="E6" s="259">
        <f>'P&amp;L Input'!E6</f>
        <v>8319</v>
      </c>
      <c r="F6" s="259">
        <f>'P&amp;L Input'!F6</f>
        <v>10534</v>
      </c>
      <c r="G6" s="259">
        <f>'P&amp;L Input'!G6</f>
        <v>12530</v>
      </c>
      <c r="H6" s="260" t="s">
        <v>51</v>
      </c>
      <c r="I6" s="260" t="s">
        <v>51</v>
      </c>
      <c r="J6" s="260" t="s">
        <v>51</v>
      </c>
      <c r="K6" s="260" t="s">
        <v>51</v>
      </c>
      <c r="L6" s="260" t="s">
        <v>51</v>
      </c>
      <c r="M6" s="260" t="s">
        <v>51</v>
      </c>
      <c r="N6" s="260" t="s">
        <v>51</v>
      </c>
      <c r="O6" s="260" t="s">
        <v>51</v>
      </c>
      <c r="P6" s="260" t="s">
        <v>51</v>
      </c>
      <c r="Q6" s="260" t="s">
        <v>51</v>
      </c>
    </row>
    <row r="7" spans="1:17" x14ac:dyDescent="0.2">
      <c r="B7" s="8" t="s">
        <v>159</v>
      </c>
      <c r="C7" s="261">
        <f t="shared" ref="C7:G7" si="0">SUM(C5:C6)</f>
        <v>6591</v>
      </c>
      <c r="D7" s="261">
        <f t="shared" si="0"/>
        <v>10000</v>
      </c>
      <c r="E7" s="261">
        <f t="shared" si="0"/>
        <v>14354</v>
      </c>
      <c r="F7" s="261">
        <f t="shared" si="0"/>
        <v>20620</v>
      </c>
      <c r="G7" s="261">
        <f t="shared" si="0"/>
        <v>25301</v>
      </c>
      <c r="H7" s="262">
        <f t="shared" ref="H7:Q7" si="1">G7*(1+H10)</f>
        <v>29855.179999999997</v>
      </c>
      <c r="I7" s="262">
        <f t="shared" si="1"/>
        <v>33437.801599999999</v>
      </c>
      <c r="J7" s="262">
        <f t="shared" si="1"/>
        <v>36112.825728000003</v>
      </c>
      <c r="K7" s="262">
        <f t="shared" si="1"/>
        <v>38279.595271680002</v>
      </c>
      <c r="L7" s="262">
        <f t="shared" si="1"/>
        <v>40576.370987980801</v>
      </c>
      <c r="M7" s="262">
        <f t="shared" si="1"/>
        <v>43010.953247259655</v>
      </c>
      <c r="N7" s="262">
        <f t="shared" si="1"/>
        <v>45591.61044209524</v>
      </c>
      <c r="O7" s="262">
        <f t="shared" si="1"/>
        <v>48327.107068620957</v>
      </c>
      <c r="P7" s="262">
        <f t="shared" si="1"/>
        <v>51226.733492738218</v>
      </c>
      <c r="Q7" s="262">
        <f t="shared" si="1"/>
        <v>54300.337502302515</v>
      </c>
    </row>
    <row r="8" spans="1:17" ht="3" customHeight="1" x14ac:dyDescent="0.2"/>
    <row r="9" spans="1:17" x14ac:dyDescent="0.2">
      <c r="B9" s="51" t="s">
        <v>61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x14ac:dyDescent="0.2">
      <c r="B10" s="52" t="s">
        <v>159</v>
      </c>
      <c r="C10" s="55"/>
      <c r="D10" s="234"/>
      <c r="E10" s="234"/>
      <c r="F10" s="234"/>
      <c r="G10" s="234"/>
      <c r="H10" s="234">
        <f>CHOOSE(Drivers!$C$3,'Revenue Energy &amp; Other'!H14,'Revenue Energy &amp; Other'!H17,'Revenue Energy &amp; Other'!H20)</f>
        <v>0.18</v>
      </c>
      <c r="I10" s="234">
        <f>CHOOSE(Drivers!$C$3,'Revenue Energy &amp; Other'!I14,'Revenue Energy &amp; Other'!I17,'Revenue Energy &amp; Other'!I20)</f>
        <v>0.12</v>
      </c>
      <c r="J10" s="234">
        <f>CHOOSE(Drivers!$C$3,'Revenue Energy &amp; Other'!J14,'Revenue Energy &amp; Other'!J17,'Revenue Energy &amp; Other'!J20)</f>
        <v>0.08</v>
      </c>
      <c r="K10" s="234">
        <f>CHOOSE(Drivers!$C$3,'Revenue Energy &amp; Other'!K14,'Revenue Energy &amp; Other'!K17,'Revenue Energy &amp; Other'!K20)</f>
        <v>0.06</v>
      </c>
      <c r="L10" s="234">
        <f>CHOOSE(Drivers!$C$3,'Revenue Energy &amp; Other'!L14,'Revenue Energy &amp; Other'!L17,'Revenue Energy &amp; Other'!L20)</f>
        <v>0.06</v>
      </c>
      <c r="M10" s="234">
        <f>CHOOSE(Drivers!$C$3,'Revenue Energy &amp; Other'!M14,'Revenue Energy &amp; Other'!M17,'Revenue Energy &amp; Other'!M20)</f>
        <v>0.06</v>
      </c>
      <c r="N10" s="234">
        <f>CHOOSE(Drivers!$C$3,'Revenue Energy &amp; Other'!N14,'Revenue Energy &amp; Other'!N17,'Revenue Energy &amp; Other'!N20)</f>
        <v>0.06</v>
      </c>
      <c r="O10" s="234">
        <f>CHOOSE(Drivers!$C$3,'Revenue Energy &amp; Other'!O14,'Revenue Energy &amp; Other'!O17,'Revenue Energy &amp; Other'!O20)</f>
        <v>0.06</v>
      </c>
      <c r="P10" s="234">
        <f>CHOOSE(Drivers!$C$3,'Revenue Energy &amp; Other'!P14,'Revenue Energy &amp; Other'!P17,'Revenue Energy &amp; Other'!P20)</f>
        <v>0.06</v>
      </c>
      <c r="Q10" s="234">
        <f>CHOOSE(Drivers!$C$3,'Revenue Energy &amp; Other'!Q14,'Revenue Energy &amp; Other'!Q17,'Revenue Energy &amp; Other'!Q20)</f>
        <v>0.06</v>
      </c>
    </row>
    <row r="11" spans="1:17" x14ac:dyDescent="0.2">
      <c r="B11" s="52"/>
      <c r="C11" s="55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</row>
    <row r="12" spans="1:17" x14ac:dyDescent="0.2">
      <c r="B12" s="63" t="s">
        <v>160</v>
      </c>
      <c r="C12" s="55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</row>
    <row r="13" spans="1:17" x14ac:dyDescent="0.2">
      <c r="B13" s="51" t="s">
        <v>57</v>
      </c>
      <c r="C13" s="52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</row>
    <row r="14" spans="1:17" x14ac:dyDescent="0.2">
      <c r="B14" s="52" t="s">
        <v>159</v>
      </c>
      <c r="C14" s="55"/>
      <c r="D14" s="234"/>
      <c r="E14" s="234"/>
      <c r="F14" s="234"/>
      <c r="G14" s="234"/>
      <c r="H14" s="234">
        <f>H17+Drivers!$C$13</f>
        <v>0.21099999999999999</v>
      </c>
      <c r="I14" s="234">
        <f>I17+Drivers!$C$13</f>
        <v>0.151</v>
      </c>
      <c r="J14" s="234">
        <f>J17+Drivers!$C$13</f>
        <v>0.111</v>
      </c>
      <c r="K14" s="234">
        <f>K17+Drivers!$C$13</f>
        <v>9.0999999999999998E-2</v>
      </c>
      <c r="L14" s="234">
        <f>L17+Drivers!$C$13</f>
        <v>9.0999999999999998E-2</v>
      </c>
      <c r="M14" s="234">
        <f>M17+Drivers!$C$13</f>
        <v>9.0999999999999998E-2</v>
      </c>
      <c r="N14" s="234">
        <f>N17+Drivers!$C$13</f>
        <v>9.0999999999999998E-2</v>
      </c>
      <c r="O14" s="234">
        <f>O17+Drivers!$C$13</f>
        <v>9.0999999999999998E-2</v>
      </c>
      <c r="P14" s="234">
        <f>P17+Drivers!$C$13</f>
        <v>9.0999999999999998E-2</v>
      </c>
      <c r="Q14" s="234">
        <f>Q17+Drivers!$C$13</f>
        <v>9.0999999999999998E-2</v>
      </c>
    </row>
    <row r="15" spans="1:17" x14ac:dyDescent="0.2">
      <c r="B15" s="52"/>
      <c r="C15" s="55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</row>
    <row r="16" spans="1:17" x14ac:dyDescent="0.2">
      <c r="B16" s="51" t="s">
        <v>58</v>
      </c>
      <c r="C16" s="52"/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</row>
    <row r="17" spans="2:17" x14ac:dyDescent="0.2">
      <c r="B17" s="52" t="s">
        <v>159</v>
      </c>
      <c r="C17" s="55"/>
      <c r="D17" s="234">
        <f>D7/C7-1</f>
        <v>0.51722045213169476</v>
      </c>
      <c r="E17" s="234">
        <f t="shared" ref="E17:F17" si="2">E7/D7-1</f>
        <v>0.43540000000000001</v>
      </c>
      <c r="F17" s="234">
        <f t="shared" si="2"/>
        <v>0.43653337048906238</v>
      </c>
      <c r="G17" s="234">
        <f>G7/F7-1</f>
        <v>0.22701260911736187</v>
      </c>
      <c r="H17" s="234">
        <v>0.18</v>
      </c>
      <c r="I17" s="234">
        <v>0.12</v>
      </c>
      <c r="J17" s="234">
        <v>0.08</v>
      </c>
      <c r="K17" s="234">
        <v>0.06</v>
      </c>
      <c r="L17" s="234">
        <v>0.06</v>
      </c>
      <c r="M17" s="234">
        <v>0.06</v>
      </c>
      <c r="N17" s="234">
        <v>0.06</v>
      </c>
      <c r="O17" s="234">
        <v>0.06</v>
      </c>
      <c r="P17" s="234">
        <v>0.06</v>
      </c>
      <c r="Q17" s="234">
        <v>0.06</v>
      </c>
    </row>
    <row r="18" spans="2:17" x14ac:dyDescent="0.2">
      <c r="B18" s="52"/>
      <c r="C18" s="55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</row>
    <row r="19" spans="2:17" x14ac:dyDescent="0.2">
      <c r="B19" s="51" t="s">
        <v>59</v>
      </c>
      <c r="C19" s="52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</row>
    <row r="20" spans="2:17" x14ac:dyDescent="0.2">
      <c r="B20" s="52" t="s">
        <v>159</v>
      </c>
      <c r="C20" s="55"/>
      <c r="D20" s="234"/>
      <c r="E20" s="234"/>
      <c r="F20" s="234"/>
      <c r="G20" s="234"/>
      <c r="H20" s="234">
        <f>H17-Drivers!$C$13</f>
        <v>0.14899999999999999</v>
      </c>
      <c r="I20" s="234">
        <f>I17-Drivers!$C$13</f>
        <v>8.8999999999999996E-2</v>
      </c>
      <c r="J20" s="234">
        <f>J17-Drivers!$C$13</f>
        <v>4.9000000000000002E-2</v>
      </c>
      <c r="K20" s="234">
        <f>K17-Drivers!$C$13</f>
        <v>2.8999999999999998E-2</v>
      </c>
      <c r="L20" s="234">
        <f>L17-Drivers!$C$13</f>
        <v>2.8999999999999998E-2</v>
      </c>
      <c r="M20" s="234">
        <f>M17-Drivers!$C$13</f>
        <v>2.8999999999999998E-2</v>
      </c>
      <c r="N20" s="234">
        <f>N17-Drivers!$C$13</f>
        <v>2.8999999999999998E-2</v>
      </c>
      <c r="O20" s="234">
        <f>O17-Drivers!$C$13</f>
        <v>2.8999999999999998E-2</v>
      </c>
      <c r="P20" s="234">
        <f>P17-Drivers!$C$13</f>
        <v>2.8999999999999998E-2</v>
      </c>
      <c r="Q20" s="234">
        <f>Q17-Drivers!$C$13</f>
        <v>2.8999999999999998E-2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Q21"/>
  <sheetViews>
    <sheetView workbookViewId="0">
      <selection activeCell="T46" sqref="T46"/>
    </sheetView>
  </sheetViews>
  <sheetFormatPr defaultColWidth="9.140625" defaultRowHeight="12" x14ac:dyDescent="0.2"/>
  <cols>
    <col min="1" max="1" width="2" style="7" customWidth="1"/>
    <col min="2" max="2" width="28.85546875" style="7" customWidth="1"/>
    <col min="3" max="12" width="9.7109375" style="7" customWidth="1"/>
    <col min="13" max="16384" width="9.140625" style="7"/>
  </cols>
  <sheetData>
    <row r="1" spans="1:17" ht="15.75" x14ac:dyDescent="0.2">
      <c r="A1" s="1"/>
      <c r="B1" s="2" t="s">
        <v>161</v>
      </c>
    </row>
    <row r="2" spans="1:17" ht="15.75" x14ac:dyDescent="0.2">
      <c r="A2" s="1"/>
      <c r="B2" s="2"/>
    </row>
    <row r="3" spans="1:17" x14ac:dyDescent="0.2">
      <c r="C3" s="368" t="s">
        <v>164</v>
      </c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</row>
    <row r="4" spans="1:17" ht="24" x14ac:dyDescent="0.2">
      <c r="B4" s="352" t="s">
        <v>349</v>
      </c>
      <c r="C4" s="6" t="s">
        <v>241</v>
      </c>
      <c r="D4" s="6" t="s">
        <v>242</v>
      </c>
      <c r="E4" s="6" t="s">
        <v>243</v>
      </c>
      <c r="F4" s="6" t="s">
        <v>244</v>
      </c>
      <c r="G4" s="6" t="s">
        <v>245</v>
      </c>
      <c r="H4" s="57" t="s">
        <v>198</v>
      </c>
      <c r="I4" s="57" t="s">
        <v>199</v>
      </c>
      <c r="J4" s="57" t="s">
        <v>200</v>
      </c>
      <c r="K4" s="57" t="s">
        <v>221</v>
      </c>
      <c r="L4" s="57" t="s">
        <v>258</v>
      </c>
      <c r="M4" s="57" t="s">
        <v>257</v>
      </c>
      <c r="N4" s="57" t="s">
        <v>256</v>
      </c>
      <c r="O4" s="57" t="s">
        <v>255</v>
      </c>
      <c r="P4" s="57" t="s">
        <v>254</v>
      </c>
      <c r="Q4" s="57" t="s">
        <v>253</v>
      </c>
    </row>
    <row r="5" spans="1:17" x14ac:dyDescent="0.2">
      <c r="B5" s="7" t="s">
        <v>3</v>
      </c>
      <c r="C5" s="246">
        <f>('P&amp;L Input'!C5+'P&amp;L Input'!C9)</f>
        <v>-129</v>
      </c>
      <c r="D5" s="246">
        <f>('P&amp;L Input'!D5+'P&amp;L Input'!D9)</f>
        <v>288</v>
      </c>
      <c r="E5" s="246">
        <f>('P&amp;L Input'!E5+'P&amp;L Input'!E9)</f>
        <v>1141</v>
      </c>
      <c r="F5" s="246">
        <f>('P&amp;L Input'!F5+'P&amp;L Input'!F9)</f>
        <v>2640</v>
      </c>
      <c r="G5" s="246">
        <f>('P&amp;L Input'!G5+'P&amp;L Input'!G9)</f>
        <v>3802</v>
      </c>
      <c r="H5" s="264" t="s">
        <v>51</v>
      </c>
      <c r="I5" s="264" t="s">
        <v>51</v>
      </c>
      <c r="J5" s="264" t="s">
        <v>51</v>
      </c>
      <c r="K5" s="264" t="s">
        <v>51</v>
      </c>
      <c r="L5" s="264" t="s">
        <v>51</v>
      </c>
      <c r="M5" s="264" t="s">
        <v>51</v>
      </c>
      <c r="N5" s="264" t="s">
        <v>51</v>
      </c>
      <c r="O5" s="264" t="s">
        <v>51</v>
      </c>
      <c r="P5" s="264" t="s">
        <v>51</v>
      </c>
      <c r="Q5" s="264" t="s">
        <v>51</v>
      </c>
    </row>
    <row r="6" spans="1:17" x14ac:dyDescent="0.2">
      <c r="B6" s="7" t="s">
        <v>2</v>
      </c>
      <c r="C6" s="246">
        <f>('P&amp;L Input'!C6+'P&amp;L Input'!C10)</f>
        <v>-104</v>
      </c>
      <c r="D6" s="246">
        <f>('P&amp;L Input'!D6+'P&amp;L Input'!D10)</f>
        <v>211</v>
      </c>
      <c r="E6" s="246">
        <f>('P&amp;L Input'!E6+'P&amp;L Input'!E10)</f>
        <v>489</v>
      </c>
      <c r="F6" s="246">
        <f>('P&amp;L Input'!F6+'P&amp;L Input'!F10)</f>
        <v>613</v>
      </c>
      <c r="G6" s="246">
        <f>('P&amp;L Input'!G6+'P&amp;L Input'!G10)</f>
        <v>931</v>
      </c>
      <c r="H6" s="264" t="s">
        <v>51</v>
      </c>
      <c r="I6" s="264" t="s">
        <v>51</v>
      </c>
      <c r="J6" s="264" t="s">
        <v>51</v>
      </c>
      <c r="K6" s="264" t="s">
        <v>51</v>
      </c>
      <c r="L6" s="264" t="s">
        <v>51</v>
      </c>
      <c r="M6" s="264" t="s">
        <v>51</v>
      </c>
      <c r="N6" s="264" t="s">
        <v>51</v>
      </c>
      <c r="O6" s="264" t="s">
        <v>51</v>
      </c>
      <c r="P6" s="264" t="s">
        <v>51</v>
      </c>
      <c r="Q6" s="264" t="s">
        <v>51</v>
      </c>
    </row>
    <row r="7" spans="1:17" ht="12.75" thickBot="1" x14ac:dyDescent="0.25">
      <c r="B7" s="9" t="s">
        <v>159</v>
      </c>
      <c r="C7" s="265">
        <f>SUM(C5:C6)</f>
        <v>-233</v>
      </c>
      <c r="D7" s="265">
        <f t="shared" ref="D7:G7" si="0">SUM(D5:D6)</f>
        <v>499</v>
      </c>
      <c r="E7" s="265">
        <f t="shared" si="0"/>
        <v>1630</v>
      </c>
      <c r="F7" s="265">
        <f t="shared" si="0"/>
        <v>3253</v>
      </c>
      <c r="G7" s="265">
        <f t="shared" si="0"/>
        <v>4733</v>
      </c>
      <c r="H7" s="265">
        <f>H11*'Revenue Energy &amp; Other'!H7</f>
        <v>3390.2705447958756</v>
      </c>
      <c r="I7" s="265">
        <f>I11*'Revenue Energy &amp; Other'!I7</f>
        <v>3797.1030101713809</v>
      </c>
      <c r="J7" s="265">
        <f>J11*'Revenue Energy &amp; Other'!J7</f>
        <v>4100.871250985092</v>
      </c>
      <c r="K7" s="265">
        <f>K11*'Revenue Energy &amp; Other'!K7</f>
        <v>4346.9235260441974</v>
      </c>
      <c r="L7" s="265">
        <f>L11*'Revenue Energy &amp; Other'!L7</f>
        <v>4607.7389376068486</v>
      </c>
      <c r="M7" s="265">
        <f>M11*'Revenue Energy &amp; Other'!M7</f>
        <v>4884.2032738632606</v>
      </c>
      <c r="N7" s="265">
        <f>N11*'Revenue Energy &amp; Other'!N7</f>
        <v>5177.2554702950565</v>
      </c>
      <c r="O7" s="265">
        <f>O11*'Revenue Energy &amp; Other'!O7</f>
        <v>5487.8907985127607</v>
      </c>
      <c r="P7" s="265">
        <f>P11*'Revenue Energy &amp; Other'!P7</f>
        <v>5817.1642464235265</v>
      </c>
      <c r="Q7" s="265">
        <f>Q11*'Revenue Energy &amp; Other'!Q7</f>
        <v>6166.1941012089383</v>
      </c>
    </row>
    <row r="9" spans="1:17" ht="3" customHeight="1" x14ac:dyDescent="0.2"/>
    <row r="10" spans="1:17" x14ac:dyDescent="0.2">
      <c r="B10" s="51" t="s">
        <v>61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x14ac:dyDescent="0.2">
      <c r="B11" s="52" t="s">
        <v>159</v>
      </c>
      <c r="C11" s="263"/>
      <c r="D11" s="263"/>
      <c r="E11" s="263"/>
      <c r="F11" s="263"/>
      <c r="G11" s="263"/>
      <c r="H11" s="136">
        <f>CHOOSE(Drivers!$C$3,'Gross Profit Energy &amp; Other'!H14,'Gross Profit Energy &amp; Other'!H17,'Gross Profit Energy &amp; Other'!H21)</f>
        <v>0.11355719660025081</v>
      </c>
      <c r="I11" s="136">
        <f>CHOOSE(Drivers!$C$3,'Gross Profit Energy &amp; Other'!I14,'Gross Profit Energy &amp; Other'!I17,'Gross Profit Energy &amp; Other'!I21)</f>
        <v>0.11355719660025081</v>
      </c>
      <c r="J11" s="136">
        <f>CHOOSE(Drivers!$C$3,'Gross Profit Energy &amp; Other'!J14,'Gross Profit Energy &amp; Other'!J17,'Gross Profit Energy &amp; Other'!J21)</f>
        <v>0.11355719660025081</v>
      </c>
      <c r="K11" s="136">
        <f>CHOOSE(Drivers!$C$3,'Gross Profit Energy &amp; Other'!K14,'Gross Profit Energy &amp; Other'!K17,'Gross Profit Energy &amp; Other'!K21)</f>
        <v>0.11355719660025081</v>
      </c>
      <c r="L11" s="136">
        <f>CHOOSE(Drivers!$C$3,'Gross Profit Energy &amp; Other'!L14,'Gross Profit Energy &amp; Other'!L17,'Gross Profit Energy &amp; Other'!L21)</f>
        <v>0.11355719660025081</v>
      </c>
      <c r="M11" s="136">
        <f>CHOOSE(Drivers!$C$3,'Gross Profit Energy &amp; Other'!M14,'Gross Profit Energy &amp; Other'!M17,'Gross Profit Energy &amp; Other'!M21)</f>
        <v>0.11355719660025081</v>
      </c>
      <c r="N11" s="136">
        <f>CHOOSE(Drivers!$C$3,'Gross Profit Energy &amp; Other'!N14,'Gross Profit Energy &amp; Other'!N17,'Gross Profit Energy &amp; Other'!N21)</f>
        <v>0.11355719660025081</v>
      </c>
      <c r="O11" s="136">
        <f>CHOOSE(Drivers!$C$3,'Gross Profit Energy &amp; Other'!O14,'Gross Profit Energy &amp; Other'!O17,'Gross Profit Energy &amp; Other'!O21)</f>
        <v>0.11355719660025081</v>
      </c>
      <c r="P11" s="136">
        <f>CHOOSE(Drivers!$C$3,'Gross Profit Energy &amp; Other'!P14,'Gross Profit Energy &amp; Other'!P17,'Gross Profit Energy &amp; Other'!P21)</f>
        <v>0.11355719660025081</v>
      </c>
      <c r="Q11" s="136">
        <f>CHOOSE(Drivers!$C$3,'Gross Profit Energy &amp; Other'!Q14,'Gross Profit Energy &amp; Other'!Q17,'Gross Profit Energy &amp; Other'!Q21)</f>
        <v>0.11355719660025081</v>
      </c>
    </row>
    <row r="12" spans="1:17" x14ac:dyDescent="0.2">
      <c r="B12" s="52"/>
      <c r="C12" s="137"/>
      <c r="D12" s="137"/>
      <c r="E12" s="137"/>
      <c r="F12" s="137"/>
      <c r="G12" s="138"/>
      <c r="H12" s="137"/>
      <c r="I12" s="138"/>
      <c r="J12" s="138"/>
      <c r="K12" s="138"/>
      <c r="L12" s="138"/>
      <c r="M12" s="138"/>
      <c r="N12" s="138"/>
      <c r="O12" s="138"/>
      <c r="P12" s="138"/>
      <c r="Q12" s="138"/>
    </row>
    <row r="13" spans="1:17" x14ac:dyDescent="0.2">
      <c r="B13" s="63" t="s">
        <v>163</v>
      </c>
      <c r="C13" s="137"/>
      <c r="D13" s="137"/>
      <c r="E13" s="137"/>
      <c r="F13" s="137"/>
      <c r="G13" s="138"/>
      <c r="H13" s="137"/>
      <c r="I13" s="138"/>
      <c r="J13" s="138"/>
      <c r="K13" s="138"/>
      <c r="L13" s="138"/>
      <c r="M13" s="138"/>
      <c r="N13" s="138"/>
      <c r="O13" s="138"/>
      <c r="P13" s="138"/>
      <c r="Q13" s="138"/>
    </row>
    <row r="14" spans="1:17" x14ac:dyDescent="0.2">
      <c r="B14" s="51" t="s">
        <v>57</v>
      </c>
      <c r="C14" s="138"/>
      <c r="D14" s="138"/>
      <c r="E14" s="138"/>
      <c r="F14" s="138"/>
      <c r="G14" s="138"/>
      <c r="H14" s="234">
        <f>H17+Drivers!$C$13</f>
        <v>0.14455719660025079</v>
      </c>
      <c r="I14" s="234">
        <f>I17+Drivers!$C$13</f>
        <v>0.14455719660025079</v>
      </c>
      <c r="J14" s="234">
        <f>J17+Drivers!$C$13</f>
        <v>0.14455719660025079</v>
      </c>
      <c r="K14" s="234">
        <f>K17+Drivers!$C$13</f>
        <v>0.14455719660025079</v>
      </c>
      <c r="L14" s="234">
        <f>L17+Drivers!$C$13</f>
        <v>0.14455719660025079</v>
      </c>
      <c r="M14" s="234">
        <f>M17+Drivers!$C$13</f>
        <v>0.14455719660025079</v>
      </c>
      <c r="N14" s="234">
        <f>N17+Drivers!$C$13</f>
        <v>0.14455719660025079</v>
      </c>
      <c r="O14" s="234">
        <f>O17+Drivers!$C$13</f>
        <v>0.14455719660025079</v>
      </c>
      <c r="P14" s="234">
        <f>P17+Drivers!$C$13</f>
        <v>0.14455719660025079</v>
      </c>
      <c r="Q14" s="234">
        <f>Q17+Drivers!$C$13</f>
        <v>0.14455719660025079</v>
      </c>
    </row>
    <row r="15" spans="1:17" x14ac:dyDescent="0.2">
      <c r="B15" s="52" t="s">
        <v>159</v>
      </c>
      <c r="C15" s="137"/>
      <c r="D15" s="234"/>
      <c r="E15" s="234"/>
      <c r="F15" s="234"/>
      <c r="G15" s="138"/>
      <c r="H15" s="234"/>
      <c r="I15" s="234"/>
      <c r="J15" s="234"/>
      <c r="K15" s="234"/>
      <c r="L15" s="234"/>
      <c r="M15" s="234"/>
      <c r="N15" s="234"/>
      <c r="O15" s="234"/>
      <c r="P15" s="234"/>
      <c r="Q15" s="234"/>
    </row>
    <row r="16" spans="1:17" x14ac:dyDescent="0.2">
      <c r="B16" s="52"/>
      <c r="C16" s="137"/>
      <c r="D16" s="137"/>
      <c r="E16" s="137"/>
      <c r="F16" s="137"/>
      <c r="G16" s="138"/>
      <c r="H16" s="137"/>
      <c r="I16" s="138"/>
      <c r="J16" s="138"/>
      <c r="K16" s="138"/>
      <c r="L16" s="138"/>
      <c r="M16" s="138"/>
      <c r="N16" s="138"/>
      <c r="O16" s="138"/>
      <c r="P16" s="138"/>
      <c r="Q16" s="138"/>
    </row>
    <row r="17" spans="2:17" x14ac:dyDescent="0.2">
      <c r="B17" s="51" t="s">
        <v>283</v>
      </c>
      <c r="C17" s="263">
        <f>C7/'Revenue Energy &amp; Other'!C7</f>
        <v>-3.5351236534668484E-2</v>
      </c>
      <c r="D17" s="263">
        <f>D7/'Revenue Energy &amp; Other'!D7</f>
        <v>4.99E-2</v>
      </c>
      <c r="E17" s="263">
        <f>E7/'Revenue Energy &amp; Other'!E7</f>
        <v>0.11355719660025081</v>
      </c>
      <c r="F17" s="263">
        <f>F7/'Revenue Energy &amp; Other'!F7</f>
        <v>0.15775945683802134</v>
      </c>
      <c r="G17" s="263">
        <f>G7/'Revenue Energy &amp; Other'!G7</f>
        <v>0.18706770483380103</v>
      </c>
      <c r="H17" s="138">
        <f>MEDIAN(C17:G17)</f>
        <v>0.11355719660025081</v>
      </c>
      <c r="I17" s="138">
        <f>$H$17</f>
        <v>0.11355719660025081</v>
      </c>
      <c r="J17" s="138">
        <f t="shared" ref="J17:Q17" si="1">$H$17</f>
        <v>0.11355719660025081</v>
      </c>
      <c r="K17" s="138">
        <f t="shared" si="1"/>
        <v>0.11355719660025081</v>
      </c>
      <c r="L17" s="138">
        <f t="shared" si="1"/>
        <v>0.11355719660025081</v>
      </c>
      <c r="M17" s="138">
        <f t="shared" si="1"/>
        <v>0.11355719660025081</v>
      </c>
      <c r="N17" s="138">
        <f t="shared" si="1"/>
        <v>0.11355719660025081</v>
      </c>
      <c r="O17" s="138">
        <f t="shared" si="1"/>
        <v>0.11355719660025081</v>
      </c>
      <c r="P17" s="138">
        <f t="shared" si="1"/>
        <v>0.11355719660025081</v>
      </c>
      <c r="Q17" s="138">
        <f t="shared" si="1"/>
        <v>0.11355719660025081</v>
      </c>
    </row>
    <row r="18" spans="2:17" x14ac:dyDescent="0.2">
      <c r="B18" s="52" t="s">
        <v>159</v>
      </c>
      <c r="C18" s="263"/>
      <c r="D18" s="263"/>
      <c r="E18" s="263"/>
      <c r="F18" s="263"/>
      <c r="G18" s="263"/>
      <c r="H18" s="136"/>
      <c r="I18" s="136"/>
      <c r="J18" s="136"/>
      <c r="K18" s="136"/>
      <c r="L18" s="136"/>
      <c r="M18" s="136"/>
      <c r="N18" s="136"/>
      <c r="O18" s="136"/>
      <c r="P18" s="136"/>
      <c r="Q18" s="136"/>
    </row>
    <row r="19" spans="2:17" x14ac:dyDescent="0.2">
      <c r="B19" s="52"/>
      <c r="C19" s="137"/>
      <c r="D19" s="137"/>
      <c r="E19" s="137"/>
      <c r="F19" s="137"/>
      <c r="G19" s="138"/>
      <c r="H19" s="137"/>
      <c r="I19" s="138"/>
      <c r="J19" s="138"/>
      <c r="K19" s="138"/>
      <c r="L19" s="138"/>
      <c r="M19" s="138"/>
      <c r="N19" s="138"/>
      <c r="O19" s="138"/>
      <c r="P19" s="138"/>
      <c r="Q19" s="138"/>
    </row>
    <row r="20" spans="2:17" x14ac:dyDescent="0.2">
      <c r="B20" s="51" t="s">
        <v>59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</row>
    <row r="21" spans="2:17" x14ac:dyDescent="0.2">
      <c r="B21" s="52" t="s">
        <v>159</v>
      </c>
      <c r="C21" s="137"/>
      <c r="D21" s="234"/>
      <c r="E21" s="234"/>
      <c r="F21" s="234"/>
      <c r="G21" s="138"/>
      <c r="H21" s="234">
        <f>H17-Drivers!$C$13</f>
        <v>8.2557196600250807E-2</v>
      </c>
      <c r="I21" s="234">
        <f>I17-Drivers!$C$13</f>
        <v>8.2557196600250807E-2</v>
      </c>
      <c r="J21" s="234">
        <f>J17-Drivers!$C$13</f>
        <v>8.2557196600250807E-2</v>
      </c>
      <c r="K21" s="234">
        <f>K17-Drivers!$C$13</f>
        <v>8.2557196600250807E-2</v>
      </c>
      <c r="L21" s="234">
        <f>L17-Drivers!$C$13</f>
        <v>8.2557196600250807E-2</v>
      </c>
      <c r="M21" s="234">
        <f>M17-Drivers!$C$13</f>
        <v>8.2557196600250807E-2</v>
      </c>
      <c r="N21" s="234">
        <f>N17-Drivers!$C$13</f>
        <v>8.2557196600250807E-2</v>
      </c>
      <c r="O21" s="234">
        <f>O17-Drivers!$C$13</f>
        <v>8.2557196600250807E-2</v>
      </c>
      <c r="P21" s="234">
        <f>P17-Drivers!$C$13</f>
        <v>8.2557196600250807E-2</v>
      </c>
      <c r="Q21" s="234">
        <f>Q17-Drivers!$C$13</f>
        <v>8.2557196600250807E-2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Q7"/>
  <sheetViews>
    <sheetView workbookViewId="0">
      <selection activeCell="B4" sqref="B4"/>
    </sheetView>
  </sheetViews>
  <sheetFormatPr defaultColWidth="9.140625" defaultRowHeight="12" x14ac:dyDescent="0.2"/>
  <cols>
    <col min="1" max="1" width="2" style="7" customWidth="1"/>
    <col min="2" max="2" width="27.5703125" style="7" customWidth="1"/>
    <col min="3" max="4" width="9.5703125" style="7" bestFit="1" customWidth="1"/>
    <col min="5" max="17" width="10.5703125" style="7" bestFit="1" customWidth="1"/>
    <col min="18" max="16384" width="9.140625" style="7"/>
  </cols>
  <sheetData>
    <row r="1" spans="1:17" ht="15.75" x14ac:dyDescent="0.2">
      <c r="A1" s="1"/>
      <c r="B1" s="2" t="s">
        <v>187</v>
      </c>
    </row>
    <row r="2" spans="1:17" ht="15.75" x14ac:dyDescent="0.2">
      <c r="A2" s="1"/>
      <c r="B2" s="2"/>
    </row>
    <row r="3" spans="1:17" x14ac:dyDescent="0.2">
      <c r="C3" s="368" t="s">
        <v>207</v>
      </c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</row>
    <row r="4" spans="1:17" ht="24" x14ac:dyDescent="0.2">
      <c r="B4" s="352" t="s">
        <v>349</v>
      </c>
      <c r="C4" s="6" t="s">
        <v>241</v>
      </c>
      <c r="D4" s="6" t="s">
        <v>242</v>
      </c>
      <c r="E4" s="6" t="s">
        <v>243</v>
      </c>
      <c r="F4" s="6" t="s">
        <v>244</v>
      </c>
      <c r="G4" s="6" t="s">
        <v>245</v>
      </c>
      <c r="H4" s="57" t="s">
        <v>198</v>
      </c>
      <c r="I4" s="57" t="s">
        <v>199</v>
      </c>
      <c r="J4" s="57" t="s">
        <v>200</v>
      </c>
      <c r="K4" s="57" t="s">
        <v>221</v>
      </c>
      <c r="L4" s="57" t="s">
        <v>258</v>
      </c>
      <c r="M4" s="57" t="s">
        <v>257</v>
      </c>
      <c r="N4" s="57" t="s">
        <v>256</v>
      </c>
      <c r="O4" s="57" t="s">
        <v>255</v>
      </c>
      <c r="P4" s="57" t="s">
        <v>254</v>
      </c>
      <c r="Q4" s="57" t="s">
        <v>253</v>
      </c>
    </row>
    <row r="5" spans="1:17" x14ac:dyDescent="0.2">
      <c r="B5" s="7" t="s">
        <v>3</v>
      </c>
      <c r="C5" s="246">
        <f>-('Revenue Energy &amp; Other'!C5-'Gross Profit Energy &amp; Other'!C5)</f>
        <v>-2918</v>
      </c>
      <c r="D5" s="246">
        <f>-('Revenue Energy &amp; Other'!D5-'Gross Profit Energy &amp; Other'!D5)</f>
        <v>-3621</v>
      </c>
      <c r="E5" s="246">
        <f>-('Revenue Energy &amp; Other'!E5-'Gross Profit Energy &amp; Other'!E5)</f>
        <v>-4894</v>
      </c>
      <c r="F5" s="246">
        <f>-('Revenue Energy &amp; Other'!F5-'Gross Profit Energy &amp; Other'!F5)</f>
        <v>-7446</v>
      </c>
      <c r="G5" s="266">
        <f>-('Revenue Energy &amp; Other'!G5-'Gross Profit Energy &amp; Other'!G5)</f>
        <v>-8969</v>
      </c>
      <c r="H5" s="264" t="s">
        <v>51</v>
      </c>
      <c r="I5" s="264" t="s">
        <v>51</v>
      </c>
      <c r="J5" s="264" t="s">
        <v>51</v>
      </c>
      <c r="K5" s="264" t="s">
        <v>51</v>
      </c>
      <c r="L5" s="264" t="s">
        <v>51</v>
      </c>
      <c r="M5" s="264" t="s">
        <v>51</v>
      </c>
      <c r="N5" s="264" t="s">
        <v>51</v>
      </c>
      <c r="O5" s="264" t="s">
        <v>51</v>
      </c>
      <c r="P5" s="264" t="s">
        <v>51</v>
      </c>
      <c r="Q5" s="264" t="s">
        <v>51</v>
      </c>
    </row>
    <row r="6" spans="1:17" x14ac:dyDescent="0.2">
      <c r="B6" s="7" t="s">
        <v>2</v>
      </c>
      <c r="C6" s="246">
        <f>-('Revenue Energy &amp; Other'!C6-'Gross Profit Energy &amp; Other'!C6)</f>
        <v>-3906</v>
      </c>
      <c r="D6" s="246">
        <f>-('Revenue Energy &amp; Other'!D6-'Gross Profit Energy &amp; Other'!D6)</f>
        <v>-5880</v>
      </c>
      <c r="E6" s="246">
        <f>-('Revenue Energy &amp; Other'!E6-'Gross Profit Energy &amp; Other'!E6)</f>
        <v>-7830</v>
      </c>
      <c r="F6" s="246">
        <f>-('Revenue Energy &amp; Other'!F6-'Gross Profit Energy &amp; Other'!F6)</f>
        <v>-9921</v>
      </c>
      <c r="G6" s="267">
        <f>-('Revenue Energy &amp; Other'!G6-'Gross Profit Energy &amp; Other'!G6)</f>
        <v>-11599</v>
      </c>
      <c r="H6" s="264" t="s">
        <v>51</v>
      </c>
      <c r="I6" s="264" t="s">
        <v>51</v>
      </c>
      <c r="J6" s="264" t="s">
        <v>51</v>
      </c>
      <c r="K6" s="264" t="s">
        <v>51</v>
      </c>
      <c r="L6" s="264" t="s">
        <v>51</v>
      </c>
      <c r="M6" s="264" t="s">
        <v>51</v>
      </c>
      <c r="N6" s="264" t="s">
        <v>51</v>
      </c>
      <c r="O6" s="264" t="s">
        <v>51</v>
      </c>
      <c r="P6" s="264" t="s">
        <v>51</v>
      </c>
      <c r="Q6" s="264" t="s">
        <v>51</v>
      </c>
    </row>
    <row r="7" spans="1:17" ht="12.75" thickBot="1" x14ac:dyDescent="0.25">
      <c r="B7" s="9" t="s">
        <v>159</v>
      </c>
      <c r="C7" s="265">
        <f>SUM(C5:C6)</f>
        <v>-6824</v>
      </c>
      <c r="D7" s="265">
        <f t="shared" ref="D7:G7" si="0">SUM(D5:D6)</f>
        <v>-9501</v>
      </c>
      <c r="E7" s="265">
        <f t="shared" si="0"/>
        <v>-12724</v>
      </c>
      <c r="F7" s="265">
        <f t="shared" si="0"/>
        <v>-17367</v>
      </c>
      <c r="G7" s="265">
        <f t="shared" si="0"/>
        <v>-20568</v>
      </c>
      <c r="H7" s="265">
        <f>-('Revenue Energy &amp; Other'!H7-'Gross Profit Energy &amp; Other'!H7)</f>
        <v>-26464.909455204121</v>
      </c>
      <c r="I7" s="265">
        <f>-('Revenue Energy &amp; Other'!I7-'Gross Profit Energy &amp; Other'!I7)</f>
        <v>-29640.698589828618</v>
      </c>
      <c r="J7" s="265">
        <f>-('Revenue Energy &amp; Other'!J7-'Gross Profit Energy &amp; Other'!J7)</f>
        <v>-32011.954477014911</v>
      </c>
      <c r="K7" s="265">
        <f>-('Revenue Energy &amp; Other'!K7-'Gross Profit Energy &amp; Other'!K7)</f>
        <v>-33932.671745635802</v>
      </c>
      <c r="L7" s="265">
        <f>-('Revenue Energy &amp; Other'!L7-'Gross Profit Energy &amp; Other'!L7)</f>
        <v>-35968.632050373955</v>
      </c>
      <c r="M7" s="265">
        <f>-('Revenue Energy &amp; Other'!M7-'Gross Profit Energy &amp; Other'!M7)</f>
        <v>-38126.749973396392</v>
      </c>
      <c r="N7" s="265">
        <f>-('Revenue Energy &amp; Other'!N7-'Gross Profit Energy &amp; Other'!N7)</f>
        <v>-40414.354971800181</v>
      </c>
      <c r="O7" s="265">
        <f>-('Revenue Energy &amp; Other'!O7-'Gross Profit Energy &amp; Other'!O7)</f>
        <v>-42839.216270108198</v>
      </c>
      <c r="P7" s="265">
        <f>-('Revenue Energy &amp; Other'!P7-'Gross Profit Energy &amp; Other'!P7)</f>
        <v>-45409.569246314692</v>
      </c>
      <c r="Q7" s="265">
        <f>-('Revenue Energy &amp; Other'!Q7-'Gross Profit Energy &amp; Other'!Q7)</f>
        <v>-48134.143401093577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/>
  </sheetPr>
  <dimension ref="B14"/>
  <sheetViews>
    <sheetView workbookViewId="0">
      <selection activeCell="B38" sqref="B38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A1:F19"/>
  <sheetViews>
    <sheetView workbookViewId="0">
      <selection activeCell="O9" sqref="O9"/>
    </sheetView>
  </sheetViews>
  <sheetFormatPr defaultColWidth="9.140625" defaultRowHeight="12" x14ac:dyDescent="0.2"/>
  <cols>
    <col min="1" max="1" width="2" style="7" customWidth="1"/>
    <col min="2" max="2" width="17.7109375" style="7" customWidth="1"/>
    <col min="3" max="3" width="33.28515625" style="7" customWidth="1"/>
    <col min="4" max="4" width="11.7109375" style="7" customWidth="1"/>
    <col min="5" max="6" width="9.140625" style="7"/>
    <col min="7" max="7" width="2" style="7" customWidth="1"/>
    <col min="8" max="16384" width="9.140625" style="7"/>
  </cols>
  <sheetData>
    <row r="1" spans="1:6" ht="15.75" x14ac:dyDescent="0.2">
      <c r="A1" s="1"/>
      <c r="B1" s="2" t="s">
        <v>184</v>
      </c>
    </row>
    <row r="2" spans="1:6" ht="15.75" x14ac:dyDescent="0.2">
      <c r="A2" s="1"/>
      <c r="B2" s="2"/>
    </row>
    <row r="3" spans="1:6" ht="12.75" x14ac:dyDescent="0.2">
      <c r="A3" s="1"/>
      <c r="B3" s="60" t="s">
        <v>229</v>
      </c>
    </row>
    <row r="5" spans="1:6" x14ac:dyDescent="0.2">
      <c r="F5" s="7" t="s">
        <v>148</v>
      </c>
    </row>
    <row r="6" spans="1:6" x14ac:dyDescent="0.2">
      <c r="B6" s="27" t="s">
        <v>218</v>
      </c>
      <c r="C6" s="135" t="s">
        <v>146</v>
      </c>
      <c r="D6" s="39" t="s">
        <v>178</v>
      </c>
    </row>
    <row r="7" spans="1:6" x14ac:dyDescent="0.2">
      <c r="B7" s="7" t="s">
        <v>143</v>
      </c>
      <c r="C7" s="268">
        <v>0.12</v>
      </c>
      <c r="D7" s="269">
        <f t="shared" ref="D7:D12" si="0">C7</f>
        <v>0.12</v>
      </c>
    </row>
    <row r="8" spans="1:6" x14ac:dyDescent="0.2">
      <c r="B8" s="7" t="s">
        <v>167</v>
      </c>
      <c r="C8" s="270">
        <v>0.152</v>
      </c>
      <c r="D8" s="269">
        <f t="shared" si="0"/>
        <v>0.152</v>
      </c>
    </row>
    <row r="9" spans="1:6" x14ac:dyDescent="0.2">
      <c r="B9" s="7" t="s">
        <v>168</v>
      </c>
      <c r="C9" s="269">
        <v>0.13234765875561258</v>
      </c>
      <c r="D9" s="269">
        <f t="shared" si="0"/>
        <v>0.13234765875561258</v>
      </c>
    </row>
    <row r="10" spans="1:6" x14ac:dyDescent="0.2">
      <c r="B10" s="70" t="s">
        <v>169</v>
      </c>
      <c r="C10" s="271">
        <v>9.3051845415807813E-2</v>
      </c>
      <c r="D10" s="271"/>
    </row>
    <row r="11" spans="1:6" x14ac:dyDescent="0.2">
      <c r="B11" s="7" t="s">
        <v>170</v>
      </c>
      <c r="C11" s="269">
        <v>9.9485177024934007E-2</v>
      </c>
      <c r="D11" s="269">
        <f t="shared" si="0"/>
        <v>9.9485177024934007E-2</v>
      </c>
    </row>
    <row r="12" spans="1:6" x14ac:dyDescent="0.2">
      <c r="B12" s="7" t="s">
        <v>171</v>
      </c>
      <c r="C12" s="106">
        <v>0.11</v>
      </c>
      <c r="D12" s="269">
        <f t="shared" si="0"/>
        <v>0.11</v>
      </c>
    </row>
    <row r="13" spans="1:6" x14ac:dyDescent="0.2">
      <c r="B13" s="70" t="s">
        <v>172</v>
      </c>
      <c r="C13" s="271">
        <v>0.37065334104237219</v>
      </c>
      <c r="D13" s="271"/>
    </row>
    <row r="14" spans="1:6" x14ac:dyDescent="0.2">
      <c r="B14" s="70" t="s">
        <v>173</v>
      </c>
      <c r="C14" s="272">
        <v>0.30660065131342956</v>
      </c>
      <c r="D14" s="272"/>
    </row>
    <row r="15" spans="1:6" x14ac:dyDescent="0.2">
      <c r="B15" s="70" t="s">
        <v>174</v>
      </c>
      <c r="C15" s="271">
        <v>0.27674450401753298</v>
      </c>
      <c r="D15" s="271"/>
    </row>
    <row r="16" spans="1:6" x14ac:dyDescent="0.2">
      <c r="B16" s="7" t="s">
        <v>175</v>
      </c>
      <c r="C16" s="269">
        <v>0.15</v>
      </c>
      <c r="D16" s="269">
        <f>C16</f>
        <v>0.15</v>
      </c>
    </row>
    <row r="17" spans="2:4" x14ac:dyDescent="0.2">
      <c r="B17" s="7" t="s">
        <v>176</v>
      </c>
      <c r="C17" s="269">
        <v>0.15</v>
      </c>
      <c r="D17" s="269">
        <f>C17</f>
        <v>0.15</v>
      </c>
    </row>
    <row r="18" spans="2:4" x14ac:dyDescent="0.2">
      <c r="B18" s="70" t="s">
        <v>177</v>
      </c>
      <c r="C18" s="271">
        <v>3.6857379767827526E-2</v>
      </c>
      <c r="D18" s="271"/>
    </row>
    <row r="19" spans="2:4" x14ac:dyDescent="0.2">
      <c r="B19" s="8" t="s">
        <v>146</v>
      </c>
      <c r="C19" s="273">
        <f>AVERAGE(C7:C18)</f>
        <v>0.16647837977812638</v>
      </c>
      <c r="D19" s="273">
        <f>AVERAGE(D7:D18)</f>
        <v>0.13054754796864951</v>
      </c>
    </row>
  </sheetData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>
      <selection activeCell="B4" sqref="B4"/>
    </sheetView>
  </sheetViews>
  <sheetFormatPr defaultColWidth="9.140625" defaultRowHeight="12" x14ac:dyDescent="0.2"/>
  <cols>
    <col min="1" max="1" width="2" style="7" customWidth="1"/>
    <col min="2" max="2" width="20.7109375" style="7" bestFit="1" customWidth="1"/>
    <col min="3" max="5" width="10" style="7" bestFit="1" customWidth="1"/>
    <col min="6" max="7" width="10.5703125" style="7" bestFit="1" customWidth="1"/>
    <col min="8" max="17" width="11.42578125" style="7" bestFit="1" customWidth="1"/>
    <col min="18" max="16384" width="9.140625" style="7"/>
  </cols>
  <sheetData>
    <row r="1" spans="1:17" ht="15.75" x14ac:dyDescent="0.2">
      <c r="A1" s="1"/>
      <c r="B1" s="2" t="s">
        <v>64</v>
      </c>
    </row>
    <row r="3" spans="1:17" x14ac:dyDescent="0.2">
      <c r="C3" s="368" t="s">
        <v>180</v>
      </c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</row>
    <row r="4" spans="1:17" ht="24" x14ac:dyDescent="0.2">
      <c r="B4" s="352" t="s">
        <v>349</v>
      </c>
      <c r="C4" s="6" t="s">
        <v>241</v>
      </c>
      <c r="D4" s="6" t="s">
        <v>242</v>
      </c>
      <c r="E4" s="6" t="s">
        <v>243</v>
      </c>
      <c r="F4" s="6" t="s">
        <v>244</v>
      </c>
      <c r="G4" s="6" t="s">
        <v>245</v>
      </c>
      <c r="H4" s="57" t="s">
        <v>198</v>
      </c>
      <c r="I4" s="57" t="s">
        <v>199</v>
      </c>
      <c r="J4" s="57" t="s">
        <v>200</v>
      </c>
      <c r="K4" s="57" t="s">
        <v>221</v>
      </c>
      <c r="L4" s="57" t="s">
        <v>258</v>
      </c>
      <c r="M4" s="57" t="s">
        <v>257</v>
      </c>
      <c r="N4" s="57" t="s">
        <v>256</v>
      </c>
      <c r="O4" s="57" t="s">
        <v>255</v>
      </c>
      <c r="P4" s="57" t="s">
        <v>254</v>
      </c>
      <c r="Q4" s="57" t="s">
        <v>253</v>
      </c>
    </row>
    <row r="5" spans="1:17" x14ac:dyDescent="0.2">
      <c r="B5" s="7" t="s">
        <v>83</v>
      </c>
      <c r="C5" s="246">
        <f>'Revenue Energy &amp; Other'!C7+'Automotive Revenue'!C10</f>
        <v>53823</v>
      </c>
      <c r="D5" s="246">
        <f>'Revenue Energy &amp; Other'!D7+'Automotive Revenue'!D10</f>
        <v>81462</v>
      </c>
      <c r="E5" s="246">
        <f>'Revenue Energy &amp; Other'!E7+'Automotive Revenue'!E10</f>
        <v>96773</v>
      </c>
      <c r="F5" s="246">
        <f>'Revenue Energy &amp; Other'!F7+'Automotive Revenue'!F10</f>
        <v>97690</v>
      </c>
      <c r="G5" s="266">
        <f>'Revenue Energy &amp; Other'!G7+'Automotive Revenue'!G10</f>
        <v>94827</v>
      </c>
      <c r="H5" s="264">
        <f>'Revenue Energy &amp; Other'!H7+'Automotive Revenue'!H10</f>
        <v>125044.26749999999</v>
      </c>
      <c r="I5" s="264">
        <f>'Revenue Energy &amp; Other'!I7+'Automotive Revenue'!I10</f>
        <v>140977.1416</v>
      </c>
      <c r="J5" s="264">
        <f>'Revenue Energy &amp; Other'!J7+'Automotive Revenue'!J10</f>
        <v>162200.83572800001</v>
      </c>
      <c r="K5" s="264">
        <f>'Revenue Energy &amp; Other'!K7+'Automotive Revenue'!K10</f>
        <v>183856.22027168001</v>
      </c>
      <c r="L5" s="264">
        <f>'Revenue Energy &amp; Other'!L7+'Automotive Revenue'!L10</f>
        <v>210075.22098798081</v>
      </c>
      <c r="M5" s="264">
        <f>'Revenue Energy &amp; Other'!M7+'Automotive Revenue'!M10</f>
        <v>233932.52824725967</v>
      </c>
      <c r="N5" s="264">
        <f>'Revenue Energy &amp; Other'!N7+'Automotive Revenue'!N10</f>
        <v>257935.91044209522</v>
      </c>
      <c r="O5" s="264">
        <f>'Revenue Energy &amp; Other'!O7+'Automotive Revenue'!O10</f>
        <v>282094.13206862094</v>
      </c>
      <c r="P5" s="264">
        <f>'Revenue Energy &amp; Other'!P7+'Automotive Revenue'!P10</f>
        <v>306416.48349273822</v>
      </c>
      <c r="Q5" s="264">
        <f>'Revenue Energy &amp; Other'!Q7+'Automotive Revenue'!Q10</f>
        <v>330912.81250230246</v>
      </c>
    </row>
    <row r="6" spans="1:17" x14ac:dyDescent="0.2">
      <c r="B6" s="7" t="s">
        <v>65</v>
      </c>
      <c r="C6" s="274">
        <f>C7/C5</f>
        <v>-0.13159801571818738</v>
      </c>
      <c r="D6" s="274">
        <f>D7/D5</f>
        <v>-8.8347941371436992E-2</v>
      </c>
      <c r="E6" s="274">
        <f>E7/E5</f>
        <v>-9.0614117574116748E-2</v>
      </c>
      <c r="F6" s="274">
        <f>F7/F5</f>
        <v>-0.10619305967857509</v>
      </c>
      <c r="G6" s="274">
        <f>G7/G5</f>
        <v>-0.13433937591614203</v>
      </c>
      <c r="H6" s="275">
        <f>H10</f>
        <v>-0.13054754796864951</v>
      </c>
      <c r="I6" s="275">
        <f t="shared" ref="I6:Q6" si="0">I10</f>
        <v>-0.13054754796864951</v>
      </c>
      <c r="J6" s="275">
        <f t="shared" si="0"/>
        <v>-0.13054754796864951</v>
      </c>
      <c r="K6" s="275">
        <f t="shared" si="0"/>
        <v>-0.13054754796864951</v>
      </c>
      <c r="L6" s="275">
        <f t="shared" si="0"/>
        <v>-0.13054754796864951</v>
      </c>
      <c r="M6" s="275">
        <f t="shared" si="0"/>
        <v>-0.13054754796864951</v>
      </c>
      <c r="N6" s="275">
        <f t="shared" si="0"/>
        <v>-0.13054754796864951</v>
      </c>
      <c r="O6" s="275">
        <f t="shared" si="0"/>
        <v>-0.13054754796864951</v>
      </c>
      <c r="P6" s="275">
        <f t="shared" si="0"/>
        <v>-0.13054754796864951</v>
      </c>
      <c r="Q6" s="275">
        <f t="shared" si="0"/>
        <v>-0.13054754796864951</v>
      </c>
    </row>
    <row r="7" spans="1:17" x14ac:dyDescent="0.2">
      <c r="B7" s="62" t="s">
        <v>64</v>
      </c>
      <c r="C7" s="261">
        <f>('P&amp;L Input'!C12+'P&amp;L Input'!C13+'P&amp;L Input'!C14)</f>
        <v>-7083</v>
      </c>
      <c r="D7" s="261">
        <f>('P&amp;L Input'!D12+'P&amp;L Input'!D13+'P&amp;L Input'!D14)</f>
        <v>-7197</v>
      </c>
      <c r="E7" s="261">
        <f>('P&amp;L Input'!E12+'P&amp;L Input'!E13+'P&amp;L Input'!E14)</f>
        <v>-8769</v>
      </c>
      <c r="F7" s="261">
        <f>('P&amp;L Input'!F12+'P&amp;L Input'!F13+'P&amp;L Input'!F14)</f>
        <v>-10374</v>
      </c>
      <c r="G7" s="261">
        <f>('P&amp;L Input'!G12+'P&amp;L Input'!G13+'P&amp;L Input'!G14)</f>
        <v>-12739</v>
      </c>
      <c r="H7" s="276">
        <f>H5*H6</f>
        <v>-16324.222509660889</v>
      </c>
      <c r="I7" s="276">
        <f t="shared" ref="I7:Q7" si="1">I5*I6</f>
        <v>-18404.220155509094</v>
      </c>
      <c r="J7" s="276">
        <f t="shared" si="1"/>
        <v>-21174.921382756118</v>
      </c>
      <c r="K7" s="276">
        <f t="shared" si="1"/>
        <v>-24001.978735251738</v>
      </c>
      <c r="L7" s="276">
        <f t="shared" si="1"/>
        <v>-27424.80498895307</v>
      </c>
      <c r="M7" s="276">
        <f t="shared" si="1"/>
        <v>-30539.317952786587</v>
      </c>
      <c r="N7" s="276">
        <f t="shared" si="1"/>
        <v>-33672.900641276712</v>
      </c>
      <c r="O7" s="276">
        <f t="shared" si="1"/>
        <v>-36826.697237902838</v>
      </c>
      <c r="P7" s="276">
        <f t="shared" si="1"/>
        <v>-40001.920577153141</v>
      </c>
      <c r="Q7" s="276">
        <f t="shared" si="1"/>
        <v>-43199.856263585054</v>
      </c>
    </row>
    <row r="8" spans="1:17" x14ac:dyDescent="0.2"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 x14ac:dyDescent="0.2">
      <c r="B9" s="51" t="s">
        <v>61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x14ac:dyDescent="0.2">
      <c r="B10" s="52" t="s">
        <v>179</v>
      </c>
      <c r="C10" s="64"/>
      <c r="D10" s="64"/>
      <c r="E10" s="64"/>
      <c r="F10" s="64"/>
      <c r="G10" s="52"/>
      <c r="H10" s="136">
        <f>CHOOSE(Drivers!$C$3,Opex!H14,Opex!H17,Opex!H20)</f>
        <v>-0.13054754796864951</v>
      </c>
      <c r="I10" s="136">
        <f>CHOOSE(Drivers!$C$3,Opex!I14,Opex!I17,Opex!I20)</f>
        <v>-0.13054754796864951</v>
      </c>
      <c r="J10" s="136">
        <f>CHOOSE(Drivers!$C$3,Opex!J14,Opex!J17,Opex!J20)</f>
        <v>-0.13054754796864951</v>
      </c>
      <c r="K10" s="136">
        <f>CHOOSE(Drivers!$C$3,Opex!K14,Opex!K17,Opex!K20)</f>
        <v>-0.13054754796864951</v>
      </c>
      <c r="L10" s="136">
        <f>CHOOSE(Drivers!$C$3,Opex!L14,Opex!L17,Opex!L20)</f>
        <v>-0.13054754796864951</v>
      </c>
      <c r="M10" s="136">
        <f>CHOOSE(Drivers!$C$3,Opex!M14,Opex!M17,Opex!M20)</f>
        <v>-0.13054754796864951</v>
      </c>
      <c r="N10" s="136">
        <f>CHOOSE(Drivers!$C$3,Opex!N14,Opex!N17,Opex!N20)</f>
        <v>-0.13054754796864951</v>
      </c>
      <c r="O10" s="136">
        <f>CHOOSE(Drivers!$C$3,Opex!O14,Opex!O17,Opex!O20)</f>
        <v>-0.13054754796864951</v>
      </c>
      <c r="P10" s="136">
        <f>CHOOSE(Drivers!$C$3,Opex!P14,Opex!P17,Opex!P20)</f>
        <v>-0.13054754796864951</v>
      </c>
      <c r="Q10" s="136">
        <f>CHOOSE(Drivers!$C$3,Opex!Q14,Opex!Q17,Opex!Q20)</f>
        <v>-0.13054754796864951</v>
      </c>
    </row>
    <row r="11" spans="1:17" x14ac:dyDescent="0.2">
      <c r="B11" s="52"/>
      <c r="C11" s="55"/>
      <c r="D11" s="55"/>
      <c r="E11" s="55"/>
      <c r="F11" s="55"/>
      <c r="G11" s="52"/>
      <c r="H11" s="137"/>
      <c r="I11" s="138"/>
      <c r="J11" s="138"/>
      <c r="K11" s="138"/>
      <c r="L11" s="138"/>
      <c r="M11" s="138"/>
      <c r="N11" s="138"/>
      <c r="O11" s="138"/>
      <c r="P11" s="138"/>
      <c r="Q11" s="138"/>
    </row>
    <row r="12" spans="1:17" x14ac:dyDescent="0.2">
      <c r="B12" s="63" t="s">
        <v>166</v>
      </c>
      <c r="C12" s="55"/>
      <c r="D12" s="55"/>
      <c r="E12" s="55"/>
      <c r="F12" s="55"/>
      <c r="G12" s="52"/>
      <c r="H12" s="137"/>
      <c r="I12" s="138"/>
      <c r="J12" s="138"/>
      <c r="K12" s="138"/>
      <c r="L12" s="138"/>
      <c r="M12" s="138"/>
      <c r="N12" s="138"/>
      <c r="O12" s="138"/>
      <c r="P12" s="138"/>
      <c r="Q12" s="138"/>
    </row>
    <row r="13" spans="1:17" x14ac:dyDescent="0.2">
      <c r="B13" s="51" t="s">
        <v>57</v>
      </c>
      <c r="C13" s="52"/>
      <c r="D13" s="52"/>
      <c r="E13" s="52"/>
      <c r="F13" s="52"/>
      <c r="G13" s="52"/>
      <c r="H13" s="138"/>
      <c r="I13" s="138"/>
      <c r="J13" s="138"/>
      <c r="K13" s="138"/>
      <c r="L13" s="138"/>
      <c r="M13" s="138"/>
      <c r="N13" s="138"/>
      <c r="O13" s="138"/>
      <c r="P13" s="138"/>
      <c r="Q13" s="138"/>
    </row>
    <row r="14" spans="1:17" x14ac:dyDescent="0.2">
      <c r="B14" s="52" t="s">
        <v>179</v>
      </c>
      <c r="C14" s="55"/>
      <c r="D14" s="47"/>
      <c r="E14" s="47"/>
      <c r="F14" s="47"/>
      <c r="G14" s="52"/>
      <c r="H14" s="136">
        <f>H17+2%</f>
        <v>-0.1105475479686495</v>
      </c>
      <c r="I14" s="136">
        <f t="shared" ref="I14:Q14" si="2">I17+2%</f>
        <v>-0.1105475479686495</v>
      </c>
      <c r="J14" s="136">
        <f t="shared" si="2"/>
        <v>-0.1105475479686495</v>
      </c>
      <c r="K14" s="136">
        <f t="shared" si="2"/>
        <v>-0.1105475479686495</v>
      </c>
      <c r="L14" s="136">
        <f t="shared" si="2"/>
        <v>-0.1105475479686495</v>
      </c>
      <c r="M14" s="136">
        <f t="shared" si="2"/>
        <v>-0.1105475479686495</v>
      </c>
      <c r="N14" s="136">
        <f t="shared" si="2"/>
        <v>-0.1105475479686495</v>
      </c>
      <c r="O14" s="136">
        <f t="shared" si="2"/>
        <v>-0.1105475479686495</v>
      </c>
      <c r="P14" s="136">
        <f t="shared" si="2"/>
        <v>-0.1105475479686495</v>
      </c>
      <c r="Q14" s="136">
        <f t="shared" si="2"/>
        <v>-0.1105475479686495</v>
      </c>
    </row>
    <row r="15" spans="1:17" x14ac:dyDescent="0.2">
      <c r="B15" s="52"/>
      <c r="C15" s="55"/>
      <c r="D15" s="55"/>
      <c r="E15" s="55"/>
      <c r="F15" s="55"/>
      <c r="G15" s="52"/>
      <c r="H15" s="137"/>
      <c r="I15" s="138"/>
      <c r="J15" s="138"/>
      <c r="K15" s="138"/>
      <c r="L15" s="138"/>
      <c r="M15" s="138"/>
      <c r="N15" s="138"/>
      <c r="O15" s="138"/>
      <c r="P15" s="138"/>
      <c r="Q15" s="138"/>
    </row>
    <row r="16" spans="1:17" x14ac:dyDescent="0.2">
      <c r="B16" s="51" t="s">
        <v>58</v>
      </c>
      <c r="C16" s="52"/>
      <c r="D16" s="52"/>
      <c r="E16" s="52"/>
      <c r="F16" s="52"/>
      <c r="G16" s="52"/>
      <c r="H16" s="138"/>
      <c r="I16" s="138"/>
      <c r="J16" s="138"/>
      <c r="K16" s="138"/>
      <c r="L16" s="138"/>
      <c r="M16" s="138"/>
      <c r="N16" s="138"/>
      <c r="O16" s="138"/>
      <c r="P16" s="138"/>
      <c r="Q16" s="138"/>
    </row>
    <row r="17" spans="2:17" x14ac:dyDescent="0.2">
      <c r="B17" s="52" t="s">
        <v>179</v>
      </c>
      <c r="C17" s="55"/>
      <c r="D17" s="47"/>
      <c r="E17" s="47"/>
      <c r="F17" s="47"/>
      <c r="G17" s="52"/>
      <c r="H17" s="139">
        <f>-'Opex comparables'!$D$19</f>
        <v>-0.13054754796864951</v>
      </c>
      <c r="I17" s="139">
        <f>-'Opex comparables'!$D$19</f>
        <v>-0.13054754796864951</v>
      </c>
      <c r="J17" s="139">
        <f>-'Opex comparables'!$D$19</f>
        <v>-0.13054754796864951</v>
      </c>
      <c r="K17" s="139">
        <f>-'Opex comparables'!$D$19</f>
        <v>-0.13054754796864951</v>
      </c>
      <c r="L17" s="139">
        <f>-'Opex comparables'!$D$19</f>
        <v>-0.13054754796864951</v>
      </c>
      <c r="M17" s="139">
        <f>-'Opex comparables'!$D$19</f>
        <v>-0.13054754796864951</v>
      </c>
      <c r="N17" s="139">
        <f>-'Opex comparables'!$D$19</f>
        <v>-0.13054754796864951</v>
      </c>
      <c r="O17" s="139">
        <f>-'Opex comparables'!$D$19</f>
        <v>-0.13054754796864951</v>
      </c>
      <c r="P17" s="139">
        <f>-'Opex comparables'!$D$19</f>
        <v>-0.13054754796864951</v>
      </c>
      <c r="Q17" s="139">
        <f>-'Opex comparables'!$D$19</f>
        <v>-0.13054754796864951</v>
      </c>
    </row>
    <row r="18" spans="2:17" x14ac:dyDescent="0.2">
      <c r="B18" s="52"/>
      <c r="C18" s="55"/>
      <c r="D18" s="55"/>
      <c r="E18" s="55"/>
      <c r="F18" s="55"/>
      <c r="G18" s="52"/>
      <c r="H18" s="137"/>
      <c r="I18" s="138"/>
      <c r="J18" s="138"/>
      <c r="K18" s="138"/>
      <c r="L18" s="138"/>
      <c r="M18" s="138"/>
      <c r="N18" s="138"/>
      <c r="O18" s="138"/>
      <c r="P18" s="138"/>
      <c r="Q18" s="138"/>
    </row>
    <row r="19" spans="2:17" x14ac:dyDescent="0.2">
      <c r="B19" s="51" t="s">
        <v>59</v>
      </c>
      <c r="C19" s="52"/>
      <c r="D19" s="52"/>
      <c r="E19" s="52"/>
      <c r="F19" s="52"/>
      <c r="G19" s="52"/>
      <c r="H19" s="138"/>
      <c r="I19" s="138"/>
      <c r="J19" s="138"/>
      <c r="K19" s="138"/>
      <c r="L19" s="138"/>
      <c r="M19" s="138"/>
      <c r="N19" s="138"/>
      <c r="O19" s="138"/>
      <c r="P19" s="138"/>
      <c r="Q19" s="138"/>
    </row>
    <row r="20" spans="2:17" x14ac:dyDescent="0.2">
      <c r="B20" s="52" t="s">
        <v>179</v>
      </c>
      <c r="C20" s="55"/>
      <c r="D20" s="47"/>
      <c r="E20" s="47"/>
      <c r="F20" s="47"/>
      <c r="G20" s="52"/>
      <c r="H20" s="136">
        <f>H17-2%</f>
        <v>-0.1505475479686495</v>
      </c>
      <c r="I20" s="136">
        <f t="shared" ref="I20:Q20" si="3">I17-2%</f>
        <v>-0.1505475479686495</v>
      </c>
      <c r="J20" s="136">
        <f t="shared" si="3"/>
        <v>-0.1505475479686495</v>
      </c>
      <c r="K20" s="136">
        <f t="shared" si="3"/>
        <v>-0.1505475479686495</v>
      </c>
      <c r="L20" s="136">
        <f t="shared" si="3"/>
        <v>-0.1505475479686495</v>
      </c>
      <c r="M20" s="136">
        <f t="shared" si="3"/>
        <v>-0.1505475479686495</v>
      </c>
      <c r="N20" s="136">
        <f t="shared" si="3"/>
        <v>-0.1505475479686495</v>
      </c>
      <c r="O20" s="136">
        <f t="shared" si="3"/>
        <v>-0.1505475479686495</v>
      </c>
      <c r="P20" s="136">
        <f t="shared" si="3"/>
        <v>-0.1505475479686495</v>
      </c>
      <c r="Q20" s="136">
        <f t="shared" si="3"/>
        <v>-0.1505475479686495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5FF-8701-4B5E-8FA4-1305F3C0030C}">
  <sheetPr>
    <tabColor rgb="FFC00000"/>
  </sheetPr>
  <dimension ref="B14"/>
  <sheetViews>
    <sheetView workbookViewId="0">
      <selection activeCell="G40" sqref="G40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195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B71-3D5F-4A96-B31A-D368DB818E80}">
  <sheetPr>
    <tabColor theme="5"/>
  </sheetPr>
  <dimension ref="B14"/>
  <sheetViews>
    <sheetView workbookViewId="0">
      <selection activeCell="E39" sqref="E3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183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43"/>
  <sheetViews>
    <sheetView showGridLines="0" workbookViewId="0">
      <selection activeCell="S35" sqref="S35"/>
    </sheetView>
  </sheetViews>
  <sheetFormatPr defaultColWidth="9.140625" defaultRowHeight="12.75" x14ac:dyDescent="0.2"/>
  <cols>
    <col min="1" max="1" width="2" style="16" customWidth="1"/>
    <col min="2" max="2" width="29.28515625" style="16" bestFit="1" customWidth="1"/>
    <col min="3" max="3" width="12.85546875" style="16" bestFit="1" customWidth="1"/>
    <col min="4" max="4" width="10.5703125" style="16" customWidth="1"/>
    <col min="5" max="5" width="10.140625" style="16" customWidth="1"/>
    <col min="6" max="6" width="10" style="16" customWidth="1"/>
    <col min="7" max="12" width="10.28515625" style="16" customWidth="1"/>
    <col min="13" max="17" width="11.42578125" style="16" bestFit="1" customWidth="1"/>
    <col min="18" max="16384" width="9.140625" style="16"/>
  </cols>
  <sheetData>
    <row r="1" spans="1:21" ht="15.75" x14ac:dyDescent="0.25">
      <c r="B1" s="15" t="s">
        <v>122</v>
      </c>
    </row>
    <row r="3" spans="1:21" x14ac:dyDescent="0.2">
      <c r="B3" s="67" t="str">
        <f>"Selected case:"&amp;CHOOSE(C3," as a % of PPE"," as a % of revenue")</f>
        <v>Selected case: as a % of PPE</v>
      </c>
      <c r="C3" s="66">
        <v>1</v>
      </c>
    </row>
    <row r="4" spans="1:21" ht="5.45" customHeight="1" x14ac:dyDescent="0.2">
      <c r="B4" s="67"/>
      <c r="C4" s="68"/>
    </row>
    <row r="5" spans="1:21" x14ac:dyDescent="0.2">
      <c r="C5" s="368" t="s">
        <v>181</v>
      </c>
      <c r="D5" s="368"/>
      <c r="E5" s="368"/>
      <c r="F5" s="368"/>
      <c r="G5" s="368"/>
      <c r="H5" s="368"/>
      <c r="I5" s="368"/>
      <c r="J5" s="368"/>
      <c r="K5" s="368"/>
      <c r="L5" s="368"/>
      <c r="M5" s="368"/>
      <c r="N5" s="368"/>
      <c r="O5" s="368"/>
      <c r="P5" s="368"/>
      <c r="Q5" s="368"/>
    </row>
    <row r="6" spans="1:21" ht="26.45" customHeight="1" x14ac:dyDescent="0.2">
      <c r="A6" s="16" t="s">
        <v>62</v>
      </c>
      <c r="B6" s="352" t="s">
        <v>349</v>
      </c>
      <c r="C6" s="6" t="s">
        <v>241</v>
      </c>
      <c r="D6" s="6" t="s">
        <v>242</v>
      </c>
      <c r="E6" s="6" t="s">
        <v>243</v>
      </c>
      <c r="F6" s="6" t="s">
        <v>244</v>
      </c>
      <c r="G6" s="6" t="s">
        <v>245</v>
      </c>
      <c r="H6" s="57" t="s">
        <v>198</v>
      </c>
      <c r="I6" s="57" t="s">
        <v>199</v>
      </c>
      <c r="J6" s="57" t="s">
        <v>200</v>
      </c>
      <c r="K6" s="57" t="s">
        <v>221</v>
      </c>
      <c r="L6" s="57" t="s">
        <v>258</v>
      </c>
      <c r="M6" s="57" t="s">
        <v>257</v>
      </c>
      <c r="N6" s="57" t="s">
        <v>256</v>
      </c>
      <c r="O6" s="57" t="s">
        <v>255</v>
      </c>
      <c r="P6" s="57" t="s">
        <v>254</v>
      </c>
      <c r="Q6" s="57" t="s">
        <v>253</v>
      </c>
    </row>
    <row r="7" spans="1:21" x14ac:dyDescent="0.2">
      <c r="B7" s="17" t="s">
        <v>67</v>
      </c>
      <c r="C7" s="277">
        <v>13923</v>
      </c>
      <c r="D7" s="278">
        <f>C10</f>
        <v>18884</v>
      </c>
      <c r="E7" s="278">
        <f t="shared" ref="E7:G7" si="0">D10</f>
        <v>23548</v>
      </c>
      <c r="F7" s="278">
        <f t="shared" si="0"/>
        <v>29725</v>
      </c>
      <c r="G7" s="278">
        <f t="shared" si="0"/>
        <v>35836</v>
      </c>
      <c r="H7" s="279">
        <f>G10</f>
        <v>40643</v>
      </c>
      <c r="I7" s="279">
        <f t="shared" ref="I7:Q7" si="1">H10</f>
        <v>46820.736000000004</v>
      </c>
      <c r="J7" s="279">
        <f t="shared" si="1"/>
        <v>53417.257472000005</v>
      </c>
      <c r="K7" s="279">
        <f t="shared" si="1"/>
        <v>60365.121746944009</v>
      </c>
      <c r="L7" s="279">
        <f t="shared" si="1"/>
        <v>67568.164609957894</v>
      </c>
      <c r="M7" s="279">
        <f t="shared" si="1"/>
        <v>74896.150865536853</v>
      </c>
      <c r="N7" s="279">
        <f t="shared" si="1"/>
        <v>82178.881048442883</v>
      </c>
      <c r="O7" s="279">
        <f t="shared" si="1"/>
        <v>89199.767013206205</v>
      </c>
      <c r="P7" s="279">
        <f t="shared" si="1"/>
        <v>95688.907571733478</v>
      </c>
      <c r="Q7" s="279">
        <f t="shared" si="1"/>
        <v>101315.71807463985</v>
      </c>
    </row>
    <row r="8" spans="1:21" x14ac:dyDescent="0.2">
      <c r="B8" s="17" t="s">
        <v>68</v>
      </c>
      <c r="C8" s="266">
        <f>C10-C7-C9</f>
        <v>7872</v>
      </c>
      <c r="D8" s="266">
        <f>D10-D7-D9</f>
        <v>8411</v>
      </c>
      <c r="E8" s="266">
        <f>E10-E7-E9</f>
        <v>10844</v>
      </c>
      <c r="F8" s="266">
        <f>F10-F7-F9</f>
        <v>11479</v>
      </c>
      <c r="G8" s="266">
        <f>G10-G7-G9</f>
        <v>10955</v>
      </c>
      <c r="H8" s="264">
        <f>CHOOSE($C$3,H32*H7,H33*Opex!H5)</f>
        <v>11380.04</v>
      </c>
      <c r="I8" s="264">
        <f>CHOOSE($C$3,I32*I7,I33*Opex!I5)</f>
        <v>13109.806080000002</v>
      </c>
      <c r="J8" s="264">
        <f>CHOOSE($C$3,J32*J7,J33*Opex!J5)</f>
        <v>14956.832092160003</v>
      </c>
      <c r="K8" s="264">
        <f>CHOOSE($C$3,K32*K7,K33*Opex!K5)</f>
        <v>16902.234089144324</v>
      </c>
      <c r="L8" s="264">
        <f>CHOOSE($C$3,L32*L7,L33*Opex!L5)</f>
        <v>18919.086090788212</v>
      </c>
      <c r="M8" s="264">
        <f>CHOOSE($C$3,M32*M7,M33*Opex!M5)</f>
        <v>20970.92224235032</v>
      </c>
      <c r="N8" s="264">
        <f>CHOOSE($C$3,N32*N7,N33*Opex!N5)</f>
        <v>23010.086693564008</v>
      </c>
      <c r="O8" s="264">
        <f>CHOOSE($C$3,O32*O7,O33*Opex!O5)</f>
        <v>24975.93476369774</v>
      </c>
      <c r="P8" s="264">
        <f>CHOOSE($C$3,P32*P7,P33*Opex!P5)</f>
        <v>26792.894120085377</v>
      </c>
      <c r="Q8" s="264">
        <f>CHOOSE($C$3,Q32*Q7,Q33*Opex!Q5)</f>
        <v>28368.401060899163</v>
      </c>
    </row>
    <row r="9" spans="1:21" x14ac:dyDescent="0.2">
      <c r="B9" s="16" t="s">
        <v>69</v>
      </c>
      <c r="C9" s="277">
        <v>-2911</v>
      </c>
      <c r="D9" s="280">
        <v>-3747</v>
      </c>
      <c r="E9" s="280">
        <v>-4667</v>
      </c>
      <c r="F9" s="280">
        <v>-5368</v>
      </c>
      <c r="G9" s="280">
        <v>-6148</v>
      </c>
      <c r="H9" s="279">
        <f t="shared" ref="H9:P9" si="2">H28</f>
        <v>-5202.3040000000001</v>
      </c>
      <c r="I9" s="279">
        <f t="shared" si="2"/>
        <v>-6513.2846079999999</v>
      </c>
      <c r="J9" s="279">
        <f t="shared" si="2"/>
        <v>-8008.9678172160002</v>
      </c>
      <c r="K9" s="279">
        <f t="shared" si="2"/>
        <v>-9699.1912261304333</v>
      </c>
      <c r="L9" s="279">
        <f t="shared" si="2"/>
        <v>-11591.099835209254</v>
      </c>
      <c r="M9" s="279">
        <f t="shared" si="2"/>
        <v>-13688.192059444285</v>
      </c>
      <c r="N9" s="279">
        <f t="shared" si="2"/>
        <v>-15989.200728800686</v>
      </c>
      <c r="O9" s="279">
        <f t="shared" si="2"/>
        <v>-18486.794205170459</v>
      </c>
      <c r="P9" s="279">
        <f t="shared" si="2"/>
        <v>-21166.083617178996</v>
      </c>
      <c r="Q9" s="279">
        <f>Q28</f>
        <v>-24002.923723268912</v>
      </c>
    </row>
    <row r="10" spans="1:21" s="18" customFormat="1" ht="15" thickBot="1" x14ac:dyDescent="0.25">
      <c r="B10" s="65" t="s">
        <v>70</v>
      </c>
      <c r="C10" s="265">
        <f>'Balance Sheet Input'!C13</f>
        <v>18884</v>
      </c>
      <c r="D10" s="265">
        <f>'Balance Sheet Input'!D13</f>
        <v>23548</v>
      </c>
      <c r="E10" s="265">
        <f>'Balance Sheet Input'!E13</f>
        <v>29725</v>
      </c>
      <c r="F10" s="265">
        <f>'Balance Sheet Input'!F13</f>
        <v>35836</v>
      </c>
      <c r="G10" s="265">
        <f>'Balance Sheet Input'!G13</f>
        <v>40643</v>
      </c>
      <c r="H10" s="265">
        <f t="shared" ref="H10:Q10" si="3">SUM(H7:H9)</f>
        <v>46820.736000000004</v>
      </c>
      <c r="I10" s="265">
        <f t="shared" si="3"/>
        <v>53417.257472000005</v>
      </c>
      <c r="J10" s="265">
        <f t="shared" si="3"/>
        <v>60365.121746944009</v>
      </c>
      <c r="K10" s="265">
        <f t="shared" si="3"/>
        <v>67568.164609957894</v>
      </c>
      <c r="L10" s="265">
        <f t="shared" si="3"/>
        <v>74896.150865536853</v>
      </c>
      <c r="M10" s="265">
        <f t="shared" si="3"/>
        <v>82178.881048442883</v>
      </c>
      <c r="N10" s="265">
        <f t="shared" si="3"/>
        <v>89199.767013206205</v>
      </c>
      <c r="O10" s="265">
        <f t="shared" si="3"/>
        <v>95688.907571733478</v>
      </c>
      <c r="P10" s="265">
        <f t="shared" si="3"/>
        <v>101315.71807463985</v>
      </c>
      <c r="Q10" s="265">
        <f t="shared" si="3"/>
        <v>105681.19541227011</v>
      </c>
      <c r="U10" s="16"/>
    </row>
    <row r="11" spans="1:21" ht="14.25" customHeight="1" x14ac:dyDescent="0.2">
      <c r="C11" s="281"/>
      <c r="D11" s="281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1"/>
    </row>
    <row r="12" spans="1:21" x14ac:dyDescent="0.2">
      <c r="B12" s="17" t="s">
        <v>73</v>
      </c>
      <c r="C12" s="282">
        <v>10</v>
      </c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</row>
    <row r="13" spans="1:21" x14ac:dyDescent="0.2">
      <c r="B13" s="17" t="s">
        <v>72</v>
      </c>
      <c r="C13" s="282">
        <v>10</v>
      </c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</row>
    <row r="14" spans="1:21" x14ac:dyDescent="0.2">
      <c r="C14" s="281"/>
      <c r="D14" s="281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1"/>
    </row>
    <row r="15" spans="1:21" x14ac:dyDescent="0.2">
      <c r="C15" s="369" t="s">
        <v>235</v>
      </c>
      <c r="D15" s="369"/>
      <c r="E15" s="369"/>
      <c r="F15" s="369"/>
      <c r="G15" s="369"/>
      <c r="H15" s="369"/>
      <c r="I15" s="369"/>
      <c r="J15" s="369"/>
      <c r="K15" s="369"/>
      <c r="L15" s="369"/>
      <c r="M15" s="369"/>
      <c r="N15" s="369"/>
      <c r="O15" s="369"/>
      <c r="P15" s="369"/>
      <c r="Q15" s="369"/>
    </row>
    <row r="16" spans="1:21" ht="25.5" customHeight="1" x14ac:dyDescent="0.2">
      <c r="B16" s="5" t="s">
        <v>194</v>
      </c>
      <c r="C16" s="283" t="s">
        <v>241</v>
      </c>
      <c r="D16" s="283" t="s">
        <v>242</v>
      </c>
      <c r="E16" s="283" t="s">
        <v>243</v>
      </c>
      <c r="F16" s="283" t="s">
        <v>244</v>
      </c>
      <c r="G16" s="283" t="s">
        <v>245</v>
      </c>
      <c r="H16" s="284" t="s">
        <v>198</v>
      </c>
      <c r="I16" s="284" t="s">
        <v>199</v>
      </c>
      <c r="J16" s="284" t="s">
        <v>200</v>
      </c>
      <c r="K16" s="284" t="s">
        <v>221</v>
      </c>
      <c r="L16" s="284" t="s">
        <v>258</v>
      </c>
      <c r="M16" s="284" t="s">
        <v>257</v>
      </c>
      <c r="N16" s="284" t="s">
        <v>256</v>
      </c>
      <c r="O16" s="284" t="s">
        <v>255</v>
      </c>
      <c r="P16" s="284" t="s">
        <v>254</v>
      </c>
      <c r="Q16" s="284" t="s">
        <v>253</v>
      </c>
    </row>
    <row r="17" spans="2:17" x14ac:dyDescent="0.2">
      <c r="C17" s="281"/>
      <c r="D17" s="281"/>
      <c r="E17" s="281"/>
      <c r="F17" s="281"/>
      <c r="G17" s="281"/>
      <c r="H17" s="285">
        <f>-$H$7/$C$12</f>
        <v>-4064.3</v>
      </c>
      <c r="I17" s="285">
        <f t="shared" ref="I17:Q17" si="4">-$H$7/$C$12</f>
        <v>-4064.3</v>
      </c>
      <c r="J17" s="285">
        <f t="shared" si="4"/>
        <v>-4064.3</v>
      </c>
      <c r="K17" s="285">
        <f t="shared" si="4"/>
        <v>-4064.3</v>
      </c>
      <c r="L17" s="285">
        <f t="shared" si="4"/>
        <v>-4064.3</v>
      </c>
      <c r="M17" s="285">
        <f t="shared" si="4"/>
        <v>-4064.3</v>
      </c>
      <c r="N17" s="285">
        <f t="shared" si="4"/>
        <v>-4064.3</v>
      </c>
      <c r="O17" s="285">
        <f t="shared" si="4"/>
        <v>-4064.3</v>
      </c>
      <c r="P17" s="285">
        <f t="shared" si="4"/>
        <v>-4064.3</v>
      </c>
      <c r="Q17" s="285">
        <f t="shared" si="4"/>
        <v>-4064.3</v>
      </c>
    </row>
    <row r="18" spans="2:17" x14ac:dyDescent="0.2">
      <c r="C18" s="281"/>
      <c r="D18" s="281"/>
      <c r="E18" s="281"/>
      <c r="F18" s="281"/>
      <c r="G18" s="281"/>
      <c r="H18" s="285">
        <f>-$H$8/$C$12</f>
        <v>-1138.0040000000001</v>
      </c>
      <c r="I18" s="285">
        <f t="shared" ref="I18:Q18" si="5">-$H$8/$C$12</f>
        <v>-1138.0040000000001</v>
      </c>
      <c r="J18" s="285">
        <f t="shared" si="5"/>
        <v>-1138.0040000000001</v>
      </c>
      <c r="K18" s="285">
        <f t="shared" si="5"/>
        <v>-1138.0040000000001</v>
      </c>
      <c r="L18" s="285">
        <f t="shared" si="5"/>
        <v>-1138.0040000000001</v>
      </c>
      <c r="M18" s="285">
        <f t="shared" si="5"/>
        <v>-1138.0040000000001</v>
      </c>
      <c r="N18" s="285">
        <f t="shared" si="5"/>
        <v>-1138.0040000000001</v>
      </c>
      <c r="O18" s="285">
        <f t="shared" si="5"/>
        <v>-1138.0040000000001</v>
      </c>
      <c r="P18" s="285">
        <f t="shared" si="5"/>
        <v>-1138.0040000000001</v>
      </c>
      <c r="Q18" s="285">
        <f t="shared" si="5"/>
        <v>-1138.0040000000001</v>
      </c>
    </row>
    <row r="19" spans="2:17" x14ac:dyDescent="0.2">
      <c r="C19" s="281"/>
      <c r="D19" s="281"/>
      <c r="E19" s="281"/>
      <c r="F19" s="281"/>
      <c r="G19" s="281"/>
      <c r="H19" s="285"/>
      <c r="I19" s="285">
        <f>-$I$8/$C$12</f>
        <v>-1310.9806080000003</v>
      </c>
      <c r="J19" s="285">
        <f t="shared" ref="J19:Q19" si="6">-$I$8/$C$12</f>
        <v>-1310.9806080000003</v>
      </c>
      <c r="K19" s="285">
        <f t="shared" si="6"/>
        <v>-1310.9806080000003</v>
      </c>
      <c r="L19" s="285">
        <f t="shared" si="6"/>
        <v>-1310.9806080000003</v>
      </c>
      <c r="M19" s="285">
        <f t="shared" si="6"/>
        <v>-1310.9806080000003</v>
      </c>
      <c r="N19" s="285">
        <f t="shared" si="6"/>
        <v>-1310.9806080000003</v>
      </c>
      <c r="O19" s="285">
        <f t="shared" si="6"/>
        <v>-1310.9806080000003</v>
      </c>
      <c r="P19" s="285">
        <f t="shared" si="6"/>
        <v>-1310.9806080000003</v>
      </c>
      <c r="Q19" s="285">
        <f t="shared" si="6"/>
        <v>-1310.9806080000003</v>
      </c>
    </row>
    <row r="20" spans="2:17" x14ac:dyDescent="0.2">
      <c r="C20" s="281"/>
      <c r="D20" s="281"/>
      <c r="E20" s="281"/>
      <c r="F20" s="281"/>
      <c r="G20" s="281"/>
      <c r="H20" s="285"/>
      <c r="I20" s="285"/>
      <c r="J20" s="285">
        <f>-$J$8/$C$12</f>
        <v>-1495.6832092160003</v>
      </c>
      <c r="K20" s="285">
        <f t="shared" ref="K20:Q20" si="7">-$J$8/$C$12</f>
        <v>-1495.6832092160003</v>
      </c>
      <c r="L20" s="285">
        <f t="shared" si="7"/>
        <v>-1495.6832092160003</v>
      </c>
      <c r="M20" s="285">
        <f t="shared" si="7"/>
        <v>-1495.6832092160003</v>
      </c>
      <c r="N20" s="285">
        <f t="shared" si="7"/>
        <v>-1495.6832092160003</v>
      </c>
      <c r="O20" s="285">
        <f t="shared" si="7"/>
        <v>-1495.6832092160003</v>
      </c>
      <c r="P20" s="285">
        <f t="shared" si="7"/>
        <v>-1495.6832092160003</v>
      </c>
      <c r="Q20" s="285">
        <f t="shared" si="7"/>
        <v>-1495.6832092160003</v>
      </c>
    </row>
    <row r="21" spans="2:17" x14ac:dyDescent="0.2">
      <c r="C21" s="281"/>
      <c r="D21" s="281"/>
      <c r="E21" s="281"/>
      <c r="F21" s="281"/>
      <c r="G21" s="281"/>
      <c r="H21" s="285"/>
      <c r="I21" s="285"/>
      <c r="J21" s="285"/>
      <c r="K21" s="285">
        <f>-$K$8/$C$12</f>
        <v>-1690.2234089144324</v>
      </c>
      <c r="L21" s="285">
        <f t="shared" ref="L21:Q21" si="8">-$K$8/$C$12</f>
        <v>-1690.2234089144324</v>
      </c>
      <c r="M21" s="285">
        <f t="shared" si="8"/>
        <v>-1690.2234089144324</v>
      </c>
      <c r="N21" s="285">
        <f t="shared" si="8"/>
        <v>-1690.2234089144324</v>
      </c>
      <c r="O21" s="285">
        <f t="shared" si="8"/>
        <v>-1690.2234089144324</v>
      </c>
      <c r="P21" s="285">
        <f t="shared" si="8"/>
        <v>-1690.2234089144324</v>
      </c>
      <c r="Q21" s="285">
        <f t="shared" si="8"/>
        <v>-1690.2234089144324</v>
      </c>
    </row>
    <row r="22" spans="2:17" x14ac:dyDescent="0.2">
      <c r="C22" s="281"/>
      <c r="D22" s="281"/>
      <c r="E22" s="281"/>
      <c r="F22" s="281"/>
      <c r="G22" s="281"/>
      <c r="H22" s="285"/>
      <c r="I22" s="285"/>
      <c r="J22" s="285"/>
      <c r="K22" s="285"/>
      <c r="L22" s="285">
        <f>-$L$8/$C$12</f>
        <v>-1891.9086090788212</v>
      </c>
      <c r="M22" s="285">
        <f t="shared" ref="M22:Q22" si="9">-$L$8/$C$12</f>
        <v>-1891.9086090788212</v>
      </c>
      <c r="N22" s="285">
        <f t="shared" si="9"/>
        <v>-1891.9086090788212</v>
      </c>
      <c r="O22" s="285">
        <f t="shared" si="9"/>
        <v>-1891.9086090788212</v>
      </c>
      <c r="P22" s="285">
        <f t="shared" si="9"/>
        <v>-1891.9086090788212</v>
      </c>
      <c r="Q22" s="285">
        <f t="shared" si="9"/>
        <v>-1891.9086090788212</v>
      </c>
    </row>
    <row r="23" spans="2:17" x14ac:dyDescent="0.2">
      <c r="C23" s="281"/>
      <c r="D23" s="281"/>
      <c r="E23" s="281"/>
      <c r="F23" s="281"/>
      <c r="G23" s="281"/>
      <c r="H23" s="285"/>
      <c r="I23" s="285"/>
      <c r="J23" s="285"/>
      <c r="K23" s="285"/>
      <c r="L23" s="285"/>
      <c r="M23" s="285">
        <f>-$M$8/$C$12</f>
        <v>-2097.0922242350321</v>
      </c>
      <c r="N23" s="285">
        <f t="shared" ref="N23:Q23" si="10">-$M$8/$C$12</f>
        <v>-2097.0922242350321</v>
      </c>
      <c r="O23" s="285">
        <f t="shared" si="10"/>
        <v>-2097.0922242350321</v>
      </c>
      <c r="P23" s="285">
        <f t="shared" si="10"/>
        <v>-2097.0922242350321</v>
      </c>
      <c r="Q23" s="285">
        <f t="shared" si="10"/>
        <v>-2097.0922242350321</v>
      </c>
    </row>
    <row r="24" spans="2:17" x14ac:dyDescent="0.2">
      <c r="C24" s="281"/>
      <c r="D24" s="281"/>
      <c r="E24" s="281"/>
      <c r="F24" s="281"/>
      <c r="G24" s="281"/>
      <c r="H24" s="285"/>
      <c r="I24" s="285"/>
      <c r="J24" s="285"/>
      <c r="K24" s="285"/>
      <c r="L24" s="285"/>
      <c r="M24" s="285"/>
      <c r="N24" s="285">
        <f>-$N$8/$C$12</f>
        <v>-2301.0086693564008</v>
      </c>
      <c r="O24" s="285">
        <f t="shared" ref="O24:Q24" si="11">-$N$8/$C$12</f>
        <v>-2301.0086693564008</v>
      </c>
      <c r="P24" s="285">
        <f t="shared" si="11"/>
        <v>-2301.0086693564008</v>
      </c>
      <c r="Q24" s="285">
        <f t="shared" si="11"/>
        <v>-2301.0086693564008</v>
      </c>
    </row>
    <row r="25" spans="2:17" x14ac:dyDescent="0.2">
      <c r="C25" s="281"/>
      <c r="D25" s="281"/>
      <c r="E25" s="281"/>
      <c r="F25" s="281"/>
      <c r="G25" s="281"/>
      <c r="H25" s="285"/>
      <c r="I25" s="285"/>
      <c r="J25" s="285"/>
      <c r="K25" s="285"/>
      <c r="L25" s="285"/>
      <c r="M25" s="285"/>
      <c r="N25" s="285"/>
      <c r="O25" s="285">
        <f>-$O$8/$C$12</f>
        <v>-2497.5934763697742</v>
      </c>
      <c r="P25" s="285">
        <f t="shared" ref="P25:Q25" si="12">-$O$8/$C$12</f>
        <v>-2497.5934763697742</v>
      </c>
      <c r="Q25" s="285">
        <f t="shared" si="12"/>
        <v>-2497.5934763697742</v>
      </c>
    </row>
    <row r="26" spans="2:17" x14ac:dyDescent="0.2">
      <c r="C26" s="281"/>
      <c r="D26" s="281"/>
      <c r="E26" s="281"/>
      <c r="F26" s="281"/>
      <c r="G26" s="281"/>
      <c r="H26" s="285"/>
      <c r="I26" s="285"/>
      <c r="J26" s="285"/>
      <c r="K26" s="285"/>
      <c r="L26" s="285"/>
      <c r="M26" s="285"/>
      <c r="N26" s="285"/>
      <c r="O26" s="285"/>
      <c r="P26" s="285">
        <f>-$P$8/$C$12</f>
        <v>-2679.2894120085375</v>
      </c>
      <c r="Q26" s="285">
        <f>-$P$8/$C$12</f>
        <v>-2679.2894120085375</v>
      </c>
    </row>
    <row r="27" spans="2:17" x14ac:dyDescent="0.2">
      <c r="C27" s="281"/>
      <c r="D27" s="281"/>
      <c r="E27" s="281"/>
      <c r="F27" s="281"/>
      <c r="G27" s="281"/>
      <c r="H27" s="285"/>
      <c r="I27" s="285"/>
      <c r="J27" s="285"/>
      <c r="K27" s="285"/>
      <c r="L27" s="285"/>
      <c r="M27" s="285"/>
      <c r="N27" s="285"/>
      <c r="O27" s="285"/>
      <c r="P27" s="285"/>
      <c r="Q27" s="285">
        <f>-$Q$8/$C$12</f>
        <v>-2836.8401060899164</v>
      </c>
    </row>
    <row r="28" spans="2:17" ht="13.5" thickBot="1" x14ac:dyDescent="0.25">
      <c r="B28" s="65" t="s">
        <v>236</v>
      </c>
      <c r="C28" s="265">
        <f t="shared" ref="C28:Q28" si="13">SUM(C17:C27)</f>
        <v>0</v>
      </c>
      <c r="D28" s="265">
        <f t="shared" si="13"/>
        <v>0</v>
      </c>
      <c r="E28" s="265">
        <f t="shared" si="13"/>
        <v>0</v>
      </c>
      <c r="F28" s="265">
        <f t="shared" si="13"/>
        <v>0</v>
      </c>
      <c r="G28" s="265">
        <f t="shared" si="13"/>
        <v>0</v>
      </c>
      <c r="H28" s="265">
        <f t="shared" si="13"/>
        <v>-5202.3040000000001</v>
      </c>
      <c r="I28" s="265">
        <f t="shared" si="13"/>
        <v>-6513.2846079999999</v>
      </c>
      <c r="J28" s="265">
        <f t="shared" si="13"/>
        <v>-8008.9678172160002</v>
      </c>
      <c r="K28" s="265">
        <f t="shared" si="13"/>
        <v>-9699.1912261304333</v>
      </c>
      <c r="L28" s="265">
        <f t="shared" si="13"/>
        <v>-11591.099835209254</v>
      </c>
      <c r="M28" s="265">
        <f t="shared" si="13"/>
        <v>-13688.192059444285</v>
      </c>
      <c r="N28" s="265">
        <f t="shared" si="13"/>
        <v>-15989.200728800686</v>
      </c>
      <c r="O28" s="265">
        <f t="shared" si="13"/>
        <v>-18486.794205170459</v>
      </c>
      <c r="P28" s="265">
        <f t="shared" si="13"/>
        <v>-21166.083617178996</v>
      </c>
      <c r="Q28" s="265">
        <f t="shared" si="13"/>
        <v>-24002.923723268912</v>
      </c>
    </row>
    <row r="31" spans="2:17" s="7" customFormat="1" ht="12" x14ac:dyDescent="0.2">
      <c r="B31" s="51" t="s">
        <v>61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</row>
    <row r="32" spans="2:17" s="7" customFormat="1" ht="12" x14ac:dyDescent="0.2">
      <c r="B32" s="52" t="s">
        <v>71</v>
      </c>
      <c r="C32" s="64"/>
      <c r="D32" s="64"/>
      <c r="E32" s="64"/>
      <c r="F32" s="64"/>
      <c r="G32" s="52"/>
      <c r="H32" s="136">
        <f>CHOOSE(Drivers!$C$3,H36,H39,H42)</f>
        <v>0.28000000000000003</v>
      </c>
      <c r="I32" s="136">
        <f>CHOOSE(Drivers!$C$3,I36,I39,I42)</f>
        <v>0.28000000000000003</v>
      </c>
      <c r="J32" s="136">
        <f>CHOOSE(Drivers!$C$3,J36,J39,J42)</f>
        <v>0.28000000000000003</v>
      </c>
      <c r="K32" s="136">
        <f>CHOOSE(Drivers!$C$3,K36,K39,K42)</f>
        <v>0.28000000000000003</v>
      </c>
      <c r="L32" s="136">
        <f>CHOOSE(Drivers!$C$3,L36,L39,L42)</f>
        <v>0.28000000000000003</v>
      </c>
      <c r="M32" s="136">
        <f>CHOOSE(Drivers!$C$3,M36,M39,M42)</f>
        <v>0.28000000000000003</v>
      </c>
      <c r="N32" s="136">
        <f>CHOOSE(Drivers!$C$3,N36,N39,N42)</f>
        <v>0.28000000000000003</v>
      </c>
      <c r="O32" s="136">
        <f>CHOOSE(Drivers!$C$3,O36,O39,O42)</f>
        <v>0.28000000000000003</v>
      </c>
      <c r="P32" s="136">
        <f>CHOOSE(Drivers!$C$3,P36,P39,P42)</f>
        <v>0.28000000000000003</v>
      </c>
      <c r="Q32" s="136">
        <f>CHOOSE(Drivers!$C$3,Q36,Q39,Q42)</f>
        <v>0.28000000000000003</v>
      </c>
    </row>
    <row r="33" spans="2:17" s="7" customFormat="1" ht="12" x14ac:dyDescent="0.2">
      <c r="B33" s="52" t="s">
        <v>226</v>
      </c>
      <c r="C33" s="55"/>
      <c r="D33" s="55"/>
      <c r="E33" s="55"/>
      <c r="F33" s="55"/>
      <c r="G33" s="52"/>
      <c r="H33" s="136">
        <f>CHOOSE(Drivers!$C$3,H37,H40,H43)</f>
        <v>0.11</v>
      </c>
      <c r="I33" s="136">
        <f>CHOOSE(Drivers!$C$3,I37,I40,I43)</f>
        <v>0.11</v>
      </c>
      <c r="J33" s="136">
        <f>CHOOSE(Drivers!$C$3,J37,J40,J43)</f>
        <v>0.11</v>
      </c>
      <c r="K33" s="136">
        <f>CHOOSE(Drivers!$C$3,K37,K40,K43)</f>
        <v>0.11</v>
      </c>
      <c r="L33" s="136">
        <f>CHOOSE(Drivers!$C$3,L37,L40,L43)</f>
        <v>0.11</v>
      </c>
      <c r="M33" s="136">
        <f>CHOOSE(Drivers!$C$3,M37,M40,M43)</f>
        <v>0.11</v>
      </c>
      <c r="N33" s="136">
        <f>CHOOSE(Drivers!$C$3,N37,N40,N43)</f>
        <v>0.11</v>
      </c>
      <c r="O33" s="136">
        <f>CHOOSE(Drivers!$C$3,O37,O40,O43)</f>
        <v>0.11</v>
      </c>
      <c r="P33" s="136">
        <f>CHOOSE(Drivers!$C$3,P37,P40,P43)</f>
        <v>0.11</v>
      </c>
      <c r="Q33" s="136">
        <f>CHOOSE(Drivers!$C$3,Q37,Q40,Q43)</f>
        <v>0.11</v>
      </c>
    </row>
    <row r="34" spans="2:17" s="7" customFormat="1" ht="12" x14ac:dyDescent="0.2">
      <c r="B34" s="63" t="s">
        <v>227</v>
      </c>
      <c r="C34" s="55"/>
      <c r="D34" s="55"/>
      <c r="E34" s="55"/>
      <c r="F34" s="55"/>
      <c r="G34" s="52"/>
      <c r="H34" s="137"/>
      <c r="I34" s="138"/>
      <c r="J34" s="138"/>
      <c r="K34" s="138"/>
      <c r="L34" s="138"/>
      <c r="M34" s="138"/>
      <c r="N34" s="138"/>
      <c r="O34" s="138"/>
      <c r="P34" s="138"/>
      <c r="Q34" s="138"/>
    </row>
    <row r="35" spans="2:17" s="7" customFormat="1" ht="12" x14ac:dyDescent="0.2">
      <c r="B35" s="51" t="s">
        <v>57</v>
      </c>
      <c r="C35" s="52"/>
      <c r="D35" s="52"/>
      <c r="E35" s="52"/>
      <c r="F35" s="52"/>
      <c r="G35" s="52"/>
      <c r="H35" s="138"/>
      <c r="I35" s="138"/>
      <c r="J35" s="138"/>
      <c r="K35" s="138"/>
      <c r="L35" s="138"/>
      <c r="M35" s="138"/>
      <c r="N35" s="138"/>
      <c r="O35" s="138"/>
      <c r="P35" s="138"/>
      <c r="Q35" s="138"/>
    </row>
    <row r="36" spans="2:17" s="7" customFormat="1" ht="12" x14ac:dyDescent="0.2">
      <c r="B36" s="52" t="s">
        <v>71</v>
      </c>
      <c r="C36" s="55"/>
      <c r="D36" s="55"/>
      <c r="E36" s="55"/>
      <c r="F36" s="55"/>
      <c r="G36" s="52"/>
      <c r="H36" s="136">
        <f>H39-5%</f>
        <v>0.23000000000000004</v>
      </c>
      <c r="I36" s="136">
        <f t="shared" ref="I36:P36" si="14">I39-5%</f>
        <v>0.23000000000000004</v>
      </c>
      <c r="J36" s="136">
        <f t="shared" si="14"/>
        <v>0.23000000000000004</v>
      </c>
      <c r="K36" s="136">
        <f t="shared" si="14"/>
        <v>0.23000000000000004</v>
      </c>
      <c r="L36" s="136">
        <f t="shared" si="14"/>
        <v>0.23000000000000004</v>
      </c>
      <c r="M36" s="136">
        <f t="shared" si="14"/>
        <v>0.23000000000000004</v>
      </c>
      <c r="N36" s="136">
        <f t="shared" si="14"/>
        <v>0.23000000000000004</v>
      </c>
      <c r="O36" s="136">
        <f t="shared" si="14"/>
        <v>0.23000000000000004</v>
      </c>
      <c r="P36" s="136">
        <f t="shared" si="14"/>
        <v>0.23000000000000004</v>
      </c>
      <c r="Q36" s="136">
        <f t="shared" ref="Q36" si="15">Q39+5%</f>
        <v>0.33</v>
      </c>
    </row>
    <row r="37" spans="2:17" s="7" customFormat="1" ht="12" x14ac:dyDescent="0.2">
      <c r="B37" s="52" t="str">
        <f>B33</f>
        <v>Capex as a % of revenue</v>
      </c>
      <c r="C37" s="55"/>
      <c r="D37" s="47"/>
      <c r="E37" s="47"/>
      <c r="F37" s="47"/>
      <c r="G37" s="52"/>
      <c r="H37" s="136">
        <f>H40-3%</f>
        <v>0.08</v>
      </c>
      <c r="I37" s="136">
        <f t="shared" ref="I37:P37" si="16">I40-3%</f>
        <v>0.08</v>
      </c>
      <c r="J37" s="136">
        <f t="shared" si="16"/>
        <v>0.08</v>
      </c>
      <c r="K37" s="136">
        <f t="shared" si="16"/>
        <v>0.08</v>
      </c>
      <c r="L37" s="136">
        <f t="shared" si="16"/>
        <v>0.08</v>
      </c>
      <c r="M37" s="136">
        <f t="shared" si="16"/>
        <v>0.08</v>
      </c>
      <c r="N37" s="136">
        <f t="shared" si="16"/>
        <v>0.08</v>
      </c>
      <c r="O37" s="136">
        <f t="shared" si="16"/>
        <v>0.08</v>
      </c>
      <c r="P37" s="136">
        <f t="shared" si="16"/>
        <v>0.08</v>
      </c>
      <c r="Q37" s="136">
        <f t="shared" ref="Q37" si="17">Q40+3%</f>
        <v>0.14000000000000001</v>
      </c>
    </row>
    <row r="38" spans="2:17" s="7" customFormat="1" ht="12" x14ac:dyDescent="0.2">
      <c r="B38" s="51" t="s">
        <v>58</v>
      </c>
      <c r="C38" s="52"/>
      <c r="D38" s="52"/>
      <c r="E38" s="52"/>
      <c r="F38" s="52"/>
      <c r="G38" s="52"/>
      <c r="H38" s="138"/>
      <c r="I38" s="138"/>
      <c r="J38" s="138"/>
      <c r="K38" s="138"/>
      <c r="L38" s="138"/>
      <c r="M38" s="138"/>
      <c r="N38" s="138"/>
      <c r="O38" s="138"/>
      <c r="P38" s="138"/>
      <c r="Q38" s="138"/>
    </row>
    <row r="39" spans="2:17" s="7" customFormat="1" ht="12" x14ac:dyDescent="0.2">
      <c r="B39" s="52" t="s">
        <v>71</v>
      </c>
      <c r="C39" s="136">
        <f>C8/C7</f>
        <v>0.56539538892480068</v>
      </c>
      <c r="D39" s="136">
        <f t="shared" ref="D39:G39" si="18">D8/D7</f>
        <v>0.44540351620419405</v>
      </c>
      <c r="E39" s="136">
        <f t="shared" si="18"/>
        <v>0.46050620010191951</v>
      </c>
      <c r="F39" s="136">
        <f t="shared" si="18"/>
        <v>0.38617325483599663</v>
      </c>
      <c r="G39" s="136">
        <f t="shared" si="18"/>
        <v>0.30569818060051346</v>
      </c>
      <c r="H39" s="139">
        <f>28%</f>
        <v>0.28000000000000003</v>
      </c>
      <c r="I39" s="139">
        <f t="shared" ref="I39:K39" si="19">H39</f>
        <v>0.28000000000000003</v>
      </c>
      <c r="J39" s="139">
        <f t="shared" si="19"/>
        <v>0.28000000000000003</v>
      </c>
      <c r="K39" s="139">
        <f t="shared" si="19"/>
        <v>0.28000000000000003</v>
      </c>
      <c r="L39" s="139">
        <f>K39</f>
        <v>0.28000000000000003</v>
      </c>
      <c r="M39" s="139">
        <f t="shared" ref="M39:Q39" si="20">L39</f>
        <v>0.28000000000000003</v>
      </c>
      <c r="N39" s="139">
        <f t="shared" si="20"/>
        <v>0.28000000000000003</v>
      </c>
      <c r="O39" s="139">
        <f t="shared" si="20"/>
        <v>0.28000000000000003</v>
      </c>
      <c r="P39" s="139">
        <f t="shared" si="20"/>
        <v>0.28000000000000003</v>
      </c>
      <c r="Q39" s="139">
        <f t="shared" si="20"/>
        <v>0.28000000000000003</v>
      </c>
    </row>
    <row r="40" spans="2:17" s="7" customFormat="1" ht="12" x14ac:dyDescent="0.2">
      <c r="B40" s="52" t="str">
        <f>B33</f>
        <v>Capex as a % of revenue</v>
      </c>
      <c r="C40" s="136">
        <f>C8/'P&amp;L Input'!C7</f>
        <v>0.14625717630009474</v>
      </c>
      <c r="D40" s="136">
        <f>D8/'P&amp;L Input'!D7</f>
        <v>0.1032505953696202</v>
      </c>
      <c r="E40" s="136">
        <f>E8/'P&amp;L Input'!E7</f>
        <v>0.11205604869126719</v>
      </c>
      <c r="F40" s="136">
        <f>F8/'P&amp;L Input'!F7</f>
        <v>0.11750435049646842</v>
      </c>
      <c r="G40" s="136">
        <f>G8/'P&amp;L Input'!G7</f>
        <v>0.11552616870722474</v>
      </c>
      <c r="H40" s="139">
        <f>11%</f>
        <v>0.11</v>
      </c>
      <c r="I40" s="139">
        <f>H40</f>
        <v>0.11</v>
      </c>
      <c r="J40" s="139">
        <f>I40</f>
        <v>0.11</v>
      </c>
      <c r="K40" s="139">
        <f>J40</f>
        <v>0.11</v>
      </c>
      <c r="L40" s="139">
        <f>K40</f>
        <v>0.11</v>
      </c>
      <c r="M40" s="139">
        <f>L40</f>
        <v>0.11</v>
      </c>
      <c r="N40" s="139">
        <f>M40</f>
        <v>0.11</v>
      </c>
      <c r="O40" s="139">
        <f>N40</f>
        <v>0.11</v>
      </c>
      <c r="P40" s="139">
        <f>O40</f>
        <v>0.11</v>
      </c>
      <c r="Q40" s="139">
        <f>P40</f>
        <v>0.11</v>
      </c>
    </row>
    <row r="41" spans="2:17" s="7" customFormat="1" ht="12" x14ac:dyDescent="0.2">
      <c r="B41" s="51" t="s">
        <v>59</v>
      </c>
      <c r="C41" s="52"/>
      <c r="D41" s="52"/>
      <c r="E41" s="52"/>
      <c r="F41" s="52"/>
      <c r="G41" s="52"/>
      <c r="H41" s="138"/>
      <c r="I41" s="138"/>
      <c r="J41" s="138"/>
      <c r="K41" s="138"/>
      <c r="L41" s="138"/>
      <c r="M41" s="138"/>
      <c r="N41" s="138"/>
      <c r="O41" s="138"/>
      <c r="P41" s="138"/>
      <c r="Q41" s="138"/>
    </row>
    <row r="42" spans="2:17" x14ac:dyDescent="0.2">
      <c r="B42" s="52" t="s">
        <v>71</v>
      </c>
      <c r="C42" s="55"/>
      <c r="D42" s="47"/>
      <c r="E42" s="47"/>
      <c r="F42" s="47"/>
      <c r="G42" s="52"/>
      <c r="H42" s="136">
        <f>H39+5%</f>
        <v>0.33</v>
      </c>
      <c r="I42" s="136">
        <f t="shared" ref="I42:P42" si="21">I39+5%</f>
        <v>0.33</v>
      </c>
      <c r="J42" s="136">
        <f t="shared" si="21"/>
        <v>0.33</v>
      </c>
      <c r="K42" s="136">
        <f t="shared" si="21"/>
        <v>0.33</v>
      </c>
      <c r="L42" s="136">
        <f t="shared" si="21"/>
        <v>0.33</v>
      </c>
      <c r="M42" s="136">
        <f t="shared" si="21"/>
        <v>0.33</v>
      </c>
      <c r="N42" s="136">
        <f t="shared" si="21"/>
        <v>0.33</v>
      </c>
      <c r="O42" s="136">
        <f t="shared" si="21"/>
        <v>0.33</v>
      </c>
      <c r="P42" s="136">
        <f t="shared" si="21"/>
        <v>0.33</v>
      </c>
      <c r="Q42" s="136">
        <f t="shared" ref="Q42" si="22">Q39-5%</f>
        <v>0.23000000000000004</v>
      </c>
    </row>
    <row r="43" spans="2:17" s="7" customFormat="1" ht="12" x14ac:dyDescent="0.2">
      <c r="B43" s="52" t="str">
        <f>B33</f>
        <v>Capex as a % of revenue</v>
      </c>
      <c r="C43" s="55"/>
      <c r="D43" s="47"/>
      <c r="E43" s="47"/>
      <c r="F43" s="47"/>
      <c r="G43" s="52"/>
      <c r="H43" s="136">
        <f>H40+3%</f>
        <v>0.14000000000000001</v>
      </c>
      <c r="I43" s="136">
        <f t="shared" ref="I43:P43" si="23">I40+3%</f>
        <v>0.14000000000000001</v>
      </c>
      <c r="J43" s="136">
        <f t="shared" si="23"/>
        <v>0.14000000000000001</v>
      </c>
      <c r="K43" s="136">
        <f t="shared" si="23"/>
        <v>0.14000000000000001</v>
      </c>
      <c r="L43" s="136">
        <f t="shared" si="23"/>
        <v>0.14000000000000001</v>
      </c>
      <c r="M43" s="136">
        <f t="shared" si="23"/>
        <v>0.14000000000000001</v>
      </c>
      <c r="N43" s="136">
        <f t="shared" si="23"/>
        <v>0.14000000000000001</v>
      </c>
      <c r="O43" s="136">
        <f t="shared" si="23"/>
        <v>0.14000000000000001</v>
      </c>
      <c r="P43" s="136">
        <f t="shared" si="23"/>
        <v>0.14000000000000001</v>
      </c>
      <c r="Q43" s="136">
        <f t="shared" ref="Q43" si="24">Q40-3%</f>
        <v>0.08</v>
      </c>
    </row>
  </sheetData>
  <mergeCells count="2">
    <mergeCell ref="C5:Q5"/>
    <mergeCell ref="C15:Q15"/>
  </mergeCells>
  <dataValidations count="1">
    <dataValidation type="list" allowBlank="1" showInputMessage="1" showErrorMessage="1" sqref="C3" xr:uid="{A9C92D1A-84F1-4102-A461-50019CA9BC9F}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A15F-8347-4CF2-95A0-3FD476ED76BB}">
  <sheetPr>
    <tabColor theme="5"/>
  </sheetPr>
  <dimension ref="B14"/>
  <sheetViews>
    <sheetView workbookViewId="0">
      <selection activeCell="E39" sqref="E3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74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980-E91C-42CD-8BD9-14F711B36EBB}">
  <dimension ref="A1:M15"/>
  <sheetViews>
    <sheetView workbookViewId="0">
      <selection activeCell="P20" sqref="P20"/>
    </sheetView>
  </sheetViews>
  <sheetFormatPr defaultColWidth="9.140625" defaultRowHeight="12" x14ac:dyDescent="0.2"/>
  <cols>
    <col min="1" max="1" width="2" style="7" customWidth="1"/>
    <col min="2" max="2" width="17.7109375" style="7" customWidth="1"/>
    <col min="3" max="4" width="12.85546875" style="7" customWidth="1"/>
    <col min="5" max="5" width="2" style="7" customWidth="1"/>
    <col min="6" max="7" width="12.85546875" style="7" customWidth="1"/>
    <col min="8" max="8" width="2" style="7" customWidth="1"/>
    <col min="9" max="10" width="9.140625" style="7"/>
    <col min="11" max="11" width="2" style="7" customWidth="1"/>
    <col min="12" max="16384" width="9.140625" style="7"/>
  </cols>
  <sheetData>
    <row r="1" spans="1:13" ht="15.75" x14ac:dyDescent="0.2">
      <c r="A1" s="1"/>
      <c r="B1" s="2" t="s">
        <v>205</v>
      </c>
    </row>
    <row r="2" spans="1:13" ht="15.75" x14ac:dyDescent="0.2">
      <c r="A2" s="1"/>
      <c r="B2" s="2"/>
    </row>
    <row r="3" spans="1:13" ht="12.75" x14ac:dyDescent="0.2">
      <c r="A3" s="1"/>
      <c r="B3" s="60" t="s">
        <v>229</v>
      </c>
    </row>
    <row r="5" spans="1:13" x14ac:dyDescent="0.2">
      <c r="C5" s="368" t="s">
        <v>38</v>
      </c>
      <c r="D5" s="368"/>
      <c r="F5" s="368" t="s">
        <v>39</v>
      </c>
      <c r="G5" s="368"/>
      <c r="I5" s="368" t="s">
        <v>40</v>
      </c>
      <c r="J5" s="368"/>
      <c r="L5" s="368" t="s">
        <v>185</v>
      </c>
      <c r="M5" s="368"/>
    </row>
    <row r="6" spans="1:13" ht="24" x14ac:dyDescent="0.2">
      <c r="B6" s="27" t="s">
        <v>128</v>
      </c>
      <c r="C6" s="39" t="s">
        <v>146</v>
      </c>
      <c r="D6" s="39" t="s">
        <v>178</v>
      </c>
      <c r="F6" s="39" t="s">
        <v>146</v>
      </c>
      <c r="G6" s="39" t="s">
        <v>178</v>
      </c>
      <c r="I6" s="39" t="s">
        <v>146</v>
      </c>
      <c r="J6" s="39" t="s">
        <v>178</v>
      </c>
      <c r="L6" s="40" t="s">
        <v>146</v>
      </c>
      <c r="M6" s="40" t="s">
        <v>178</v>
      </c>
    </row>
    <row r="7" spans="1:13" x14ac:dyDescent="0.2">
      <c r="B7" s="7" t="s">
        <v>167</v>
      </c>
      <c r="C7" s="247">
        <v>19.942785887185508</v>
      </c>
      <c r="D7" s="286">
        <f>C7</f>
        <v>19.942785887185508</v>
      </c>
      <c r="E7" s="267"/>
      <c r="F7" s="287">
        <v>33.829608408419261</v>
      </c>
      <c r="G7" s="286">
        <f>F7</f>
        <v>33.829608408419261</v>
      </c>
      <c r="H7" s="267"/>
      <c r="I7" s="287">
        <v>68.381487740734372</v>
      </c>
      <c r="J7" s="286">
        <f>I7</f>
        <v>68.381487740734372</v>
      </c>
      <c r="K7" s="267"/>
      <c r="L7" s="288">
        <f>C7+F7-I7</f>
        <v>-14.609093445129602</v>
      </c>
      <c r="M7" s="71">
        <f>L7</f>
        <v>-14.609093445129602</v>
      </c>
    </row>
    <row r="8" spans="1:13" x14ac:dyDescent="0.2">
      <c r="B8" s="7" t="s">
        <v>168</v>
      </c>
      <c r="C8" s="247">
        <v>25.851186658114177</v>
      </c>
      <c r="D8" s="286">
        <f>C8</f>
        <v>25.851186658114177</v>
      </c>
      <c r="E8" s="267"/>
      <c r="F8" s="247">
        <v>29.988195377636551</v>
      </c>
      <c r="G8" s="286">
        <f>F8</f>
        <v>29.988195377636551</v>
      </c>
      <c r="H8" s="267"/>
      <c r="I8" s="247">
        <v>57.517465644094351</v>
      </c>
      <c r="J8" s="286">
        <f>I8</f>
        <v>57.517465644094351</v>
      </c>
      <c r="K8" s="267"/>
      <c r="L8" s="288">
        <f t="shared" ref="L8:M14" si="0">C8+F8-I8</f>
        <v>-1.6780836083436199</v>
      </c>
      <c r="M8" s="71">
        <f>L8</f>
        <v>-1.6780836083436199</v>
      </c>
    </row>
    <row r="9" spans="1:13" x14ac:dyDescent="0.2">
      <c r="B9" s="7" t="s">
        <v>169</v>
      </c>
      <c r="C9" s="247">
        <v>22.055145257748158</v>
      </c>
      <c r="D9" s="286">
        <f>C9</f>
        <v>22.055145257748158</v>
      </c>
      <c r="E9" s="267"/>
      <c r="F9" s="247">
        <v>37.567300674080116</v>
      </c>
      <c r="G9" s="286">
        <f>F9</f>
        <v>37.567300674080116</v>
      </c>
      <c r="H9" s="267"/>
      <c r="I9" s="247">
        <v>83.527542827701694</v>
      </c>
      <c r="J9" s="286">
        <f>I9</f>
        <v>83.527542827701694</v>
      </c>
      <c r="K9" s="267"/>
      <c r="L9" s="288">
        <f t="shared" si="0"/>
        <v>-23.90509689587342</v>
      </c>
      <c r="M9" s="71">
        <f>L9</f>
        <v>-23.90509689587342</v>
      </c>
    </row>
    <row r="10" spans="1:13" x14ac:dyDescent="0.2">
      <c r="B10" s="7" t="s">
        <v>170</v>
      </c>
      <c r="C10" s="247">
        <v>8.7485002508671279</v>
      </c>
      <c r="D10" s="286">
        <f>C10</f>
        <v>8.7485002508671279</v>
      </c>
      <c r="E10" s="267"/>
      <c r="F10" s="247">
        <v>66.427198893187466</v>
      </c>
      <c r="G10" s="286">
        <f>F10</f>
        <v>66.427198893187466</v>
      </c>
      <c r="H10" s="267"/>
      <c r="I10" s="247">
        <v>40.647690297455867</v>
      </c>
      <c r="J10" s="286">
        <f>I10</f>
        <v>40.647690297455867</v>
      </c>
      <c r="K10" s="267"/>
      <c r="L10" s="288">
        <f t="shared" si="0"/>
        <v>34.528008846598723</v>
      </c>
      <c r="M10" s="71">
        <f>L10</f>
        <v>34.528008846598723</v>
      </c>
    </row>
    <row r="11" spans="1:13" x14ac:dyDescent="0.2">
      <c r="B11" s="7" t="s">
        <v>171</v>
      </c>
      <c r="C11" s="247">
        <v>25.565882390196016</v>
      </c>
      <c r="D11" s="286">
        <f>C11</f>
        <v>25.565882390196016</v>
      </c>
      <c r="E11" s="267"/>
      <c r="F11" s="247">
        <v>82.692613887660329</v>
      </c>
      <c r="G11" s="286">
        <f>F11</f>
        <v>82.692613887660329</v>
      </c>
      <c r="H11" s="267"/>
      <c r="I11" s="247">
        <v>40.238832375055289</v>
      </c>
      <c r="J11" s="286">
        <f>I11</f>
        <v>40.238832375055289</v>
      </c>
      <c r="K11" s="267"/>
      <c r="L11" s="288">
        <f t="shared" si="0"/>
        <v>68.019663902801057</v>
      </c>
      <c r="M11" s="71">
        <f>L11</f>
        <v>68.019663902801057</v>
      </c>
    </row>
    <row r="12" spans="1:13" x14ac:dyDescent="0.2">
      <c r="B12" s="70" t="s">
        <v>172</v>
      </c>
      <c r="C12" s="289">
        <v>20.249442471297595</v>
      </c>
      <c r="D12" s="290"/>
      <c r="E12" s="291"/>
      <c r="F12" s="289">
        <v>82.889597957881293</v>
      </c>
      <c r="G12" s="290"/>
      <c r="H12" s="291"/>
      <c r="I12" s="289">
        <v>162.72367581365666</v>
      </c>
      <c r="J12" s="290"/>
      <c r="K12" s="267"/>
      <c r="L12" s="288">
        <f t="shared" si="0"/>
        <v>-59.584635384477764</v>
      </c>
      <c r="M12" s="248"/>
    </row>
    <row r="13" spans="1:13" x14ac:dyDescent="0.2">
      <c r="B13" s="7" t="s">
        <v>174</v>
      </c>
      <c r="C13" s="247">
        <v>22.081784386617102</v>
      </c>
      <c r="D13" s="286">
        <f>C13</f>
        <v>22.081784386617102</v>
      </c>
      <c r="E13" s="267"/>
      <c r="F13" s="247">
        <v>83.767313019390585</v>
      </c>
      <c r="G13" s="286">
        <f>F13</f>
        <v>83.767313019390585</v>
      </c>
      <c r="H13" s="267"/>
      <c r="I13" s="247">
        <v>142.00554016620498</v>
      </c>
      <c r="J13" s="286">
        <f>I13</f>
        <v>142.00554016620498</v>
      </c>
      <c r="K13" s="267"/>
      <c r="L13" s="288">
        <f t="shared" si="0"/>
        <v>-36.156442760197294</v>
      </c>
      <c r="M13" s="71">
        <f>L13</f>
        <v>-36.156442760197294</v>
      </c>
    </row>
    <row r="14" spans="1:13" x14ac:dyDescent="0.2">
      <c r="B14" s="7" t="s">
        <v>177</v>
      </c>
      <c r="C14" s="247">
        <v>19.492537313432834</v>
      </c>
      <c r="D14" s="286">
        <f>C14</f>
        <v>19.492537313432834</v>
      </c>
      <c r="E14" s="267"/>
      <c r="F14" s="247">
        <v>20.192644483362521</v>
      </c>
      <c r="G14" s="286">
        <f>F14</f>
        <v>20.192644483362521</v>
      </c>
      <c r="H14" s="267"/>
      <c r="I14" s="247">
        <v>55.936952714535906</v>
      </c>
      <c r="J14" s="286">
        <f>I14</f>
        <v>55.936952714535906</v>
      </c>
      <c r="K14" s="267"/>
      <c r="L14" s="288">
        <f t="shared" si="0"/>
        <v>-16.251770917740551</v>
      </c>
      <c r="M14" s="288">
        <f t="shared" si="0"/>
        <v>-16.251770917740551</v>
      </c>
    </row>
    <row r="15" spans="1:13" x14ac:dyDescent="0.2">
      <c r="B15" s="8" t="s">
        <v>146</v>
      </c>
      <c r="C15" s="245">
        <f>AVERAGE(C7:C14)</f>
        <v>20.498408076932314</v>
      </c>
      <c r="D15" s="245">
        <f>AVERAGE(D7:D14)</f>
        <v>20.533974592022989</v>
      </c>
      <c r="E15" s="267"/>
      <c r="F15" s="245">
        <f>AVERAGE(F7:F14)</f>
        <v>54.669309087702267</v>
      </c>
      <c r="G15" s="245">
        <f>AVERAGE(G7:G14)</f>
        <v>50.637839249105262</v>
      </c>
      <c r="H15" s="267"/>
      <c r="I15" s="245">
        <f>AVERAGE(I7:I14)</f>
        <v>81.372398447429887</v>
      </c>
      <c r="J15" s="245">
        <f>AVERAGE(J7:J14)</f>
        <v>69.750787395111772</v>
      </c>
      <c r="K15" s="267"/>
      <c r="L15" s="292">
        <f>AVERAGE(L7:L14)</f>
        <v>-6.2046812827953088</v>
      </c>
      <c r="M15" s="292">
        <f>AVERAGE(M7:M14)</f>
        <v>1.4210264460164705</v>
      </c>
    </row>
  </sheetData>
  <mergeCells count="4">
    <mergeCell ref="C5:D5"/>
    <mergeCell ref="F5:G5"/>
    <mergeCell ref="I5:J5"/>
    <mergeCell ref="L5:M5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14"/>
  <sheetViews>
    <sheetView workbookViewId="0">
      <selection activeCell="B4" sqref="B4"/>
    </sheetView>
  </sheetViews>
  <sheetFormatPr defaultColWidth="9.140625" defaultRowHeight="12.75" x14ac:dyDescent="0.2"/>
  <cols>
    <col min="1" max="1" width="2" style="16" customWidth="1"/>
    <col min="2" max="2" width="19.140625" style="16" customWidth="1"/>
    <col min="3" max="6" width="10.140625" style="16" bestFit="1" customWidth="1"/>
    <col min="7" max="7" width="10" style="16" bestFit="1" customWidth="1"/>
    <col min="8" max="17" width="10.140625" style="16" bestFit="1" customWidth="1"/>
    <col min="18" max="16384" width="9.140625" style="16"/>
  </cols>
  <sheetData>
    <row r="1" spans="2:17" ht="15.75" x14ac:dyDescent="0.25">
      <c r="B1" s="15" t="s">
        <v>74</v>
      </c>
    </row>
    <row r="3" spans="2:17" x14ac:dyDescent="0.2">
      <c r="C3" s="368" t="s">
        <v>186</v>
      </c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</row>
    <row r="4" spans="2:17" ht="28.9" customHeight="1" x14ac:dyDescent="0.2">
      <c r="B4" s="352" t="s">
        <v>349</v>
      </c>
      <c r="C4" s="6" t="s">
        <v>241</v>
      </c>
      <c r="D4" s="6" t="s">
        <v>242</v>
      </c>
      <c r="E4" s="6" t="s">
        <v>243</v>
      </c>
      <c r="F4" s="6" t="s">
        <v>244</v>
      </c>
      <c r="G4" s="6" t="s">
        <v>245</v>
      </c>
      <c r="H4" s="57" t="s">
        <v>198</v>
      </c>
      <c r="I4" s="57" t="s">
        <v>199</v>
      </c>
      <c r="J4" s="57" t="s">
        <v>200</v>
      </c>
      <c r="K4" s="57" t="s">
        <v>221</v>
      </c>
      <c r="L4" s="57" t="s">
        <v>258</v>
      </c>
      <c r="M4" s="57" t="s">
        <v>257</v>
      </c>
      <c r="N4" s="57" t="s">
        <v>256</v>
      </c>
      <c r="O4" s="57" t="s">
        <v>255</v>
      </c>
      <c r="P4" s="57" t="s">
        <v>254</v>
      </c>
      <c r="Q4" s="57" t="s">
        <v>253</v>
      </c>
    </row>
    <row r="5" spans="2:17" x14ac:dyDescent="0.2">
      <c r="B5" s="7" t="s">
        <v>75</v>
      </c>
      <c r="C5" s="293">
        <f>'Balance Sheet Input'!C5</f>
        <v>1913</v>
      </c>
      <c r="D5" s="293">
        <f>'Balance Sheet Input'!D5</f>
        <v>2952</v>
      </c>
      <c r="E5" s="293">
        <f>'Balance Sheet Input'!E5</f>
        <v>3508</v>
      </c>
      <c r="F5" s="293">
        <f>'Balance Sheet Input'!F5</f>
        <v>4418</v>
      </c>
      <c r="G5" s="293">
        <f>'Balance Sheet Input'!G5</f>
        <v>4576</v>
      </c>
      <c r="H5" s="294">
        <f>H11*('P&amp;L'!H5)/360</f>
        <v>5039.5578321947578</v>
      </c>
      <c r="I5" s="294">
        <f>I11*('P&amp;L'!I5)/360</f>
        <v>5681.6875520559906</v>
      </c>
      <c r="J5" s="294">
        <f>J11*('P&amp;L'!J5)/360</f>
        <v>6537.048906152997</v>
      </c>
      <c r="K5" s="294">
        <f>K11*('P&amp;L'!K5)/360</f>
        <v>7409.8083294211756</v>
      </c>
      <c r="L5" s="294">
        <f>L11*('P&amp;L'!L5)/360</f>
        <v>8466.4914789478316</v>
      </c>
      <c r="M5" s="294">
        <f>M11*('P&amp;L'!M5)/360</f>
        <v>9427.993209953418</v>
      </c>
      <c r="N5" s="294">
        <f>N11*('P&amp;L'!N5)/360</f>
        <v>10395.382080771888</v>
      </c>
      <c r="O5" s="294">
        <f>O11*('P&amp;L'!O5)/360</f>
        <v>11369.011319792016</v>
      </c>
      <c r="P5" s="294">
        <f>P11*('P&amp;L'!P5)/360</f>
        <v>12349.255349105904</v>
      </c>
      <c r="Q5" s="294">
        <f>Q11*('P&amp;L'!Q5)/360</f>
        <v>13336.51105613117</v>
      </c>
    </row>
    <row r="6" spans="2:17" x14ac:dyDescent="0.2">
      <c r="B6" s="7" t="s">
        <v>9</v>
      </c>
      <c r="C6" s="293">
        <f>'Balance Sheet Input'!C6</f>
        <v>5757</v>
      </c>
      <c r="D6" s="293">
        <f>'Balance Sheet Input'!D6</f>
        <v>12839</v>
      </c>
      <c r="E6" s="293">
        <f>'Balance Sheet Input'!E6</f>
        <v>13626</v>
      </c>
      <c r="F6" s="293">
        <f>'Balance Sheet Input'!F6</f>
        <v>12017</v>
      </c>
      <c r="G6" s="293">
        <f>'Balance Sheet Input'!G6</f>
        <v>12392</v>
      </c>
      <c r="H6" s="294">
        <f>-H12*('P&amp;L'!H$6)/360</f>
        <v>17360.777475551986</v>
      </c>
      <c r="I6" s="294">
        <f>-I12*('P&amp;L'!I$6)/360</f>
        <v>19620.821090881047</v>
      </c>
      <c r="J6" s="294">
        <f>-J12*('P&amp;L'!J$6)/360</f>
        <v>22615.785699475797</v>
      </c>
      <c r="K6" s="294">
        <f>-K12*('P&amp;L'!K$6)/360</f>
        <v>25673.749901727115</v>
      </c>
      <c r="L6" s="294">
        <f>-L12*('P&amp;L'!L$6)/360</f>
        <v>29343.936607910618</v>
      </c>
      <c r="M6" s="294">
        <f>-M12*('P&amp;L'!M$6)/360</f>
        <v>32700.065878497619</v>
      </c>
      <c r="N6" s="294">
        <f>-N12*('P&amp;L'!N$6)/360</f>
        <v>36077.855669393088</v>
      </c>
      <c r="O6" s="294">
        <f>-O12*('P&amp;L'!O$6)/360</f>
        <v>39478.605611815554</v>
      </c>
      <c r="P6" s="294">
        <f>-P12*('P&amp;L'!P$6)/360</f>
        <v>42903.693314856624</v>
      </c>
      <c r="Q6" s="294">
        <f>-Q12*('P&amp;L'!Q$6)/360</f>
        <v>46354.579044153419</v>
      </c>
    </row>
    <row r="7" spans="2:17" x14ac:dyDescent="0.2">
      <c r="B7" s="7" t="s">
        <v>76</v>
      </c>
      <c r="C7" s="293">
        <f>'Balance Sheet Input'!C22</f>
        <v>10025</v>
      </c>
      <c r="D7" s="293">
        <f>'Balance Sheet Input'!D22</f>
        <v>15255</v>
      </c>
      <c r="E7" s="293">
        <f>'Balance Sheet Input'!E22</f>
        <v>14431</v>
      </c>
      <c r="F7" s="293">
        <f>'Balance Sheet Input'!F22</f>
        <v>12474</v>
      </c>
      <c r="G7" s="293">
        <f>'Balance Sheet Input'!G22</f>
        <v>13371</v>
      </c>
      <c r="H7" s="294">
        <f>-H13*('P&amp;L'!H$6)/360</f>
        <v>20981.800894538035</v>
      </c>
      <c r="I7" s="294">
        <f>-I13*('P&amp;L'!I$6)/360</f>
        <v>23713.233010212829</v>
      </c>
      <c r="J7" s="294">
        <f>-J13*('P&amp;L'!J$6)/360</f>
        <v>27332.8722338718</v>
      </c>
      <c r="K7" s="294">
        <f>-K13*('P&amp;L'!K$6)/360</f>
        <v>31028.651188738113</v>
      </c>
      <c r="L7" s="294">
        <f>-L13*('P&amp;L'!L$6)/360</f>
        <v>35464.346930093394</v>
      </c>
      <c r="M7" s="294">
        <f>-M13*('P&amp;L'!M$6)/360</f>
        <v>39520.480719663123</v>
      </c>
      <c r="N7" s="294">
        <f>-N13*('P&amp;L'!N$6)/360</f>
        <v>43602.792871637685</v>
      </c>
      <c r="O7" s="294">
        <f>-O13*('P&amp;L'!O$6)/360</f>
        <v>47712.854087761356</v>
      </c>
      <c r="P7" s="294">
        <f>-P13*('P&amp;L'!P$6)/360</f>
        <v>51852.329311883121</v>
      </c>
      <c r="Q7" s="294">
        <f>-Q13*('P&amp;L'!Q$6)/360</f>
        <v>56022.98338448281</v>
      </c>
    </row>
    <row r="8" spans="2:17" ht="13.5" thickBot="1" x14ac:dyDescent="0.25">
      <c r="B8" s="65" t="s">
        <v>185</v>
      </c>
      <c r="C8" s="295">
        <f>C5+C6-C7</f>
        <v>-2355</v>
      </c>
      <c r="D8" s="295">
        <f>D5+D6-D7</f>
        <v>536</v>
      </c>
      <c r="E8" s="295">
        <f>E5+E6-E7</f>
        <v>2703</v>
      </c>
      <c r="F8" s="295">
        <f>F5+F6-F7</f>
        <v>3961</v>
      </c>
      <c r="G8" s="295">
        <f>G5+G6-G7</f>
        <v>3597</v>
      </c>
      <c r="H8" s="295">
        <f t="shared" ref="H8:L8" si="0">H5+H6-H7</f>
        <v>1418.5344132087084</v>
      </c>
      <c r="I8" s="295">
        <f t="shared" si="0"/>
        <v>1589.2756327242096</v>
      </c>
      <c r="J8" s="295">
        <f t="shared" si="0"/>
        <v>1819.9623717569921</v>
      </c>
      <c r="K8" s="295">
        <f t="shared" si="0"/>
        <v>2054.9070424101737</v>
      </c>
      <c r="L8" s="295">
        <f t="shared" si="0"/>
        <v>2346.0811567650526</v>
      </c>
      <c r="M8" s="295">
        <f>M5+M6-M7</f>
        <v>2607.5783687879157</v>
      </c>
      <c r="N8" s="295">
        <f>N5+N6-N7</f>
        <v>2870.4448785272907</v>
      </c>
      <c r="O8" s="295">
        <f>O5+O6-O7</f>
        <v>3134.7628438462125</v>
      </c>
      <c r="P8" s="295">
        <f>P5+P6-P7</f>
        <v>3400.6193520794041</v>
      </c>
      <c r="Q8" s="295">
        <f>Q5+Q6-Q7</f>
        <v>3668.1067158017831</v>
      </c>
    </row>
    <row r="9" spans="2:17" x14ac:dyDescent="0.2">
      <c r="B9" s="7"/>
      <c r="C9" s="296"/>
      <c r="D9" s="296"/>
      <c r="E9" s="296"/>
      <c r="F9" s="296"/>
      <c r="G9" s="296"/>
      <c r="H9" s="296"/>
      <c r="I9" s="296"/>
      <c r="J9" s="296"/>
      <c r="K9" s="296"/>
      <c r="L9" s="296"/>
      <c r="M9" s="296"/>
      <c r="N9" s="296"/>
      <c r="O9" s="296"/>
      <c r="P9" s="296"/>
      <c r="Q9" s="296"/>
    </row>
    <row r="10" spans="2:17" x14ac:dyDescent="0.2">
      <c r="B10" s="63" t="s">
        <v>56</v>
      </c>
      <c r="C10" s="297"/>
      <c r="D10" s="297"/>
      <c r="E10" s="297"/>
      <c r="F10" s="297"/>
      <c r="G10" s="297"/>
      <c r="H10" s="297"/>
      <c r="I10" s="297"/>
      <c r="J10" s="297"/>
      <c r="K10" s="297"/>
      <c r="L10" s="297"/>
      <c r="M10" s="297"/>
      <c r="N10" s="297"/>
      <c r="O10" s="297"/>
      <c r="P10" s="297"/>
      <c r="Q10" s="297"/>
    </row>
    <row r="11" spans="2:17" x14ac:dyDescent="0.2">
      <c r="B11" s="52" t="s">
        <v>38</v>
      </c>
      <c r="C11" s="298">
        <f>'Balance Sheet Input'!C43</f>
        <v>12.795273396131766</v>
      </c>
      <c r="D11" s="298">
        <f>'Balance Sheet Input'!D43</f>
        <v>13.045591809678132</v>
      </c>
      <c r="E11" s="298">
        <f>'Balance Sheet Input'!E43</f>
        <v>13.049920949025038</v>
      </c>
      <c r="F11" s="298">
        <f>'Balance Sheet Input'!F43</f>
        <v>16.280888524925786</v>
      </c>
      <c r="G11" s="298">
        <f>'Balance Sheet Input'!G43</f>
        <v>17.372267392198424</v>
      </c>
      <c r="H11" s="299">
        <f>AVERAGE($C11:$G11)</f>
        <v>14.50878841439183</v>
      </c>
      <c r="I11" s="300">
        <f>H11</f>
        <v>14.50878841439183</v>
      </c>
      <c r="J11" s="300">
        <f t="shared" ref="J11:Q11" si="1">I11</f>
        <v>14.50878841439183</v>
      </c>
      <c r="K11" s="300">
        <f t="shared" si="1"/>
        <v>14.50878841439183</v>
      </c>
      <c r="L11" s="300">
        <f t="shared" si="1"/>
        <v>14.50878841439183</v>
      </c>
      <c r="M11" s="300">
        <f t="shared" si="1"/>
        <v>14.50878841439183</v>
      </c>
      <c r="N11" s="300">
        <f t="shared" si="1"/>
        <v>14.50878841439183</v>
      </c>
      <c r="O11" s="300">
        <f t="shared" si="1"/>
        <v>14.50878841439183</v>
      </c>
      <c r="P11" s="300">
        <f t="shared" si="1"/>
        <v>14.50878841439183</v>
      </c>
      <c r="Q11" s="300">
        <f t="shared" si="1"/>
        <v>14.50878841439183</v>
      </c>
    </row>
    <row r="12" spans="2:17" x14ac:dyDescent="0.2">
      <c r="B12" s="52" t="s">
        <v>39</v>
      </c>
      <c r="C12" s="298">
        <f>'Balance Sheet Input'!C44</f>
        <v>51.533431136086726</v>
      </c>
      <c r="D12" s="298">
        <f>'Balance Sheet Input'!D44</f>
        <v>76.259961391872494</v>
      </c>
      <c r="E12" s="298">
        <f>'Balance Sheet Input'!E44</f>
        <v>62.004474612263479</v>
      </c>
      <c r="F12" s="298">
        <f>'Balance Sheet Input'!F44</f>
        <v>53.914755732801595</v>
      </c>
      <c r="G12" s="298">
        <f>'Balance Sheet Input'!G44</f>
        <v>57.390297557022116</v>
      </c>
      <c r="H12" s="299">
        <f>AVERAGE($C12:$G12)</f>
        <v>60.220584086009282</v>
      </c>
      <c r="I12" s="300">
        <f t="shared" ref="I12:Q13" si="2">H12</f>
        <v>60.220584086009282</v>
      </c>
      <c r="J12" s="300">
        <f t="shared" si="2"/>
        <v>60.220584086009282</v>
      </c>
      <c r="K12" s="300">
        <f t="shared" si="2"/>
        <v>60.220584086009282</v>
      </c>
      <c r="L12" s="300">
        <f t="shared" si="2"/>
        <v>60.220584086009282</v>
      </c>
      <c r="M12" s="300">
        <f t="shared" si="2"/>
        <v>60.220584086009282</v>
      </c>
      <c r="N12" s="300">
        <f t="shared" si="2"/>
        <v>60.220584086009282</v>
      </c>
      <c r="O12" s="300">
        <f t="shared" si="2"/>
        <v>60.220584086009282</v>
      </c>
      <c r="P12" s="300">
        <f t="shared" si="2"/>
        <v>60.220584086009282</v>
      </c>
      <c r="Q12" s="300">
        <f t="shared" si="2"/>
        <v>60.220584086009282</v>
      </c>
    </row>
    <row r="13" spans="2:17" x14ac:dyDescent="0.2">
      <c r="B13" s="52" t="s">
        <v>40</v>
      </c>
      <c r="C13" s="298">
        <f>'Balance Sheet Input'!C45</f>
        <v>89.738170425441979</v>
      </c>
      <c r="D13" s="298">
        <f>'Balance Sheet Input'!D45</f>
        <v>90.610305400188096</v>
      </c>
      <c r="E13" s="298">
        <f>'Balance Sheet Input'!E45</f>
        <v>65.667589397444161</v>
      </c>
      <c r="F13" s="298">
        <f>'Balance Sheet Input'!F45</f>
        <v>55.96510468594218</v>
      </c>
      <c r="G13" s="298">
        <f>'Balance Sheet Input'!G45</f>
        <v>61.92427926363321</v>
      </c>
      <c r="H13" s="299">
        <f t="shared" ref="H13" si="3">AVERAGE($C13:$G13)</f>
        <v>72.781089834529922</v>
      </c>
      <c r="I13" s="300">
        <f t="shared" si="2"/>
        <v>72.781089834529922</v>
      </c>
      <c r="J13" s="300">
        <f t="shared" si="2"/>
        <v>72.781089834529922</v>
      </c>
      <c r="K13" s="300">
        <f t="shared" si="2"/>
        <v>72.781089834529922</v>
      </c>
      <c r="L13" s="300">
        <f t="shared" si="2"/>
        <v>72.781089834529922</v>
      </c>
      <c r="M13" s="300">
        <f t="shared" si="2"/>
        <v>72.781089834529922</v>
      </c>
      <c r="N13" s="300">
        <f t="shared" si="2"/>
        <v>72.781089834529922</v>
      </c>
      <c r="O13" s="300">
        <f t="shared" si="2"/>
        <v>72.781089834529922</v>
      </c>
      <c r="P13" s="300">
        <f t="shared" si="2"/>
        <v>72.781089834529922</v>
      </c>
      <c r="Q13" s="300">
        <f t="shared" si="2"/>
        <v>72.781089834529922</v>
      </c>
    </row>
    <row r="14" spans="2:17" x14ac:dyDescent="0.2">
      <c r="B14" s="72" t="s">
        <v>185</v>
      </c>
      <c r="C14" s="298">
        <f t="shared" ref="C14:I14" si="4">C11+C12-C13</f>
        <v>-25.409465893223484</v>
      </c>
      <c r="D14" s="298">
        <f t="shared" si="4"/>
        <v>-1.3047521986374733</v>
      </c>
      <c r="E14" s="298">
        <f t="shared" si="4"/>
        <v>9.386806163844355</v>
      </c>
      <c r="F14" s="298">
        <f t="shared" si="4"/>
        <v>14.230539571785201</v>
      </c>
      <c r="G14" s="298">
        <f t="shared" si="4"/>
        <v>12.838285685587337</v>
      </c>
      <c r="H14" s="299">
        <f t="shared" si="4"/>
        <v>1.94828266587119</v>
      </c>
      <c r="I14" s="299">
        <f t="shared" si="4"/>
        <v>1.94828266587119</v>
      </c>
      <c r="J14" s="299">
        <f t="shared" ref="J14:Q14" si="5">J11+J12-J13</f>
        <v>1.94828266587119</v>
      </c>
      <c r="K14" s="299">
        <f t="shared" si="5"/>
        <v>1.94828266587119</v>
      </c>
      <c r="L14" s="299">
        <f t="shared" si="5"/>
        <v>1.94828266587119</v>
      </c>
      <c r="M14" s="299">
        <f t="shared" si="5"/>
        <v>1.94828266587119</v>
      </c>
      <c r="N14" s="299">
        <f t="shared" si="5"/>
        <v>1.94828266587119</v>
      </c>
      <c r="O14" s="299">
        <f t="shared" si="5"/>
        <v>1.94828266587119</v>
      </c>
      <c r="P14" s="299">
        <f t="shared" si="5"/>
        <v>1.94828266587119</v>
      </c>
      <c r="Q14" s="299">
        <f t="shared" si="5"/>
        <v>1.94828266587119</v>
      </c>
    </row>
  </sheetData>
  <mergeCells count="1">
    <mergeCell ref="C3:Q3"/>
  </mergeCells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F2B3-ACA7-4D38-9118-B9003E910A5A}">
  <sheetPr>
    <tabColor theme="5"/>
  </sheetPr>
  <dimension ref="B14"/>
  <sheetViews>
    <sheetView workbookViewId="0">
      <selection activeCell="E39" sqref="E3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78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2"/>
  <sheetViews>
    <sheetView tabSelected="1" workbookViewId="0">
      <selection activeCell="L26" sqref="L26"/>
    </sheetView>
  </sheetViews>
  <sheetFormatPr defaultColWidth="9.140625" defaultRowHeight="12" x14ac:dyDescent="0.2"/>
  <cols>
    <col min="1" max="1" width="2" style="17" customWidth="1"/>
    <col min="2" max="2" width="41.42578125" style="17" customWidth="1"/>
    <col min="3" max="6" width="10.140625" style="17" bestFit="1" customWidth="1"/>
    <col min="7" max="7" width="10" style="17" bestFit="1" customWidth="1"/>
    <col min="8" max="12" width="10.140625" style="17" bestFit="1" customWidth="1"/>
    <col min="13" max="16" width="10.5703125" style="17" bestFit="1" customWidth="1"/>
    <col min="17" max="17" width="10" style="17" bestFit="1" customWidth="1"/>
    <col min="18" max="16384" width="9.140625" style="17"/>
  </cols>
  <sheetData>
    <row r="1" spans="1:17" ht="15.75" x14ac:dyDescent="0.25">
      <c r="B1" s="15" t="s">
        <v>78</v>
      </c>
      <c r="C1" s="21"/>
    </row>
    <row r="3" spans="1:17" x14ac:dyDescent="0.2">
      <c r="B3" s="17" t="s">
        <v>117</v>
      </c>
    </row>
    <row r="4" spans="1:17" x14ac:dyDescent="0.2">
      <c r="B4" s="17" t="s">
        <v>118</v>
      </c>
      <c r="C4" s="301">
        <v>0.5</v>
      </c>
    </row>
    <row r="5" spans="1:17" x14ac:dyDescent="0.2">
      <c r="B5" s="17" t="s">
        <v>95</v>
      </c>
      <c r="C5" s="301">
        <v>0.5</v>
      </c>
    </row>
    <row r="6" spans="1:17" x14ac:dyDescent="0.2">
      <c r="C6" s="302"/>
    </row>
    <row r="7" spans="1:17" x14ac:dyDescent="0.2">
      <c r="B7" s="363" t="str">
        <f>Drivers!B11</f>
        <v>Bond Yield (Mar 19 2030)</v>
      </c>
      <c r="C7" s="303">
        <f>Drivers!C11</f>
        <v>5.45E-2</v>
      </c>
    </row>
    <row r="8" spans="1:17" x14ac:dyDescent="0.2">
      <c r="C8" s="37"/>
    </row>
    <row r="9" spans="1:17" x14ac:dyDescent="0.2">
      <c r="C9" s="368" t="s">
        <v>190</v>
      </c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</row>
    <row r="10" spans="1:17" ht="27" customHeight="1" x14ac:dyDescent="0.2">
      <c r="B10" s="352" t="s">
        <v>349</v>
      </c>
      <c r="C10" s="6" t="s">
        <v>241</v>
      </c>
      <c r="D10" s="6" t="s">
        <v>242</v>
      </c>
      <c r="E10" s="6" t="s">
        <v>243</v>
      </c>
      <c r="F10" s="6" t="s">
        <v>244</v>
      </c>
      <c r="G10" s="6" t="s">
        <v>245</v>
      </c>
      <c r="H10" s="57" t="s">
        <v>198</v>
      </c>
      <c r="I10" s="57" t="s">
        <v>199</v>
      </c>
      <c r="J10" s="57" t="s">
        <v>200</v>
      </c>
      <c r="K10" s="57" t="s">
        <v>221</v>
      </c>
      <c r="L10" s="57" t="s">
        <v>258</v>
      </c>
      <c r="M10" s="57" t="s">
        <v>257</v>
      </c>
      <c r="N10" s="57" t="s">
        <v>256</v>
      </c>
      <c r="O10" s="57" t="s">
        <v>255</v>
      </c>
      <c r="P10" s="57" t="s">
        <v>254</v>
      </c>
      <c r="Q10" s="57" t="s">
        <v>253</v>
      </c>
    </row>
    <row r="11" spans="1:17" s="20" customFormat="1" x14ac:dyDescent="0.2">
      <c r="A11" s="17"/>
      <c r="B11" s="7" t="s">
        <v>24</v>
      </c>
      <c r="C11" s="304">
        <f>'Balance Sheet Input'!C30</f>
        <v>5245</v>
      </c>
      <c r="D11" s="304">
        <f>'Balance Sheet Input'!D30</f>
        <v>1597</v>
      </c>
      <c r="E11" s="304">
        <f>'Balance Sheet Input'!E30</f>
        <v>2857</v>
      </c>
      <c r="F11" s="304">
        <f>'Balance Sheet Input'!F30</f>
        <v>5757</v>
      </c>
      <c r="G11" s="304">
        <f>'Balance Sheet Input'!G30</f>
        <v>6736</v>
      </c>
      <c r="H11" s="305">
        <f>G11+G19</f>
        <v>6736</v>
      </c>
      <c r="I11" s="305">
        <f>H11+H19</f>
        <v>6736</v>
      </c>
      <c r="J11" s="305">
        <f t="shared" ref="J11:Q11" si="0">I11+I19</f>
        <v>6736</v>
      </c>
      <c r="K11" s="305">
        <f t="shared" si="0"/>
        <v>6736</v>
      </c>
      <c r="L11" s="305">
        <f t="shared" si="0"/>
        <v>6736</v>
      </c>
      <c r="M11" s="305">
        <f t="shared" si="0"/>
        <v>6736</v>
      </c>
      <c r="N11" s="305">
        <f t="shared" si="0"/>
        <v>6736</v>
      </c>
      <c r="O11" s="305">
        <f t="shared" si="0"/>
        <v>6736</v>
      </c>
      <c r="P11" s="305">
        <f t="shared" si="0"/>
        <v>6736</v>
      </c>
      <c r="Q11" s="305">
        <f t="shared" si="0"/>
        <v>6736</v>
      </c>
    </row>
    <row r="12" spans="1:17" s="20" customFormat="1" x14ac:dyDescent="0.2">
      <c r="A12" s="17"/>
      <c r="B12" s="17" t="str">
        <f>'P&amp;L Input'!B17</f>
        <v>Interest expense</v>
      </c>
      <c r="C12" s="304">
        <f>'P&amp;L Input'!C17</f>
        <v>-371</v>
      </c>
      <c r="D12" s="304">
        <f>'P&amp;L Input'!D17</f>
        <v>-191</v>
      </c>
      <c r="E12" s="304">
        <f>'P&amp;L Input'!E17</f>
        <v>-156</v>
      </c>
      <c r="F12" s="304">
        <f>'P&amp;L Input'!F17</f>
        <v>-350</v>
      </c>
      <c r="G12" s="304">
        <f>'P&amp;L Input'!G17</f>
        <v>-338</v>
      </c>
      <c r="H12" s="306">
        <f>-G11*H13</f>
        <v>-367.11200000000002</v>
      </c>
      <c r="I12" s="306">
        <f t="shared" ref="I12:Q12" si="1">-H11*I13</f>
        <v>-367.11200000000002</v>
      </c>
      <c r="J12" s="306">
        <f t="shared" si="1"/>
        <v>-367.11200000000002</v>
      </c>
      <c r="K12" s="306">
        <f t="shared" si="1"/>
        <v>-367.11200000000002</v>
      </c>
      <c r="L12" s="306">
        <f t="shared" si="1"/>
        <v>-367.11200000000002</v>
      </c>
      <c r="M12" s="306">
        <f t="shared" si="1"/>
        <v>-367.11200000000002</v>
      </c>
      <c r="N12" s="306">
        <f t="shared" si="1"/>
        <v>-367.11200000000002</v>
      </c>
      <c r="O12" s="306">
        <f t="shared" si="1"/>
        <v>-367.11200000000002</v>
      </c>
      <c r="P12" s="306">
        <f t="shared" si="1"/>
        <v>-367.11200000000002</v>
      </c>
      <c r="Q12" s="306">
        <f t="shared" si="1"/>
        <v>-367.11200000000002</v>
      </c>
    </row>
    <row r="13" spans="1:17" x14ac:dyDescent="0.2">
      <c r="B13" s="17" t="s">
        <v>105</v>
      </c>
      <c r="C13" s="307">
        <f>C12/C11</f>
        <v>-7.0734032411820788E-2</v>
      </c>
      <c r="D13" s="307">
        <f>D12/D11</f>
        <v>-0.11959924859110833</v>
      </c>
      <c r="E13" s="307">
        <f>E12/E11</f>
        <v>-5.4602730136506829E-2</v>
      </c>
      <c r="F13" s="307">
        <f>F12/F11</f>
        <v>-6.0795553239534478E-2</v>
      </c>
      <c r="G13" s="307">
        <f>G12/G11</f>
        <v>-5.0178147268408552E-2</v>
      </c>
      <c r="H13" s="308">
        <f t="shared" ref="H13:Q13" si="2">$C$7</f>
        <v>5.45E-2</v>
      </c>
      <c r="I13" s="308">
        <f t="shared" si="2"/>
        <v>5.45E-2</v>
      </c>
      <c r="J13" s="308">
        <f t="shared" si="2"/>
        <v>5.45E-2</v>
      </c>
      <c r="K13" s="308">
        <f t="shared" si="2"/>
        <v>5.45E-2</v>
      </c>
      <c r="L13" s="308">
        <f t="shared" si="2"/>
        <v>5.45E-2</v>
      </c>
      <c r="M13" s="308">
        <f t="shared" si="2"/>
        <v>5.45E-2</v>
      </c>
      <c r="N13" s="308">
        <f t="shared" si="2"/>
        <v>5.45E-2</v>
      </c>
      <c r="O13" s="308">
        <f t="shared" si="2"/>
        <v>5.45E-2</v>
      </c>
      <c r="P13" s="308">
        <f t="shared" si="2"/>
        <v>5.45E-2</v>
      </c>
      <c r="Q13" s="308">
        <f t="shared" si="2"/>
        <v>5.45E-2</v>
      </c>
    </row>
    <row r="14" spans="1:17" x14ac:dyDescent="0.2">
      <c r="C14" s="35"/>
      <c r="D14" s="35"/>
      <c r="E14" s="35"/>
      <c r="F14" s="35"/>
      <c r="G14" s="35"/>
      <c r="H14" s="36"/>
      <c r="I14" s="36"/>
      <c r="J14" s="36"/>
      <c r="K14" s="36"/>
      <c r="L14" s="36"/>
    </row>
    <row r="15" spans="1:17" x14ac:dyDescent="0.2">
      <c r="C15" s="35"/>
      <c r="D15" s="35"/>
      <c r="E15" s="35"/>
      <c r="F15" s="35"/>
      <c r="G15" s="35"/>
      <c r="H15" s="36"/>
      <c r="I15" s="36"/>
      <c r="J15" s="36"/>
      <c r="K15" s="36"/>
      <c r="L15" s="36"/>
    </row>
    <row r="16" spans="1:17" x14ac:dyDescent="0.2">
      <c r="C16" s="368" t="s">
        <v>191</v>
      </c>
      <c r="D16" s="368"/>
      <c r="E16" s="368"/>
      <c r="F16" s="368"/>
      <c r="G16" s="368"/>
      <c r="H16" s="368"/>
      <c r="I16" s="368"/>
      <c r="J16" s="368"/>
      <c r="K16" s="368"/>
      <c r="L16" s="368"/>
      <c r="M16" s="368"/>
      <c r="N16" s="368"/>
      <c r="O16" s="368"/>
      <c r="P16" s="368"/>
      <c r="Q16" s="368"/>
    </row>
    <row r="17" spans="2:17" ht="24" x14ac:dyDescent="0.2">
      <c r="C17" s="6" t="s">
        <v>241</v>
      </c>
      <c r="D17" s="6" t="s">
        <v>242</v>
      </c>
      <c r="E17" s="6" t="s">
        <v>243</v>
      </c>
      <c r="F17" s="6" t="s">
        <v>244</v>
      </c>
      <c r="G17" s="6" t="s">
        <v>245</v>
      </c>
      <c r="H17" s="57" t="s">
        <v>198</v>
      </c>
      <c r="I17" s="57" t="s">
        <v>199</v>
      </c>
      <c r="J17" s="57" t="s">
        <v>200</v>
      </c>
      <c r="K17" s="57" t="s">
        <v>221</v>
      </c>
      <c r="L17" s="57" t="s">
        <v>258</v>
      </c>
      <c r="M17" s="57" t="s">
        <v>257</v>
      </c>
      <c r="N17" s="57" t="s">
        <v>256</v>
      </c>
      <c r="O17" s="57" t="s">
        <v>255</v>
      </c>
      <c r="P17" s="57" t="s">
        <v>254</v>
      </c>
      <c r="Q17" s="57" t="s">
        <v>253</v>
      </c>
    </row>
    <row r="18" spans="2:17" x14ac:dyDescent="0.2">
      <c r="B18" s="22" t="s">
        <v>109</v>
      </c>
      <c r="C18" s="22"/>
      <c r="D18" s="22"/>
      <c r="E18" s="22"/>
      <c r="F18" s="22"/>
      <c r="G18" s="38"/>
      <c r="H18" s="309">
        <f>'Cash Flow'!H20</f>
        <v>4254.1292830990897</v>
      </c>
      <c r="I18" s="309">
        <f>'Cash Flow'!I20</f>
        <v>574.39341836670792</v>
      </c>
      <c r="J18" s="309">
        <f>'Cash Flow'!J20</f>
        <v>1649.8545135098539</v>
      </c>
      <c r="K18" s="309">
        <f>'Cash Flow'!K20</f>
        <v>1909.0576736040712</v>
      </c>
      <c r="L18" s="309">
        <f>'Cash Flow'!L20</f>
        <v>3312.1849243660217</v>
      </c>
      <c r="M18" s="309">
        <f>'Cash Flow'!M20</f>
        <v>3454.1012807313564</v>
      </c>
      <c r="N18" s="309">
        <f>'Cash Flow'!N20</f>
        <v>4278.71334620579</v>
      </c>
      <c r="O18" s="309">
        <f>'Cash Flow'!O20</f>
        <v>5372.8105028205209</v>
      </c>
      <c r="P18" s="309">
        <f>'Cash Flow'!P20</f>
        <v>6797.0512460498103</v>
      </c>
      <c r="Q18" s="309">
        <f>'Cash Flow'!Q20</f>
        <v>8619.8275723977749</v>
      </c>
    </row>
    <row r="19" spans="2:17" x14ac:dyDescent="0.2">
      <c r="B19" s="17" t="s">
        <v>118</v>
      </c>
      <c r="G19" s="20"/>
      <c r="H19" s="305">
        <f t="shared" ref="H19" si="3">IF(H$18&lt;0,-H$18*$C4,0)</f>
        <v>0</v>
      </c>
      <c r="I19" s="305">
        <f t="shared" ref="I19:L19" si="4">IF(I$18&lt;0,-I$18*$C4,0)</f>
        <v>0</v>
      </c>
      <c r="J19" s="305">
        <f t="shared" si="4"/>
        <v>0</v>
      </c>
      <c r="K19" s="305">
        <f t="shared" si="4"/>
        <v>0</v>
      </c>
      <c r="L19" s="305">
        <f t="shared" si="4"/>
        <v>0</v>
      </c>
      <c r="M19" s="305">
        <f>IF(M$18&lt;0,-M$18*$C4,0)</f>
        <v>0</v>
      </c>
      <c r="N19" s="305">
        <f>IF(N$18&lt;0,-N$18*$C4,0)</f>
        <v>0</v>
      </c>
      <c r="O19" s="305">
        <f>IF(O$18&lt;0,-O$18*$C4,0)</f>
        <v>0</v>
      </c>
      <c r="P19" s="305">
        <f t="shared" ref="P19:Q19" si="5">IF(P$18&lt;0,-P$18*$C4,0)</f>
        <v>0</v>
      </c>
      <c r="Q19" s="305">
        <f t="shared" si="5"/>
        <v>0</v>
      </c>
    </row>
    <row r="20" spans="2:17" x14ac:dyDescent="0.2">
      <c r="B20" s="17" t="s">
        <v>95</v>
      </c>
      <c r="G20" s="20"/>
      <c r="H20" s="305">
        <f>IF(H$18&lt;0,-H$18*$C5,0)</f>
        <v>0</v>
      </c>
      <c r="I20" s="305">
        <f t="shared" ref="I20:N20" si="6">IF(I$18&lt;0,-I$18*$C5,0)</f>
        <v>0</v>
      </c>
      <c r="J20" s="305">
        <f t="shared" si="6"/>
        <v>0</v>
      </c>
      <c r="K20" s="305">
        <f t="shared" si="6"/>
        <v>0</v>
      </c>
      <c r="L20" s="305">
        <f t="shared" si="6"/>
        <v>0</v>
      </c>
      <c r="M20" s="305">
        <f t="shared" si="6"/>
        <v>0</v>
      </c>
      <c r="N20" s="305">
        <f t="shared" si="6"/>
        <v>0</v>
      </c>
      <c r="O20" s="305">
        <f t="shared" ref="O20:Q20" si="7">IF(O$18&lt;0,-O$18*$C5,0)</f>
        <v>0</v>
      </c>
      <c r="P20" s="305">
        <f t="shared" si="7"/>
        <v>0</v>
      </c>
      <c r="Q20" s="305">
        <f t="shared" si="7"/>
        <v>0</v>
      </c>
    </row>
    <row r="22" spans="2:17" x14ac:dyDescent="0.2">
      <c r="B22" s="17" t="s">
        <v>212</v>
      </c>
      <c r="C22" s="211">
        <f>-C12/C11</f>
        <v>7.0734032411820788E-2</v>
      </c>
      <c r="D22" s="211">
        <f t="shared" ref="D22:Q22" si="8">-D12/D11</f>
        <v>0.11959924859110833</v>
      </c>
      <c r="E22" s="211">
        <f t="shared" si="8"/>
        <v>5.4602730136506829E-2</v>
      </c>
      <c r="F22" s="211">
        <f t="shared" si="8"/>
        <v>6.0795553239534478E-2</v>
      </c>
      <c r="G22" s="211">
        <f t="shared" si="8"/>
        <v>5.0178147268408552E-2</v>
      </c>
      <c r="H22" s="211">
        <f t="shared" si="8"/>
        <v>5.4500000000000007E-2</v>
      </c>
      <c r="I22" s="211">
        <f t="shared" si="8"/>
        <v>5.4500000000000007E-2</v>
      </c>
      <c r="J22" s="211">
        <f t="shared" si="8"/>
        <v>5.4500000000000007E-2</v>
      </c>
      <c r="K22" s="211">
        <f t="shared" si="8"/>
        <v>5.4500000000000007E-2</v>
      </c>
      <c r="L22" s="211">
        <f t="shared" si="8"/>
        <v>5.4500000000000007E-2</v>
      </c>
      <c r="M22" s="211">
        <f t="shared" si="8"/>
        <v>5.4500000000000007E-2</v>
      </c>
      <c r="N22" s="211">
        <f t="shared" si="8"/>
        <v>5.4500000000000007E-2</v>
      </c>
      <c r="O22" s="211">
        <f t="shared" si="8"/>
        <v>5.4500000000000007E-2</v>
      </c>
      <c r="P22" s="211">
        <f t="shared" si="8"/>
        <v>5.4500000000000007E-2</v>
      </c>
      <c r="Q22" s="211">
        <f t="shared" si="8"/>
        <v>5.4500000000000007E-2</v>
      </c>
    </row>
  </sheetData>
  <mergeCells count="2">
    <mergeCell ref="C9:Q9"/>
    <mergeCell ref="C16:Q16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B14"/>
  <sheetViews>
    <sheetView workbookViewId="0">
      <selection activeCell="E39" sqref="E3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54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20"/>
  <sheetViews>
    <sheetView workbookViewId="0">
      <selection activeCell="H13" sqref="H13"/>
    </sheetView>
  </sheetViews>
  <sheetFormatPr defaultColWidth="9.140625" defaultRowHeight="12.75" x14ac:dyDescent="0.2"/>
  <cols>
    <col min="1" max="1" width="2" style="16" customWidth="1"/>
    <col min="2" max="2" width="21.7109375" style="16" bestFit="1" customWidth="1"/>
    <col min="3" max="7" width="10.5703125" style="16" bestFit="1" customWidth="1"/>
    <col min="8" max="17" width="12" style="16" bestFit="1" customWidth="1"/>
    <col min="18" max="16384" width="9.140625" style="16"/>
  </cols>
  <sheetData>
    <row r="1" spans="2:17" ht="15.75" x14ac:dyDescent="0.25">
      <c r="B1" s="15" t="s">
        <v>80</v>
      </c>
      <c r="C1" s="15"/>
    </row>
    <row r="3" spans="2:17" x14ac:dyDescent="0.2">
      <c r="C3" s="368" t="s">
        <v>192</v>
      </c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</row>
    <row r="4" spans="2:17" ht="24" x14ac:dyDescent="0.2">
      <c r="B4" s="352" t="s">
        <v>349</v>
      </c>
      <c r="C4" s="6" t="s">
        <v>241</v>
      </c>
      <c r="D4" s="6" t="s">
        <v>242</v>
      </c>
      <c r="E4" s="6" t="s">
        <v>243</v>
      </c>
      <c r="F4" s="6" t="s">
        <v>244</v>
      </c>
      <c r="G4" s="6" t="s">
        <v>245</v>
      </c>
      <c r="H4" s="57" t="s">
        <v>198</v>
      </c>
      <c r="I4" s="57" t="s">
        <v>199</v>
      </c>
      <c r="J4" s="57" t="s">
        <v>200</v>
      </c>
      <c r="K4" s="57" t="s">
        <v>221</v>
      </c>
      <c r="L4" s="57" t="s">
        <v>258</v>
      </c>
      <c r="M4" s="57" t="s">
        <v>257</v>
      </c>
      <c r="N4" s="57" t="s">
        <v>256</v>
      </c>
      <c r="O4" s="57" t="s">
        <v>255</v>
      </c>
      <c r="P4" s="57" t="s">
        <v>254</v>
      </c>
      <c r="Q4" s="57" t="s">
        <v>253</v>
      </c>
    </row>
    <row r="5" spans="2:17" x14ac:dyDescent="0.2">
      <c r="B5" s="17" t="s">
        <v>83</v>
      </c>
      <c r="C5" s="310">
        <f>'Automotive Revenue'!C10+'Revenue Energy &amp; Other'!C7</f>
        <v>53823</v>
      </c>
      <c r="D5" s="310">
        <f>'Automotive Revenue'!D10+'Revenue Energy &amp; Other'!D7</f>
        <v>81462</v>
      </c>
      <c r="E5" s="310">
        <f>'Automotive Revenue'!E10+'Revenue Energy &amp; Other'!E7</f>
        <v>96773</v>
      </c>
      <c r="F5" s="310">
        <f>'Automotive Revenue'!F10+'Revenue Energy &amp; Other'!F7</f>
        <v>97690</v>
      </c>
      <c r="G5" s="311">
        <f>'Automotive Revenue'!G10+'Revenue Energy &amp; Other'!G7</f>
        <v>94827</v>
      </c>
      <c r="H5" s="288">
        <f>'Automotive Revenue'!H10+'Revenue Energy &amp; Other'!H7</f>
        <v>125044.26749999999</v>
      </c>
      <c r="I5" s="288">
        <f>'Automotive Revenue'!I10+'Revenue Energy &amp; Other'!I7</f>
        <v>140977.1416</v>
      </c>
      <c r="J5" s="288">
        <f>'Automotive Revenue'!J10+'Revenue Energy &amp; Other'!J7</f>
        <v>162200.83572800001</v>
      </c>
      <c r="K5" s="288">
        <f>'Automotive Revenue'!K10+'Revenue Energy &amp; Other'!K7</f>
        <v>183856.22027168001</v>
      </c>
      <c r="L5" s="288">
        <f>'Automotive Revenue'!L10+'Revenue Energy &amp; Other'!L7</f>
        <v>210075.22098798081</v>
      </c>
      <c r="M5" s="288">
        <f>'Automotive Revenue'!M10+'Revenue Energy &amp; Other'!M7</f>
        <v>233932.52824725967</v>
      </c>
      <c r="N5" s="288">
        <f>'Automotive Revenue'!N10+'Revenue Energy &amp; Other'!N7</f>
        <v>257935.91044209522</v>
      </c>
      <c r="O5" s="288">
        <f>'Automotive Revenue'!O10+'Revenue Energy &amp; Other'!O7</f>
        <v>282094.13206862094</v>
      </c>
      <c r="P5" s="288">
        <f>'Automotive Revenue'!P10+'Revenue Energy &amp; Other'!P7</f>
        <v>306416.48349273822</v>
      </c>
      <c r="Q5" s="288">
        <f>'Automotive Revenue'!Q10+'Revenue Energy &amp; Other'!Q7</f>
        <v>330912.81250230246</v>
      </c>
    </row>
    <row r="6" spans="2:17" x14ac:dyDescent="0.2">
      <c r="B6" s="17" t="s">
        <v>77</v>
      </c>
      <c r="C6" s="310">
        <f>'Cost of sales Energy &amp; Other'!C7+'Cost of sales automotive'!C10</f>
        <v>-40217</v>
      </c>
      <c r="D6" s="310">
        <f>'Cost of sales Energy &amp; Other'!D7+'Cost of sales automotive'!D10</f>
        <v>-60609</v>
      </c>
      <c r="E6" s="310">
        <f>'Cost of sales Energy &amp; Other'!E7+'Cost of sales automotive'!E10</f>
        <v>-79113</v>
      </c>
      <c r="F6" s="310">
        <f>'Cost of sales Energy &amp; Other'!F7+'Cost of sales automotive'!F10</f>
        <v>-80240</v>
      </c>
      <c r="G6" s="310">
        <f>'Cost of sales Energy &amp; Other'!G7+'Cost of sales automotive'!G10</f>
        <v>-77733</v>
      </c>
      <c r="H6" s="312">
        <f>'Cost of sales Energy &amp; Other'!H7+'Cost of sales automotive'!H10</f>
        <v>-103783.11645520413</v>
      </c>
      <c r="I6" s="312">
        <f>'Cost of sales Energy &amp; Other'!I7+'Cost of sales automotive'!I10</f>
        <v>-117293.70778982862</v>
      </c>
      <c r="J6" s="312">
        <f>'Cost of sales Energy &amp; Other'!J7+'Cost of sales automotive'!J10</f>
        <v>-135197.67327701492</v>
      </c>
      <c r="K6" s="312">
        <f>'Cost of sales Energy &amp; Other'!K7+'Cost of sales automotive'!K10</f>
        <v>-153478.25174563582</v>
      </c>
      <c r="L6" s="312">
        <f>'Cost of sales Energy &amp; Other'!L7+'Cost of sales automotive'!L10</f>
        <v>-175418.71005037392</v>
      </c>
      <c r="M6" s="312">
        <f>'Cost of sales Energy &amp; Other'!M7+'Cost of sales automotive'!M10</f>
        <v>-195481.72597339639</v>
      </c>
      <c r="N6" s="312">
        <f>'Cost of sales Energy &amp; Other'!N7+'Cost of sales automotive'!N10</f>
        <v>-215674.22897180018</v>
      </c>
      <c r="O6" s="312">
        <f>'Cost of sales Energy &amp; Other'!O7+'Cost of sales automotive'!O10</f>
        <v>-236003.98827010818</v>
      </c>
      <c r="P6" s="312">
        <f>'Cost of sales Energy &amp; Other'!P7+'Cost of sales automotive'!P10</f>
        <v>-256479.23924631468</v>
      </c>
      <c r="Q6" s="312">
        <f>'Cost of sales Energy &amp; Other'!Q7+'Cost of sales automotive'!Q10</f>
        <v>-277108.71140109352</v>
      </c>
    </row>
    <row r="7" spans="2:17" x14ac:dyDescent="0.2">
      <c r="B7" s="23" t="s">
        <v>1</v>
      </c>
      <c r="C7" s="313">
        <f>SUM(C5:C6)</f>
        <v>13606</v>
      </c>
      <c r="D7" s="313">
        <f t="shared" ref="D7:G9" si="0">SUM(D5:D6)</f>
        <v>20853</v>
      </c>
      <c r="E7" s="313">
        <f t="shared" si="0"/>
        <v>17660</v>
      </c>
      <c r="F7" s="313">
        <f t="shared" si="0"/>
        <v>17450</v>
      </c>
      <c r="G7" s="245">
        <f t="shared" si="0"/>
        <v>17094</v>
      </c>
      <c r="H7" s="292">
        <f t="shared" ref="H7:Q7" si="1">SUM(H5:H6)</f>
        <v>21261.151044795857</v>
      </c>
      <c r="I7" s="292">
        <f t="shared" si="1"/>
        <v>23683.43381017138</v>
      </c>
      <c r="J7" s="292">
        <f t="shared" si="1"/>
        <v>27003.162450985081</v>
      </c>
      <c r="K7" s="292">
        <f t="shared" si="1"/>
        <v>30377.968526044191</v>
      </c>
      <c r="L7" s="292">
        <f t="shared" si="1"/>
        <v>34656.510937606887</v>
      </c>
      <c r="M7" s="292">
        <f t="shared" si="1"/>
        <v>38450.802273863286</v>
      </c>
      <c r="N7" s="292">
        <f t="shared" si="1"/>
        <v>42261.681470295036</v>
      </c>
      <c r="O7" s="292">
        <f t="shared" si="1"/>
        <v>46090.143798512756</v>
      </c>
      <c r="P7" s="292">
        <f t="shared" si="1"/>
        <v>49937.244246423536</v>
      </c>
      <c r="Q7" s="292">
        <f t="shared" si="1"/>
        <v>53804.101101208944</v>
      </c>
    </row>
    <row r="8" spans="2:17" x14ac:dyDescent="0.2">
      <c r="B8" s="17" t="s">
        <v>84</v>
      </c>
      <c r="C8" s="310">
        <f>Opex!C7</f>
        <v>-7083</v>
      </c>
      <c r="D8" s="310">
        <f>Opex!D7</f>
        <v>-7197</v>
      </c>
      <c r="E8" s="310">
        <f>Opex!E7</f>
        <v>-8769</v>
      </c>
      <c r="F8" s="310">
        <f>Opex!F7</f>
        <v>-10374</v>
      </c>
      <c r="G8" s="311">
        <f>Opex!G7</f>
        <v>-12739</v>
      </c>
      <c r="H8" s="288">
        <f>Opex!H7</f>
        <v>-16324.222509660889</v>
      </c>
      <c r="I8" s="288">
        <f>Opex!I7</f>
        <v>-18404.220155509094</v>
      </c>
      <c r="J8" s="288">
        <f>Opex!J7</f>
        <v>-21174.921382756118</v>
      </c>
      <c r="K8" s="288">
        <f>Opex!K7</f>
        <v>-24001.978735251738</v>
      </c>
      <c r="L8" s="288">
        <f>Opex!L7</f>
        <v>-27424.80498895307</v>
      </c>
      <c r="M8" s="288">
        <f>Opex!M7</f>
        <v>-30539.317952786587</v>
      </c>
      <c r="N8" s="288">
        <f>Opex!N7</f>
        <v>-33672.900641276712</v>
      </c>
      <c r="O8" s="288">
        <f>Opex!O7</f>
        <v>-36826.697237902838</v>
      </c>
      <c r="P8" s="288">
        <f>Opex!P7</f>
        <v>-40001.920577153141</v>
      </c>
      <c r="Q8" s="288">
        <f>Opex!Q7</f>
        <v>-43199.856263585054</v>
      </c>
    </row>
    <row r="9" spans="2:17" x14ac:dyDescent="0.2">
      <c r="B9" s="23" t="s">
        <v>36</v>
      </c>
      <c r="C9" s="313">
        <f>SUM(C7:C8)</f>
        <v>6523</v>
      </c>
      <c r="D9" s="314">
        <f>SUM(D7:D8)</f>
        <v>13656</v>
      </c>
      <c r="E9" s="314">
        <f>SUM(E7:E8)</f>
        <v>8891</v>
      </c>
      <c r="F9" s="314">
        <f>SUM(F7:F8)</f>
        <v>7076</v>
      </c>
      <c r="G9" s="245">
        <f t="shared" si="0"/>
        <v>4355</v>
      </c>
      <c r="H9" s="292">
        <f t="shared" ref="H9:Q9" si="2">SUM(H7:H8)</f>
        <v>4936.9285351349681</v>
      </c>
      <c r="I9" s="292">
        <f t="shared" si="2"/>
        <v>5279.213654662286</v>
      </c>
      <c r="J9" s="292">
        <f t="shared" si="2"/>
        <v>5828.2410682289628</v>
      </c>
      <c r="K9" s="292">
        <f t="shared" si="2"/>
        <v>6375.9897907924533</v>
      </c>
      <c r="L9" s="292">
        <f t="shared" si="2"/>
        <v>7231.7059486538164</v>
      </c>
      <c r="M9" s="292">
        <f t="shared" si="2"/>
        <v>7911.4843210766994</v>
      </c>
      <c r="N9" s="292">
        <f t="shared" si="2"/>
        <v>8588.7808290183239</v>
      </c>
      <c r="O9" s="292">
        <f t="shared" si="2"/>
        <v>9263.4465606099184</v>
      </c>
      <c r="P9" s="292">
        <f t="shared" si="2"/>
        <v>9935.323669270394</v>
      </c>
      <c r="Q9" s="292">
        <f t="shared" si="2"/>
        <v>10604.24483762389</v>
      </c>
    </row>
    <row r="10" spans="2:17" x14ac:dyDescent="0.2">
      <c r="B10" s="17" t="s">
        <v>85</v>
      </c>
      <c r="C10" s="310">
        <f>Financing!C12+('P&amp;L Input'!C16+'P&amp;L Input'!C18)</f>
        <v>-180</v>
      </c>
      <c r="D10" s="310">
        <f>Financing!D12+('P&amp;L Input'!D16+'P&amp;L Input'!D18)</f>
        <v>63</v>
      </c>
      <c r="E10" s="310">
        <f>Financing!E12+('P&amp;L Input'!E16+'P&amp;L Input'!E18)</f>
        <v>1082</v>
      </c>
      <c r="F10" s="310">
        <f>Financing!F12+('P&amp;L Input'!F16+'P&amp;L Input'!F18)</f>
        <v>1914</v>
      </c>
      <c r="G10" s="310">
        <f>Financing!G12+('P&amp;L Input'!G16+'P&amp;L Input'!G18)</f>
        <v>923</v>
      </c>
      <c r="H10" s="288">
        <f>Financing!H12</f>
        <v>-367.11200000000002</v>
      </c>
      <c r="I10" s="288">
        <f>Financing!I12</f>
        <v>-367.11200000000002</v>
      </c>
      <c r="J10" s="288">
        <f>Financing!J12</f>
        <v>-367.11200000000002</v>
      </c>
      <c r="K10" s="288">
        <f>Financing!K12</f>
        <v>-367.11200000000002</v>
      </c>
      <c r="L10" s="288">
        <f>Financing!L12</f>
        <v>-367.11200000000002</v>
      </c>
      <c r="M10" s="288">
        <f>Financing!M12</f>
        <v>-367.11200000000002</v>
      </c>
      <c r="N10" s="288">
        <f>Financing!N12</f>
        <v>-367.11200000000002</v>
      </c>
      <c r="O10" s="288">
        <f>Financing!O12</f>
        <v>-367.11200000000002</v>
      </c>
      <c r="P10" s="288">
        <f>Financing!P12</f>
        <v>-367.11200000000002</v>
      </c>
      <c r="Q10" s="288">
        <f>Financing!Q12</f>
        <v>-367.11200000000002</v>
      </c>
    </row>
    <row r="11" spans="2:17" x14ac:dyDescent="0.2">
      <c r="B11" s="23" t="s">
        <v>37</v>
      </c>
      <c r="C11" s="314">
        <f t="shared" ref="C11:Q11" si="3">SUM(C9:C10)</f>
        <v>6343</v>
      </c>
      <c r="D11" s="314">
        <f t="shared" si="3"/>
        <v>13719</v>
      </c>
      <c r="E11" s="314">
        <f t="shared" si="3"/>
        <v>9973</v>
      </c>
      <c r="F11" s="314">
        <f t="shared" si="3"/>
        <v>8990</v>
      </c>
      <c r="G11" s="314">
        <f t="shared" si="3"/>
        <v>5278</v>
      </c>
      <c r="H11" s="292">
        <f>SUM(H9:H10)</f>
        <v>4569.816535134968</v>
      </c>
      <c r="I11" s="292">
        <f t="shared" si="3"/>
        <v>4912.1016546622859</v>
      </c>
      <c r="J11" s="292">
        <f t="shared" si="3"/>
        <v>5461.1290682289628</v>
      </c>
      <c r="K11" s="292">
        <f t="shared" si="3"/>
        <v>6008.8777907924532</v>
      </c>
      <c r="L11" s="292">
        <f t="shared" si="3"/>
        <v>6864.5939486538164</v>
      </c>
      <c r="M11" s="292">
        <f t="shared" si="3"/>
        <v>7544.3723210766993</v>
      </c>
      <c r="N11" s="292">
        <f t="shared" si="3"/>
        <v>8221.6688290183247</v>
      </c>
      <c r="O11" s="292">
        <f t="shared" si="3"/>
        <v>8896.3345606099192</v>
      </c>
      <c r="P11" s="292">
        <f t="shared" si="3"/>
        <v>9568.2116692703949</v>
      </c>
      <c r="Q11" s="292">
        <f t="shared" si="3"/>
        <v>10237.132837623891</v>
      </c>
    </row>
    <row r="12" spans="2:17" x14ac:dyDescent="0.2">
      <c r="B12" s="17" t="s">
        <v>81</v>
      </c>
      <c r="C12" s="310">
        <f>'P&amp;L Input'!C20</f>
        <v>-699</v>
      </c>
      <c r="D12" s="310">
        <f>'P&amp;L Input'!D20</f>
        <v>-1132</v>
      </c>
      <c r="E12" s="310">
        <f>'P&amp;L Input'!E20</f>
        <v>5001</v>
      </c>
      <c r="F12" s="310">
        <f>'P&amp;L Input'!F20</f>
        <v>-1837</v>
      </c>
      <c r="G12" s="310">
        <f>'P&amp;L Input'!G20</f>
        <v>-1423</v>
      </c>
      <c r="H12" s="315">
        <f>IF(H11&gt;0,-H11*Drivers!$C$12,0)</f>
        <v>-959.66147237834321</v>
      </c>
      <c r="I12" s="315">
        <f>IF(I11&gt;0,-I11*Drivers!$C$12,0)</f>
        <v>-1031.5413474790801</v>
      </c>
      <c r="J12" s="315">
        <f>IF(J11&gt;0,-J11*Drivers!$C$12,0)</f>
        <v>-1146.8371043280822</v>
      </c>
      <c r="K12" s="315">
        <f>IF(K11&gt;0,-K11*Drivers!$C$12,0)</f>
        <v>-1261.864336066415</v>
      </c>
      <c r="L12" s="315">
        <f>IF(L11&gt;0,-L11*Drivers!$C$12,0)</f>
        <v>-1441.5647292173014</v>
      </c>
      <c r="M12" s="315">
        <f>IF(M11&gt;0,-M11*Drivers!$C$12,0)</f>
        <v>-1584.3181874261068</v>
      </c>
      <c r="N12" s="315">
        <f>IF(N11&gt;0,-N11*Drivers!$C$12,0)</f>
        <v>-1726.5504540938482</v>
      </c>
      <c r="O12" s="315">
        <f>IF(O11&gt;0,-O11*Drivers!$C$12,0)</f>
        <v>-1868.230257728083</v>
      </c>
      <c r="P12" s="315">
        <f>IF(P11&gt;0,-P11*Drivers!$C$12,0)</f>
        <v>-2009.3244505467828</v>
      </c>
      <c r="Q12" s="315">
        <f>IF(Q11&gt;0,-Q11*Drivers!$C$12,0)</f>
        <v>-2149.797895901017</v>
      </c>
    </row>
    <row r="13" spans="2:17" x14ac:dyDescent="0.2">
      <c r="B13" s="17" t="s">
        <v>197</v>
      </c>
      <c r="C13" s="310">
        <f>'P&amp;L Input'!C22</f>
        <v>-125</v>
      </c>
      <c r="D13" s="310">
        <f>'P&amp;L Input'!D22</f>
        <v>-31</v>
      </c>
      <c r="E13" s="310">
        <f>'P&amp;L Input'!E22</f>
        <v>23</v>
      </c>
      <c r="F13" s="310">
        <f>'P&amp;L Input'!F22</f>
        <v>-62</v>
      </c>
      <c r="G13" s="310">
        <f>'P&amp;L Input'!G22</f>
        <v>-61</v>
      </c>
      <c r="H13" s="315">
        <v>0</v>
      </c>
      <c r="I13" s="315">
        <v>0</v>
      </c>
      <c r="J13" s="315">
        <v>0</v>
      </c>
      <c r="K13" s="315">
        <v>0</v>
      </c>
      <c r="L13" s="315">
        <v>0</v>
      </c>
      <c r="M13" s="315">
        <v>0</v>
      </c>
      <c r="N13" s="315">
        <v>0</v>
      </c>
      <c r="O13" s="315">
        <v>0</v>
      </c>
      <c r="P13" s="315">
        <v>0</v>
      </c>
      <c r="Q13" s="315">
        <v>0</v>
      </c>
    </row>
    <row r="14" spans="2:17" ht="13.5" thickBot="1" x14ac:dyDescent="0.25">
      <c r="B14" s="65" t="s">
        <v>82</v>
      </c>
      <c r="C14" s="265">
        <f>SUM(C11:C13)</f>
        <v>5519</v>
      </c>
      <c r="D14" s="265">
        <f t="shared" ref="D14:Q14" si="4">SUM(D11:D13)</f>
        <v>12556</v>
      </c>
      <c r="E14" s="265">
        <f t="shared" si="4"/>
        <v>14997</v>
      </c>
      <c r="F14" s="265">
        <f t="shared" si="4"/>
        <v>7091</v>
      </c>
      <c r="G14" s="265">
        <f t="shared" si="4"/>
        <v>3794</v>
      </c>
      <c r="H14" s="265">
        <f t="shared" si="4"/>
        <v>3610.1550627566248</v>
      </c>
      <c r="I14" s="265">
        <f t="shared" si="4"/>
        <v>3880.5603071832056</v>
      </c>
      <c r="J14" s="265">
        <f t="shared" si="4"/>
        <v>4314.2919639008805</v>
      </c>
      <c r="K14" s="265">
        <f t="shared" si="4"/>
        <v>4747.0134547260386</v>
      </c>
      <c r="L14" s="265">
        <f t="shared" si="4"/>
        <v>5423.0292194365147</v>
      </c>
      <c r="M14" s="265">
        <f t="shared" si="4"/>
        <v>5960.0541336505921</v>
      </c>
      <c r="N14" s="265">
        <f t="shared" si="4"/>
        <v>6495.1183749244765</v>
      </c>
      <c r="O14" s="265">
        <f t="shared" si="4"/>
        <v>7028.1043028818367</v>
      </c>
      <c r="P14" s="265">
        <f t="shared" si="4"/>
        <v>7558.887218723612</v>
      </c>
      <c r="Q14" s="265">
        <f t="shared" si="4"/>
        <v>8087.3349417228737</v>
      </c>
    </row>
    <row r="15" spans="2:17" x14ac:dyDescent="0.2">
      <c r="C15" s="24"/>
    </row>
    <row r="16" spans="2:17" x14ac:dyDescent="0.2">
      <c r="B16" s="80" t="s">
        <v>96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</row>
    <row r="17" spans="2:17" x14ac:dyDescent="0.2">
      <c r="B17" s="79" t="s">
        <v>196</v>
      </c>
      <c r="C17" s="316">
        <f>'P&amp;L Input'!C23</f>
        <v>5519</v>
      </c>
      <c r="D17" s="316">
        <f>'P&amp;L Input'!D23</f>
        <v>12556</v>
      </c>
      <c r="E17" s="316">
        <f>'P&amp;L Input'!E23</f>
        <v>14997</v>
      </c>
      <c r="F17" s="316">
        <f>'P&amp;L Input'!F23</f>
        <v>7091</v>
      </c>
      <c r="G17" s="316">
        <f>'P&amp;L Input'!G23</f>
        <v>3794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</row>
    <row r="18" spans="2:17" x14ac:dyDescent="0.2">
      <c r="B18" s="79" t="s">
        <v>62</v>
      </c>
      <c r="C18" s="316">
        <f>C14-C17</f>
        <v>0</v>
      </c>
      <c r="D18" s="316">
        <f>D14-D17</f>
        <v>0</v>
      </c>
      <c r="E18" s="316">
        <f>E14-E17</f>
        <v>0</v>
      </c>
      <c r="F18" s="316">
        <f>F14-F17</f>
        <v>0</v>
      </c>
      <c r="G18" s="316">
        <f>G14-G17</f>
        <v>0</v>
      </c>
      <c r="H18" s="79"/>
      <c r="I18" s="79"/>
      <c r="J18" s="79"/>
      <c r="K18" s="79"/>
      <c r="L18" s="79"/>
      <c r="M18" s="79"/>
      <c r="N18" s="79"/>
      <c r="O18" s="79"/>
      <c r="P18" s="79"/>
      <c r="Q18" s="79"/>
    </row>
    <row r="20" spans="2:17" x14ac:dyDescent="0.2">
      <c r="B20" s="210" t="s">
        <v>362</v>
      </c>
      <c r="D20" s="317">
        <f>(D5-C5)/C5</f>
        <v>0.51351652639206291</v>
      </c>
      <c r="E20" s="317">
        <f t="shared" ref="E20:Q20" si="5">(E5-D5)/D5</f>
        <v>0.18795266504627925</v>
      </c>
      <c r="F20" s="317">
        <f t="shared" si="5"/>
        <v>9.4757835346635944E-3</v>
      </c>
      <c r="G20" s="317">
        <f t="shared" si="5"/>
        <v>-2.9306991503736307E-2</v>
      </c>
      <c r="H20" s="317">
        <f t="shared" si="5"/>
        <v>0.31865679078743381</v>
      </c>
      <c r="I20" s="317">
        <f t="shared" si="5"/>
        <v>0.12741786903585978</v>
      </c>
      <c r="J20" s="317">
        <f t="shared" si="5"/>
        <v>0.15054705952415198</v>
      </c>
      <c r="K20" s="317">
        <f t="shared" si="5"/>
        <v>0.13350969769351029</v>
      </c>
      <c r="L20" s="317">
        <f t="shared" si="5"/>
        <v>0.1426060030906629</v>
      </c>
      <c r="M20" s="317">
        <f t="shared" si="5"/>
        <v>0.11356554641274819</v>
      </c>
      <c r="N20" s="317">
        <f t="shared" si="5"/>
        <v>0.10260814250451178</v>
      </c>
      <c r="O20" s="317">
        <f t="shared" si="5"/>
        <v>9.3659783878557945E-2</v>
      </c>
      <c r="P20" s="317">
        <f t="shared" si="5"/>
        <v>8.6220692524723405E-2</v>
      </c>
      <c r="Q20" s="317">
        <f t="shared" si="5"/>
        <v>7.9944553668715362E-2</v>
      </c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S48"/>
  <sheetViews>
    <sheetView zoomScale="115" zoomScaleNormal="115" workbookViewId="0">
      <selection activeCell="C3" sqref="C3:Q3"/>
    </sheetView>
  </sheetViews>
  <sheetFormatPr defaultColWidth="9.140625" defaultRowHeight="12.75" x14ac:dyDescent="0.2"/>
  <cols>
    <col min="1" max="1" width="2" style="1" customWidth="1"/>
    <col min="2" max="2" width="25.5703125" style="1" customWidth="1"/>
    <col min="3" max="4" width="10" style="1" bestFit="1" customWidth="1"/>
    <col min="5" max="17" width="11.42578125" style="1" bestFit="1" customWidth="1"/>
    <col min="18" max="18" width="1.140625" style="1" customWidth="1"/>
    <col min="19" max="19" width="11.85546875" style="1" customWidth="1"/>
    <col min="20" max="16384" width="9.140625" style="1"/>
  </cols>
  <sheetData>
    <row r="1" spans="2:19" ht="15.75" x14ac:dyDescent="0.25">
      <c r="B1" s="15" t="s">
        <v>193</v>
      </c>
    </row>
    <row r="2" spans="2:19" ht="15.75" x14ac:dyDescent="0.25">
      <c r="B2" s="15"/>
    </row>
    <row r="3" spans="2:19" x14ac:dyDescent="0.2">
      <c r="C3" s="368" t="s">
        <v>363</v>
      </c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</row>
    <row r="4" spans="2:19" s="7" customFormat="1" ht="24" x14ac:dyDescent="0.2">
      <c r="B4" s="352" t="s">
        <v>349</v>
      </c>
      <c r="C4" s="6" t="s">
        <v>241</v>
      </c>
      <c r="D4" s="6" t="s">
        <v>242</v>
      </c>
      <c r="E4" s="6" t="s">
        <v>243</v>
      </c>
      <c r="F4" s="6" t="s">
        <v>244</v>
      </c>
      <c r="G4" s="6" t="s">
        <v>245</v>
      </c>
      <c r="H4" s="57" t="s">
        <v>198</v>
      </c>
      <c r="I4" s="57" t="s">
        <v>199</v>
      </c>
      <c r="J4" s="57" t="s">
        <v>200</v>
      </c>
      <c r="K4" s="57" t="s">
        <v>221</v>
      </c>
      <c r="L4" s="57" t="s">
        <v>258</v>
      </c>
      <c r="M4" s="57" t="s">
        <v>257</v>
      </c>
      <c r="N4" s="57" t="s">
        <v>256</v>
      </c>
      <c r="O4" s="57" t="s">
        <v>255</v>
      </c>
      <c r="P4" s="57" t="s">
        <v>254</v>
      </c>
      <c r="Q4" s="57" t="s">
        <v>253</v>
      </c>
      <c r="S4" s="27" t="s">
        <v>99</v>
      </c>
    </row>
    <row r="5" spans="2:19" s="7" customFormat="1" ht="12" x14ac:dyDescent="0.2">
      <c r="B5" s="7" t="s">
        <v>87</v>
      </c>
      <c r="C5" s="304">
        <f>'Balance Sheet Input'!C4</f>
        <v>17576</v>
      </c>
      <c r="D5" s="304">
        <f>('Balance Sheet Input'!D4)</f>
        <v>16253</v>
      </c>
      <c r="E5" s="304">
        <f>('Balance Sheet Input'!E4)</f>
        <v>16398</v>
      </c>
      <c r="F5" s="304">
        <f>('Balance Sheet Input'!F4)</f>
        <v>16139</v>
      </c>
      <c r="G5" s="304">
        <f>('Balance Sheet Input'!G4)</f>
        <v>16513</v>
      </c>
      <c r="H5" s="318">
        <f>G5+'Cash Flow'!H29</f>
        <v>20477.110803099084</v>
      </c>
      <c r="I5" s="318">
        <f>H5+'Cash Flow'!I29</f>
        <v>20761.485741465785</v>
      </c>
      <c r="J5" s="318">
        <f>I5+'Cash Flow'!J29</f>
        <v>22121.32177497564</v>
      </c>
      <c r="K5" s="318">
        <f>J5+'Cash Flow'!K29</f>
        <v>23740.360968579713</v>
      </c>
      <c r="L5" s="318">
        <f>K5+'Cash Flow'!L29</f>
        <v>26762.527412945736</v>
      </c>
      <c r="M5" s="318">
        <f>L5+'Cash Flow'!M29</f>
        <v>29926.610213677086</v>
      </c>
      <c r="N5" s="318">
        <f>M5+'Cash Flow'!N29</f>
        <v>33915.305079882877</v>
      </c>
      <c r="O5" s="318">
        <f>N5+'Cash Flow'!O29</f>
        <v>38998.097102703396</v>
      </c>
      <c r="P5" s="318">
        <f>O5+'Cash Flow'!P29</f>
        <v>45505.129868753203</v>
      </c>
      <c r="Q5" s="318">
        <f>P5+'Cash Flow'!Q29</f>
        <v>53834.938961150969</v>
      </c>
      <c r="S5" s="7" t="s">
        <v>102</v>
      </c>
    </row>
    <row r="6" spans="2:19" s="7" customFormat="1" ht="12" x14ac:dyDescent="0.2">
      <c r="B6" s="7" t="s">
        <v>75</v>
      </c>
      <c r="C6" s="304">
        <f>'Balance Sheet Input'!C5</f>
        <v>1913</v>
      </c>
      <c r="D6" s="304">
        <f>('Balance Sheet Input'!D5)</f>
        <v>2952</v>
      </c>
      <c r="E6" s="304">
        <f>('Balance Sheet Input'!E5)</f>
        <v>3508</v>
      </c>
      <c r="F6" s="304">
        <f>('Balance Sheet Input'!F5)</f>
        <v>4418</v>
      </c>
      <c r="G6" s="304">
        <f>('Balance Sheet Input'!G5)</f>
        <v>4576</v>
      </c>
      <c r="H6" s="319">
        <f>'Working capital'!H5</f>
        <v>5039.5578321947578</v>
      </c>
      <c r="I6" s="319">
        <f>'Working capital'!I5</f>
        <v>5681.6875520559906</v>
      </c>
      <c r="J6" s="319">
        <f>'Working capital'!J5</f>
        <v>6537.048906152997</v>
      </c>
      <c r="K6" s="319">
        <f>'Working capital'!K5</f>
        <v>7409.8083294211756</v>
      </c>
      <c r="L6" s="319">
        <f>'Working capital'!L5</f>
        <v>8466.4914789478316</v>
      </c>
      <c r="M6" s="319">
        <f>'Working capital'!M5</f>
        <v>9427.993209953418</v>
      </c>
      <c r="N6" s="319">
        <f>'Working capital'!N5</f>
        <v>10395.382080771888</v>
      </c>
      <c r="O6" s="319">
        <f>'Working capital'!O5</f>
        <v>11369.011319792016</v>
      </c>
      <c r="P6" s="319">
        <f>'Working capital'!P5</f>
        <v>12349.255349105904</v>
      </c>
      <c r="Q6" s="319">
        <f>'Working capital'!Q5</f>
        <v>13336.51105613117</v>
      </c>
      <c r="S6" s="7" t="s">
        <v>101</v>
      </c>
    </row>
    <row r="7" spans="2:19" s="7" customFormat="1" ht="12" x14ac:dyDescent="0.2">
      <c r="B7" s="7" t="s">
        <v>9</v>
      </c>
      <c r="C7" s="304">
        <f>'Balance Sheet Input'!C6</f>
        <v>5757</v>
      </c>
      <c r="D7" s="304">
        <f>('Balance Sheet Input'!D6)</f>
        <v>12839</v>
      </c>
      <c r="E7" s="304">
        <f>('Balance Sheet Input'!E6)</f>
        <v>13626</v>
      </c>
      <c r="F7" s="304">
        <f>('Balance Sheet Input'!F6)</f>
        <v>12017</v>
      </c>
      <c r="G7" s="304">
        <f>('Balance Sheet Input'!G6)</f>
        <v>12392</v>
      </c>
      <c r="H7" s="319">
        <f>'Working capital'!H6</f>
        <v>17360.777475551986</v>
      </c>
      <c r="I7" s="319">
        <f>'Working capital'!I6</f>
        <v>19620.821090881047</v>
      </c>
      <c r="J7" s="319">
        <f>'Working capital'!J6</f>
        <v>22615.785699475797</v>
      </c>
      <c r="K7" s="319">
        <f>'Working capital'!K6</f>
        <v>25673.749901727115</v>
      </c>
      <c r="L7" s="319">
        <f>'Working capital'!L6</f>
        <v>29343.936607910618</v>
      </c>
      <c r="M7" s="319">
        <f>'Working capital'!M6</f>
        <v>32700.065878497619</v>
      </c>
      <c r="N7" s="319">
        <f>'Working capital'!N6</f>
        <v>36077.855669393088</v>
      </c>
      <c r="O7" s="319">
        <f>'Working capital'!O6</f>
        <v>39478.605611815554</v>
      </c>
      <c r="P7" s="319">
        <f>'Working capital'!P6</f>
        <v>42903.693314856624</v>
      </c>
      <c r="Q7" s="319">
        <f>'Working capital'!Q6</f>
        <v>46354.579044153419</v>
      </c>
      <c r="S7" s="7" t="s">
        <v>101</v>
      </c>
    </row>
    <row r="8" spans="2:19" s="7" customFormat="1" ht="12" x14ac:dyDescent="0.2">
      <c r="B8" s="7" t="s">
        <v>246</v>
      </c>
      <c r="C8" s="304">
        <f>'Balance Sheet Input'!C8</f>
        <v>131</v>
      </c>
      <c r="D8" s="304">
        <f>'Balance Sheet Input'!D8</f>
        <v>5932</v>
      </c>
      <c r="E8" s="304">
        <f>'Balance Sheet Input'!E8</f>
        <v>12696</v>
      </c>
      <c r="F8" s="304">
        <f>'Balance Sheet Input'!F8</f>
        <v>20424</v>
      </c>
      <c r="G8" s="304">
        <f>'Balance Sheet Input'!G8</f>
        <v>27546</v>
      </c>
      <c r="H8" s="319">
        <f>G8</f>
        <v>27546</v>
      </c>
      <c r="I8" s="319">
        <f t="shared" ref="I8:Q8" si="0">H8</f>
        <v>27546</v>
      </c>
      <c r="J8" s="319">
        <f t="shared" si="0"/>
        <v>27546</v>
      </c>
      <c r="K8" s="319">
        <f t="shared" si="0"/>
        <v>27546</v>
      </c>
      <c r="L8" s="319">
        <f t="shared" si="0"/>
        <v>27546</v>
      </c>
      <c r="M8" s="319">
        <f t="shared" si="0"/>
        <v>27546</v>
      </c>
      <c r="N8" s="319">
        <f t="shared" si="0"/>
        <v>27546</v>
      </c>
      <c r="O8" s="319">
        <f t="shared" si="0"/>
        <v>27546</v>
      </c>
      <c r="P8" s="319">
        <f t="shared" si="0"/>
        <v>27546</v>
      </c>
      <c r="Q8" s="319">
        <f t="shared" si="0"/>
        <v>27546</v>
      </c>
      <c r="S8" s="7" t="s">
        <v>98</v>
      </c>
    </row>
    <row r="9" spans="2:19" s="7" customFormat="1" ht="12" x14ac:dyDescent="0.2">
      <c r="C9" s="304"/>
      <c r="D9" s="304"/>
      <c r="E9" s="304"/>
      <c r="F9" s="304"/>
      <c r="G9" s="304"/>
      <c r="H9" s="288"/>
      <c r="I9" s="288"/>
      <c r="J9" s="288"/>
      <c r="K9" s="288"/>
      <c r="L9" s="288"/>
      <c r="M9" s="288"/>
      <c r="N9" s="288"/>
      <c r="O9" s="288"/>
      <c r="P9" s="288"/>
      <c r="Q9" s="288"/>
    </row>
    <row r="10" spans="2:19" s="7" customFormat="1" ht="12" x14ac:dyDescent="0.2">
      <c r="B10" s="7" t="s">
        <v>88</v>
      </c>
      <c r="C10" s="304">
        <f>'Balance Sheet Input'!C7</f>
        <v>1723</v>
      </c>
      <c r="D10" s="304">
        <f>('Balance Sheet Input'!D7)</f>
        <v>2941</v>
      </c>
      <c r="E10" s="304">
        <f>('Balance Sheet Input'!E7)</f>
        <v>3388</v>
      </c>
      <c r="F10" s="304">
        <f>('Balance Sheet Input'!F7)</f>
        <v>5362</v>
      </c>
      <c r="G10" s="304">
        <f>('Balance Sheet Input'!G7)</f>
        <v>7615</v>
      </c>
      <c r="H10" s="288">
        <f>H11*('P&amp;L'!H$5)</f>
        <v>8452.4950273455106</v>
      </c>
      <c r="I10" s="288">
        <f>I11*('P&amp;L'!I$5)</f>
        <v>9529.4939317660755</v>
      </c>
      <c r="J10" s="288">
        <f>J11*('P&amp;L'!J$5)</f>
        <v>10964.131221946709</v>
      </c>
      <c r="K10" s="288">
        <f>K11*('P&amp;L'!K$5)</f>
        <v>12427.94906686079</v>
      </c>
      <c r="L10" s="288">
        <f>L11*('P&amp;L'!L$5)</f>
        <v>14200.249209900143</v>
      </c>
      <c r="M10" s="288">
        <f>M11*('P&amp;L'!M$5)</f>
        <v>15812.908270619648</v>
      </c>
      <c r="N10" s="288">
        <f>N11*('P&amp;L'!N$5)</f>
        <v>17435.441415862162</v>
      </c>
      <c r="O10" s="288">
        <f>O11*('P&amp;L'!O$5)</f>
        <v>19068.441090699071</v>
      </c>
      <c r="P10" s="288">
        <f>P11*('P&amp;L'!P$5)</f>
        <v>20712.535286906037</v>
      </c>
      <c r="Q10" s="288">
        <f>Q11*('P&amp;L'!Q$5)</f>
        <v>22368.389675765255</v>
      </c>
      <c r="S10" s="7" t="s">
        <v>103</v>
      </c>
    </row>
    <row r="11" spans="2:19" s="7" customFormat="1" ht="12" x14ac:dyDescent="0.2">
      <c r="B11" s="84" t="s">
        <v>97</v>
      </c>
      <c r="C11" s="323">
        <f>C10/('P&amp;L'!C$5)</f>
        <v>3.2012336733366779E-2</v>
      </c>
      <c r="D11" s="323">
        <f>D10/('P&amp;L'!D$5)</f>
        <v>3.6102722741891927E-2</v>
      </c>
      <c r="E11" s="323">
        <f>E10/('P&amp;L'!E$5)</f>
        <v>3.5009765120436485E-2</v>
      </c>
      <c r="F11" s="323">
        <f>F10/('P&amp;L'!F$5)</f>
        <v>5.4887910738048933E-2</v>
      </c>
      <c r="G11" s="323">
        <f>G10/('P&amp;L'!G$5)</f>
        <v>8.030413278918451E-2</v>
      </c>
      <c r="H11" s="324">
        <f>AVERAGE($F$11:$G$11)</f>
        <v>6.7596021763616718E-2</v>
      </c>
      <c r="I11" s="324">
        <f t="shared" ref="I11:Q11" si="1">AVERAGE($F$11:$G$11)</f>
        <v>6.7596021763616718E-2</v>
      </c>
      <c r="J11" s="324">
        <f t="shared" si="1"/>
        <v>6.7596021763616718E-2</v>
      </c>
      <c r="K11" s="324">
        <f t="shared" si="1"/>
        <v>6.7596021763616718E-2</v>
      </c>
      <c r="L11" s="324">
        <f t="shared" si="1"/>
        <v>6.7596021763616718E-2</v>
      </c>
      <c r="M11" s="324">
        <f t="shared" si="1"/>
        <v>6.7596021763616718E-2</v>
      </c>
      <c r="N11" s="324">
        <f t="shared" si="1"/>
        <v>6.7596021763616718E-2</v>
      </c>
      <c r="O11" s="324">
        <f t="shared" si="1"/>
        <v>6.7596021763616718E-2</v>
      </c>
      <c r="P11" s="324">
        <f t="shared" si="1"/>
        <v>6.7596021763616718E-2</v>
      </c>
      <c r="Q11" s="324">
        <f t="shared" si="1"/>
        <v>6.7596021763616718E-2</v>
      </c>
    </row>
    <row r="12" spans="2:19" s="7" customFormat="1" ht="12" x14ac:dyDescent="0.2">
      <c r="B12" s="84"/>
      <c r="C12" s="85"/>
      <c r="D12" s="85"/>
      <c r="E12" s="85"/>
      <c r="F12" s="85"/>
      <c r="G12" s="85"/>
      <c r="H12" s="86"/>
      <c r="I12" s="86"/>
      <c r="J12" s="86"/>
      <c r="K12" s="86"/>
      <c r="L12" s="86"/>
      <c r="M12" s="86"/>
      <c r="N12" s="86"/>
      <c r="O12" s="86"/>
      <c r="P12" s="86"/>
      <c r="Q12" s="86"/>
    </row>
    <row r="13" spans="2:19" s="7" customFormat="1" ht="12" x14ac:dyDescent="0.2">
      <c r="B13" s="7" t="s">
        <v>89</v>
      </c>
      <c r="C13" s="304">
        <f>('Balance Sheet Input'!C11)+'Balance Sheet Input'!C14</f>
        <v>6527</v>
      </c>
      <c r="D13" s="304">
        <f>('Balance Sheet Input'!D11)+'Balance Sheet Input'!D14</f>
        <v>7598</v>
      </c>
      <c r="E13" s="304">
        <f>('Balance Sheet Input'!E11)+'Balance Sheet Input'!E14</f>
        <v>10169</v>
      </c>
      <c r="F13" s="304">
        <f>('Balance Sheet Input'!F11)+'Balance Sheet Input'!F14</f>
        <v>10741</v>
      </c>
      <c r="G13" s="304">
        <f>('Balance Sheet Input'!G11)+'Balance Sheet Input'!G14</f>
        <v>10939</v>
      </c>
      <c r="H13" s="319">
        <f>G13</f>
        <v>10939</v>
      </c>
      <c r="I13" s="319">
        <f t="shared" ref="I13:Q13" si="2">H13</f>
        <v>10939</v>
      </c>
      <c r="J13" s="319">
        <f t="shared" si="2"/>
        <v>10939</v>
      </c>
      <c r="K13" s="319">
        <f t="shared" si="2"/>
        <v>10939</v>
      </c>
      <c r="L13" s="319">
        <f t="shared" si="2"/>
        <v>10939</v>
      </c>
      <c r="M13" s="319">
        <f t="shared" si="2"/>
        <v>10939</v>
      </c>
      <c r="N13" s="319">
        <f t="shared" si="2"/>
        <v>10939</v>
      </c>
      <c r="O13" s="319">
        <f t="shared" si="2"/>
        <v>10939</v>
      </c>
      <c r="P13" s="319">
        <f t="shared" si="2"/>
        <v>10939</v>
      </c>
      <c r="Q13" s="319">
        <f t="shared" si="2"/>
        <v>10939</v>
      </c>
      <c r="S13" s="7" t="s">
        <v>98</v>
      </c>
    </row>
    <row r="14" spans="2:19" s="7" customFormat="1" ht="12" x14ac:dyDescent="0.2">
      <c r="B14" s="7" t="s">
        <v>90</v>
      </c>
      <c r="C14" s="304">
        <f>('Balance Sheet Input'!C12)</f>
        <v>5765</v>
      </c>
      <c r="D14" s="304">
        <f>('Balance Sheet Input'!D12)</f>
        <v>5489</v>
      </c>
      <c r="E14" s="304">
        <f>('Balance Sheet Input'!E12)</f>
        <v>5229</v>
      </c>
      <c r="F14" s="304">
        <f>('Balance Sheet Input'!F12)</f>
        <v>4924</v>
      </c>
      <c r="G14" s="304">
        <f>('Balance Sheet Input'!G12)</f>
        <v>4604</v>
      </c>
      <c r="H14" s="319">
        <f>G14</f>
        <v>4604</v>
      </c>
      <c r="I14" s="319">
        <f t="shared" ref="I14:Q14" si="3">H14</f>
        <v>4604</v>
      </c>
      <c r="J14" s="319">
        <f t="shared" si="3"/>
        <v>4604</v>
      </c>
      <c r="K14" s="319">
        <f t="shared" si="3"/>
        <v>4604</v>
      </c>
      <c r="L14" s="319">
        <f t="shared" si="3"/>
        <v>4604</v>
      </c>
      <c r="M14" s="319">
        <f t="shared" si="3"/>
        <v>4604</v>
      </c>
      <c r="N14" s="319">
        <f t="shared" si="3"/>
        <v>4604</v>
      </c>
      <c r="O14" s="319">
        <f t="shared" si="3"/>
        <v>4604</v>
      </c>
      <c r="P14" s="319">
        <f t="shared" si="3"/>
        <v>4604</v>
      </c>
      <c r="Q14" s="319">
        <f t="shared" si="3"/>
        <v>4604</v>
      </c>
      <c r="S14" s="7" t="s">
        <v>98</v>
      </c>
    </row>
    <row r="15" spans="2:19" s="7" customFormat="1" ht="12" x14ac:dyDescent="0.2">
      <c r="B15" s="7" t="s">
        <v>91</v>
      </c>
      <c r="C15" s="304">
        <f>('Balance Sheet Input'!C13)</f>
        <v>18884</v>
      </c>
      <c r="D15" s="304">
        <f>('Balance Sheet Input'!D13)</f>
        <v>23548</v>
      </c>
      <c r="E15" s="304">
        <f>('Balance Sheet Input'!E13)</f>
        <v>29725</v>
      </c>
      <c r="F15" s="304">
        <f>('Balance Sheet Input'!F13)</f>
        <v>35836</v>
      </c>
      <c r="G15" s="304">
        <f>('Balance Sheet Input'!G13)</f>
        <v>40643</v>
      </c>
      <c r="H15" s="288">
        <f>'PP&amp;E'!H10</f>
        <v>46820.736000000004</v>
      </c>
      <c r="I15" s="288">
        <f>'PP&amp;E'!I10</f>
        <v>53417.257472000005</v>
      </c>
      <c r="J15" s="288">
        <f>'PP&amp;E'!J10</f>
        <v>60365.121746944009</v>
      </c>
      <c r="K15" s="288">
        <f>'PP&amp;E'!K10</f>
        <v>67568.164609957894</v>
      </c>
      <c r="L15" s="288">
        <f>'PP&amp;E'!L10</f>
        <v>74896.150865536853</v>
      </c>
      <c r="M15" s="288">
        <f>'PP&amp;E'!M10</f>
        <v>82178.881048442883</v>
      </c>
      <c r="N15" s="288">
        <f>'PP&amp;E'!N10</f>
        <v>89199.767013206205</v>
      </c>
      <c r="O15" s="288">
        <f>'PP&amp;E'!O10</f>
        <v>95688.907571733478</v>
      </c>
      <c r="P15" s="288">
        <f>'PP&amp;E'!P10</f>
        <v>101315.71807463985</v>
      </c>
      <c r="Q15" s="288">
        <f>'PP&amp;E'!Q10</f>
        <v>105681.19541227011</v>
      </c>
      <c r="S15" s="7" t="s">
        <v>100</v>
      </c>
    </row>
    <row r="16" spans="2:19" s="7" customFormat="1" ht="12" x14ac:dyDescent="0.2">
      <c r="B16" s="7" t="s">
        <v>93</v>
      </c>
      <c r="C16" s="304">
        <f>('Balance Sheet Input'!C15)</f>
        <v>257</v>
      </c>
      <c r="D16" s="304">
        <f>('Balance Sheet Input'!D15)</f>
        <v>215</v>
      </c>
      <c r="E16" s="304">
        <f>('Balance Sheet Input'!E15)</f>
        <v>178</v>
      </c>
      <c r="F16" s="304">
        <f>('Balance Sheet Input'!F15)</f>
        <v>1076</v>
      </c>
      <c r="G16" s="304">
        <f>('Balance Sheet Input'!G15)</f>
        <v>1008</v>
      </c>
      <c r="H16" s="319">
        <f>G16</f>
        <v>1008</v>
      </c>
      <c r="I16" s="319">
        <f t="shared" ref="I16:Q16" si="4">H16</f>
        <v>1008</v>
      </c>
      <c r="J16" s="319">
        <f t="shared" si="4"/>
        <v>1008</v>
      </c>
      <c r="K16" s="319">
        <f t="shared" si="4"/>
        <v>1008</v>
      </c>
      <c r="L16" s="319">
        <f t="shared" si="4"/>
        <v>1008</v>
      </c>
      <c r="M16" s="319">
        <f t="shared" si="4"/>
        <v>1008</v>
      </c>
      <c r="N16" s="319">
        <f t="shared" si="4"/>
        <v>1008</v>
      </c>
      <c r="O16" s="319">
        <f t="shared" si="4"/>
        <v>1008</v>
      </c>
      <c r="P16" s="319">
        <f t="shared" si="4"/>
        <v>1008</v>
      </c>
      <c r="Q16" s="319">
        <f t="shared" si="4"/>
        <v>1008</v>
      </c>
      <c r="S16" s="7" t="s">
        <v>98</v>
      </c>
    </row>
    <row r="17" spans="2:19" s="7" customFormat="1" ht="12" x14ac:dyDescent="0.2">
      <c r="B17" s="7" t="s">
        <v>248</v>
      </c>
      <c r="C17" s="304">
        <f>'Balance Sheet Input'!C16</f>
        <v>0</v>
      </c>
      <c r="D17" s="304">
        <f>'Balance Sheet Input'!D16</f>
        <v>328</v>
      </c>
      <c r="E17" s="304">
        <f>'Balance Sheet Input'!E16</f>
        <v>6733</v>
      </c>
      <c r="F17" s="304">
        <f>'Balance Sheet Input'!F16</f>
        <v>6524</v>
      </c>
      <c r="G17" s="304">
        <f>'Balance Sheet Input'!G16</f>
        <v>6925</v>
      </c>
      <c r="H17" s="319">
        <f>G17</f>
        <v>6925</v>
      </c>
      <c r="I17" s="319">
        <f t="shared" ref="I17:Q19" si="5">H17</f>
        <v>6925</v>
      </c>
      <c r="J17" s="319">
        <f t="shared" si="5"/>
        <v>6925</v>
      </c>
      <c r="K17" s="319">
        <f t="shared" si="5"/>
        <v>6925</v>
      </c>
      <c r="L17" s="319">
        <f t="shared" si="5"/>
        <v>6925</v>
      </c>
      <c r="M17" s="319">
        <f t="shared" si="5"/>
        <v>6925</v>
      </c>
      <c r="N17" s="319">
        <f t="shared" si="5"/>
        <v>6925</v>
      </c>
      <c r="O17" s="319">
        <f t="shared" si="5"/>
        <v>6925</v>
      </c>
      <c r="P17" s="319">
        <f t="shared" si="5"/>
        <v>6925</v>
      </c>
      <c r="Q17" s="319">
        <f t="shared" si="5"/>
        <v>6925</v>
      </c>
      <c r="S17" s="7" t="s">
        <v>98</v>
      </c>
    </row>
    <row r="18" spans="2:19" s="7" customFormat="1" ht="12" x14ac:dyDescent="0.2">
      <c r="B18" s="7" t="s">
        <v>250</v>
      </c>
      <c r="C18" s="304">
        <f>'Balance Sheet Input'!C17</f>
        <v>200</v>
      </c>
      <c r="D18" s="304">
        <f>'Balance Sheet Input'!D17</f>
        <v>194</v>
      </c>
      <c r="E18" s="304">
        <f>'Balance Sheet Input'!E17</f>
        <v>253</v>
      </c>
      <c r="F18" s="304">
        <f>'Balance Sheet Input'!F17</f>
        <v>0</v>
      </c>
      <c r="G18" s="304">
        <f>'Balance Sheet Input'!G17</f>
        <v>0</v>
      </c>
      <c r="H18" s="319">
        <f t="shared" ref="H18:H19" si="6">G18</f>
        <v>0</v>
      </c>
      <c r="I18" s="319">
        <f t="shared" si="5"/>
        <v>0</v>
      </c>
      <c r="J18" s="319">
        <f t="shared" si="5"/>
        <v>0</v>
      </c>
      <c r="K18" s="319">
        <f t="shared" si="5"/>
        <v>0</v>
      </c>
      <c r="L18" s="319">
        <f t="shared" si="5"/>
        <v>0</v>
      </c>
      <c r="M18" s="319">
        <f t="shared" si="5"/>
        <v>0</v>
      </c>
      <c r="N18" s="319">
        <f t="shared" si="5"/>
        <v>0</v>
      </c>
      <c r="O18" s="319">
        <f t="shared" si="5"/>
        <v>0</v>
      </c>
      <c r="P18" s="319">
        <f t="shared" si="5"/>
        <v>0</v>
      </c>
      <c r="Q18" s="319">
        <f t="shared" si="5"/>
        <v>0</v>
      </c>
      <c r="S18" s="7" t="s">
        <v>98</v>
      </c>
    </row>
    <row r="19" spans="2:19" s="7" customFormat="1" ht="12" x14ac:dyDescent="0.2">
      <c r="B19" s="7" t="s">
        <v>251</v>
      </c>
      <c r="C19" s="304">
        <f>'Balance Sheet Input'!C18</f>
        <v>1260</v>
      </c>
      <c r="D19" s="304">
        <f>'Balance Sheet Input'!D18</f>
        <v>184</v>
      </c>
      <c r="E19" s="304">
        <f>'Balance Sheet Input'!E18</f>
        <v>184</v>
      </c>
      <c r="F19" s="304">
        <f>'Balance Sheet Input'!F18</f>
        <v>0</v>
      </c>
      <c r="G19" s="304">
        <f>'Balance Sheet Input'!G18</f>
        <v>0</v>
      </c>
      <c r="H19" s="319">
        <f t="shared" si="6"/>
        <v>0</v>
      </c>
      <c r="I19" s="319">
        <f t="shared" si="5"/>
        <v>0</v>
      </c>
      <c r="J19" s="319">
        <f t="shared" si="5"/>
        <v>0</v>
      </c>
      <c r="K19" s="319">
        <f t="shared" si="5"/>
        <v>0</v>
      </c>
      <c r="L19" s="319">
        <f t="shared" si="5"/>
        <v>0</v>
      </c>
      <c r="M19" s="319">
        <f t="shared" si="5"/>
        <v>0</v>
      </c>
      <c r="N19" s="319">
        <f t="shared" si="5"/>
        <v>0</v>
      </c>
      <c r="O19" s="319">
        <f t="shared" si="5"/>
        <v>0</v>
      </c>
      <c r="P19" s="319">
        <f t="shared" si="5"/>
        <v>0</v>
      </c>
      <c r="Q19" s="319">
        <f t="shared" si="5"/>
        <v>0</v>
      </c>
      <c r="S19" s="7" t="s">
        <v>98</v>
      </c>
    </row>
    <row r="20" spans="2:19" s="7" customFormat="1" ht="12" x14ac:dyDescent="0.2">
      <c r="B20" s="7" t="s">
        <v>17</v>
      </c>
      <c r="C20" s="304">
        <f>'Balance Sheet Input'!C19</f>
        <v>2138</v>
      </c>
      <c r="D20" s="304">
        <f>'Balance Sheet Input'!D19</f>
        <v>3865</v>
      </c>
      <c r="E20" s="304">
        <f>'Balance Sheet Input'!E19</f>
        <v>4531</v>
      </c>
      <c r="F20" s="304">
        <f>'Balance Sheet Input'!F19</f>
        <v>4609</v>
      </c>
      <c r="G20" s="304">
        <f>'Balance Sheet Input'!G19</f>
        <v>5045</v>
      </c>
      <c r="H20" s="288">
        <f>H21*('P&amp;L'!H$5)</f>
        <v>6276.0969370087168</v>
      </c>
      <c r="I20" s="288">
        <f>I21*('P&amp;L'!I$5)</f>
        <v>7075.783834584854</v>
      </c>
      <c r="J20" s="288">
        <f>J21*('P&amp;L'!J$5)</f>
        <v>8141.0222847101322</v>
      </c>
      <c r="K20" s="288">
        <f>K21*('P&amp;L'!K$5)</f>
        <v>9227.9277088579129</v>
      </c>
      <c r="L20" s="288">
        <f>L21*('P&amp;L'!L$5)</f>
        <v>10543.885596227718</v>
      </c>
      <c r="M20" s="288">
        <f>M21*('P&amp;L'!M$5)</f>
        <v>11741.307725276823</v>
      </c>
      <c r="N20" s="288">
        <f>N21*('P&amp;L'!N$5)</f>
        <v>12946.061501541353</v>
      </c>
      <c r="O20" s="288">
        <f>O21*('P&amp;L'!O$5)</f>
        <v>14158.586823854235</v>
      </c>
      <c r="P20" s="288">
        <f>P21*('P&amp;L'!P$5)</f>
        <v>15379.349984978371</v>
      </c>
      <c r="Q20" s="288">
        <f>Q21*('P&amp;L'!Q$5)</f>
        <v>16608.845255242431</v>
      </c>
      <c r="S20" s="7" t="s">
        <v>103</v>
      </c>
    </row>
    <row r="21" spans="2:19" s="7" customFormat="1" ht="12" x14ac:dyDescent="0.2">
      <c r="B21" s="84" t="s">
        <v>97</v>
      </c>
      <c r="C21" s="323">
        <f>C20/('P&amp;L'!C$5)</f>
        <v>3.9722795087601952E-2</v>
      </c>
      <c r="D21" s="323">
        <f>D20/('P&amp;L'!D$5)</f>
        <v>4.7445434681201049E-2</v>
      </c>
      <c r="E21" s="323">
        <f>E20/('P&amp;L'!E$5)</f>
        <v>4.6820910791233093E-2</v>
      </c>
      <c r="F21" s="323">
        <f>F20/('P&amp;L'!F$5)</f>
        <v>4.717985464223564E-2</v>
      </c>
      <c r="G21" s="323">
        <f>G20/('P&amp;L'!G$5)</f>
        <v>5.3202147067818235E-2</v>
      </c>
      <c r="H21" s="324">
        <f>AVERAGE($F$21:$G$21)</f>
        <v>5.0191000855026938E-2</v>
      </c>
      <c r="I21" s="324">
        <f t="shared" ref="I21:Q21" si="7">AVERAGE($F$21:$G$21)</f>
        <v>5.0191000855026938E-2</v>
      </c>
      <c r="J21" s="324">
        <f t="shared" si="7"/>
        <v>5.0191000855026938E-2</v>
      </c>
      <c r="K21" s="324">
        <f t="shared" si="7"/>
        <v>5.0191000855026938E-2</v>
      </c>
      <c r="L21" s="324">
        <f t="shared" si="7"/>
        <v>5.0191000855026938E-2</v>
      </c>
      <c r="M21" s="324">
        <f t="shared" si="7"/>
        <v>5.0191000855026938E-2</v>
      </c>
      <c r="N21" s="324">
        <f t="shared" si="7"/>
        <v>5.0191000855026938E-2</v>
      </c>
      <c r="O21" s="324">
        <f t="shared" si="7"/>
        <v>5.0191000855026938E-2</v>
      </c>
      <c r="P21" s="324">
        <f t="shared" si="7"/>
        <v>5.0191000855026938E-2</v>
      </c>
      <c r="Q21" s="324">
        <f t="shared" si="7"/>
        <v>5.0191000855026938E-2</v>
      </c>
    </row>
    <row r="22" spans="2:19" s="7" customFormat="1" thickBot="1" x14ac:dyDescent="0.25">
      <c r="B22" s="65" t="s">
        <v>18</v>
      </c>
      <c r="C22" s="265">
        <f t="shared" ref="C22:H22" si="8">C5+C6+C7+C10+C13+C15+C20+C14+C16+C17+C18+C19+C8</f>
        <v>62131</v>
      </c>
      <c r="D22" s="265">
        <f t="shared" si="8"/>
        <v>82338</v>
      </c>
      <c r="E22" s="265">
        <f t="shared" si="8"/>
        <v>106618</v>
      </c>
      <c r="F22" s="265">
        <f t="shared" si="8"/>
        <v>122070</v>
      </c>
      <c r="G22" s="265">
        <f t="shared" si="8"/>
        <v>137806</v>
      </c>
      <c r="H22" s="265">
        <f t="shared" si="8"/>
        <v>155448.77407520005</v>
      </c>
      <c r="I22" s="265">
        <f t="shared" ref="I22:Q22" si="9">I5+I6+I7+I10+I13+I15+I20+I14+I16+I17+I18+I19+I8</f>
        <v>167108.52962275373</v>
      </c>
      <c r="J22" s="265">
        <f t="shared" si="9"/>
        <v>181766.43163420528</v>
      </c>
      <c r="K22" s="265">
        <f t="shared" si="9"/>
        <v>197069.96058540459</v>
      </c>
      <c r="L22" s="265">
        <f t="shared" si="9"/>
        <v>215235.24117146889</v>
      </c>
      <c r="M22" s="265">
        <f t="shared" si="9"/>
        <v>232809.76634646748</v>
      </c>
      <c r="N22" s="265">
        <f t="shared" si="9"/>
        <v>250991.81276065757</v>
      </c>
      <c r="O22" s="265">
        <f t="shared" si="9"/>
        <v>269783.64952059777</v>
      </c>
      <c r="P22" s="265">
        <f t="shared" si="9"/>
        <v>289187.68187923997</v>
      </c>
      <c r="Q22" s="265">
        <f t="shared" si="9"/>
        <v>309206.45940471336</v>
      </c>
    </row>
    <row r="23" spans="2:19" s="7" customFormat="1" ht="12" x14ac:dyDescent="0.2">
      <c r="C23" s="267"/>
      <c r="D23" s="267"/>
      <c r="E23" s="267"/>
      <c r="F23" s="267"/>
      <c r="G23" s="267"/>
      <c r="H23" s="267"/>
      <c r="I23" s="267"/>
      <c r="J23" s="267"/>
      <c r="K23" s="267"/>
      <c r="L23" s="267"/>
      <c r="M23" s="267"/>
      <c r="N23" s="267"/>
      <c r="O23" s="267"/>
      <c r="P23" s="267"/>
      <c r="Q23" s="267"/>
    </row>
    <row r="24" spans="2:19" s="7" customFormat="1" ht="12" x14ac:dyDescent="0.2">
      <c r="B24" s="7" t="s">
        <v>19</v>
      </c>
      <c r="C24" s="304">
        <f>'Balance Sheet Input'!C22</f>
        <v>10025</v>
      </c>
      <c r="D24" s="304">
        <f>'Balance Sheet Input'!D22</f>
        <v>15255</v>
      </c>
      <c r="E24" s="304">
        <f>'Balance Sheet Input'!E22</f>
        <v>14431</v>
      </c>
      <c r="F24" s="304">
        <f>'Balance Sheet Input'!F22</f>
        <v>12474</v>
      </c>
      <c r="G24" s="304">
        <f>'Balance Sheet Input'!G22</f>
        <v>13371</v>
      </c>
      <c r="H24" s="288">
        <f>'Working capital'!H7</f>
        <v>20981.800894538035</v>
      </c>
      <c r="I24" s="288">
        <f>'Working capital'!I7</f>
        <v>23713.233010212829</v>
      </c>
      <c r="J24" s="288">
        <f>'Working capital'!J7</f>
        <v>27332.8722338718</v>
      </c>
      <c r="K24" s="288">
        <f>'Working capital'!K7</f>
        <v>31028.651188738113</v>
      </c>
      <c r="L24" s="288">
        <f>'Working capital'!L7</f>
        <v>35464.346930093394</v>
      </c>
      <c r="M24" s="288">
        <f>'Working capital'!M7</f>
        <v>39520.480719663123</v>
      </c>
      <c r="N24" s="288">
        <f>'Working capital'!N7</f>
        <v>43602.792871637685</v>
      </c>
      <c r="O24" s="288">
        <f>'Working capital'!O7</f>
        <v>47712.854087761356</v>
      </c>
      <c r="P24" s="288">
        <f>'Working capital'!P7</f>
        <v>51852.329311883121</v>
      </c>
      <c r="Q24" s="288">
        <f>'Working capital'!Q7</f>
        <v>56022.98338448281</v>
      </c>
      <c r="S24" s="7" t="s">
        <v>101</v>
      </c>
    </row>
    <row r="25" spans="2:19" s="7" customFormat="1" ht="12" x14ac:dyDescent="0.2">
      <c r="B25" s="7" t="s">
        <v>32</v>
      </c>
      <c r="C25" s="304">
        <f>'Balance Sheet Input'!C23</f>
        <v>5719</v>
      </c>
      <c r="D25" s="304">
        <f>'Balance Sheet Input'!D23</f>
        <v>8205</v>
      </c>
      <c r="E25" s="304">
        <f>'Balance Sheet Input'!E23</f>
        <v>9080</v>
      </c>
      <c r="F25" s="304">
        <f>'Balance Sheet Input'!F23</f>
        <v>10723</v>
      </c>
      <c r="G25" s="304">
        <f>'Balance Sheet Input'!G23</f>
        <v>13279</v>
      </c>
      <c r="H25" s="288">
        <f>H26*('P&amp;L'!H$5)</f>
        <v>15618.000349814167</v>
      </c>
      <c r="I25" s="288">
        <f>I26*('P&amp;L'!I$5)</f>
        <v>17608.0126729888</v>
      </c>
      <c r="J25" s="288">
        <f>J26*('P&amp;L'!J$5)</f>
        <v>20258.847204971269</v>
      </c>
      <c r="K25" s="288">
        <f>K26*('P&amp;L'!K$5)</f>
        <v>22963.599770925997</v>
      </c>
      <c r="L25" s="288">
        <f>L26*('P&amp;L'!L$5)</f>
        <v>26238.346950831416</v>
      </c>
      <c r="M25" s="288">
        <f>M26*('P&amp;L'!M$5)</f>
        <v>29218.119159269852</v>
      </c>
      <c r="N25" s="288">
        <f>N26*('P&amp;L'!N$5)</f>
        <v>32216.136093678018</v>
      </c>
      <c r="O25" s="288">
        <f>O26*('P&amp;L'!O$5)</f>
        <v>35233.492437614113</v>
      </c>
      <c r="P25" s="288">
        <f>P26*('P&amp;L'!P$5)</f>
        <v>38271.348555649805</v>
      </c>
      <c r="Q25" s="288">
        <f>Q26*('P&amp;L'!Q$5)</f>
        <v>41330.934434231065</v>
      </c>
      <c r="S25" s="7" t="s">
        <v>103</v>
      </c>
    </row>
    <row r="26" spans="2:19" s="7" customFormat="1" ht="12" x14ac:dyDescent="0.2">
      <c r="B26" s="84" t="s">
        <v>97</v>
      </c>
      <c r="C26" s="323">
        <f>C25/('P&amp;L'!C$5)</f>
        <v>0.10625568994667707</v>
      </c>
      <c r="D26" s="323">
        <f>D25/('P&amp;L'!D$5)</f>
        <v>0.1007218089415924</v>
      </c>
      <c r="E26" s="323">
        <f>E25/('P&amp;L'!E$5)</f>
        <v>9.3827823876494479E-2</v>
      </c>
      <c r="F26" s="323">
        <f>F25/('P&amp;L'!F$5)</f>
        <v>0.10976558501381922</v>
      </c>
      <c r="G26" s="323">
        <f>G25/('P&amp;L'!G$5)</f>
        <v>0.14003395657354972</v>
      </c>
      <c r="H26" s="324">
        <f>AVERAGE($F$26:$G$26)</f>
        <v>0.12489977079368447</v>
      </c>
      <c r="I26" s="324">
        <f t="shared" ref="I26:Q26" si="10">AVERAGE($F$26:$G$26)</f>
        <v>0.12489977079368447</v>
      </c>
      <c r="J26" s="324">
        <f t="shared" si="10"/>
        <v>0.12489977079368447</v>
      </c>
      <c r="K26" s="324">
        <f t="shared" si="10"/>
        <v>0.12489977079368447</v>
      </c>
      <c r="L26" s="324">
        <f t="shared" si="10"/>
        <v>0.12489977079368447</v>
      </c>
      <c r="M26" s="324">
        <f t="shared" si="10"/>
        <v>0.12489977079368447</v>
      </c>
      <c r="N26" s="324">
        <f t="shared" si="10"/>
        <v>0.12489977079368447</v>
      </c>
      <c r="O26" s="324">
        <f t="shared" si="10"/>
        <v>0.12489977079368447</v>
      </c>
      <c r="P26" s="324">
        <f t="shared" si="10"/>
        <v>0.12489977079368447</v>
      </c>
      <c r="Q26" s="324">
        <f t="shared" si="10"/>
        <v>0.12489977079368447</v>
      </c>
    </row>
    <row r="27" spans="2:19" s="7" customFormat="1" ht="12" x14ac:dyDescent="0.2">
      <c r="B27" s="84"/>
      <c r="C27" s="85"/>
      <c r="D27" s="85"/>
      <c r="E27" s="85"/>
      <c r="F27" s="85"/>
      <c r="G27" s="85"/>
      <c r="H27" s="86"/>
      <c r="I27" s="86"/>
      <c r="J27" s="86"/>
      <c r="K27" s="86"/>
      <c r="L27" s="86"/>
      <c r="M27" s="86"/>
      <c r="N27" s="86"/>
      <c r="O27" s="86"/>
      <c r="P27" s="86"/>
      <c r="Q27" s="86"/>
    </row>
    <row r="28" spans="2:19" s="7" customFormat="1" ht="12" x14ac:dyDescent="0.2">
      <c r="B28" s="7" t="s">
        <v>20</v>
      </c>
      <c r="C28" s="304">
        <f>'Balance Sheet Input'!C24</f>
        <v>1447</v>
      </c>
      <c r="D28" s="304">
        <f>'Balance Sheet Input'!D24</f>
        <v>1747</v>
      </c>
      <c r="E28" s="304">
        <f>'Balance Sheet Input'!E24</f>
        <v>2864</v>
      </c>
      <c r="F28" s="304">
        <f>'Balance Sheet Input'!F24</f>
        <v>3168</v>
      </c>
      <c r="G28" s="304">
        <f>'Balance Sheet Input'!G24</f>
        <v>3424</v>
      </c>
      <c r="H28" s="288">
        <f>H29*('P&amp;L'!H$5)</f>
        <v>4285.0777348668826</v>
      </c>
      <c r="I28" s="288">
        <f>I29*('P&amp;L'!I$5)</f>
        <v>4831.0732084966294</v>
      </c>
      <c r="J28" s="288">
        <f>J29*('P&amp;L'!J$5)</f>
        <v>5558.3770743817076</v>
      </c>
      <c r="K28" s="288">
        <f>K29*('P&amp;L'!K$5)</f>
        <v>6300.474317248948</v>
      </c>
      <c r="L28" s="288">
        <f>L29*('P&amp;L'!L$5)</f>
        <v>7198.9597772071929</v>
      </c>
      <c r="M28" s="288">
        <f>M29*('P&amp;L'!M$5)</f>
        <v>8016.5135779091243</v>
      </c>
      <c r="N28" s="288">
        <f>N29*('P&amp;L'!N$5)</f>
        <v>8839.0731455005771</v>
      </c>
      <c r="O28" s="288">
        <f>O29*('P&amp;L'!O$5)</f>
        <v>9666.9388259949264</v>
      </c>
      <c r="P28" s="288">
        <f>P29*('P&amp;L'!P$5)</f>
        <v>10500.428986166346</v>
      </c>
      <c r="Q28" s="288">
        <f>Q29*('P&amp;L'!Q$5)</f>
        <v>11339.881094795455</v>
      </c>
      <c r="S28" s="7" t="s">
        <v>103</v>
      </c>
    </row>
    <row r="29" spans="2:19" s="7" customFormat="1" ht="12" x14ac:dyDescent="0.2">
      <c r="B29" s="84" t="s">
        <v>97</v>
      </c>
      <c r="C29" s="323">
        <f>C28/('P&amp;L'!C$5)</f>
        <v>2.6884417442357356E-2</v>
      </c>
      <c r="D29" s="323">
        <f>D28/('P&amp;L'!D$5)</f>
        <v>2.1445581989148314E-2</v>
      </c>
      <c r="E29" s="323">
        <f>E28/('P&amp;L'!E$5)</f>
        <v>2.9595031672057289E-2</v>
      </c>
      <c r="F29" s="323">
        <f>F28/('P&amp;L'!F$5)</f>
        <v>3.2429112498720443E-2</v>
      </c>
      <c r="G29" s="323">
        <f>G28/('P&amp;L'!G$5)</f>
        <v>3.6107859575859193E-2</v>
      </c>
      <c r="H29" s="324">
        <f>AVERAGE($F$29:$G$29)</f>
        <v>3.4268486037289818E-2</v>
      </c>
      <c r="I29" s="324">
        <f t="shared" ref="I29:Q29" si="11">AVERAGE($F$29:$G$29)</f>
        <v>3.4268486037289818E-2</v>
      </c>
      <c r="J29" s="324">
        <f t="shared" si="11"/>
        <v>3.4268486037289818E-2</v>
      </c>
      <c r="K29" s="324">
        <f t="shared" si="11"/>
        <v>3.4268486037289818E-2</v>
      </c>
      <c r="L29" s="324">
        <f t="shared" si="11"/>
        <v>3.4268486037289818E-2</v>
      </c>
      <c r="M29" s="324">
        <f t="shared" si="11"/>
        <v>3.4268486037289818E-2</v>
      </c>
      <c r="N29" s="324">
        <f t="shared" si="11"/>
        <v>3.4268486037289818E-2</v>
      </c>
      <c r="O29" s="324">
        <f t="shared" si="11"/>
        <v>3.4268486037289818E-2</v>
      </c>
      <c r="P29" s="324">
        <f t="shared" si="11"/>
        <v>3.4268486037289818E-2</v>
      </c>
      <c r="Q29" s="324">
        <f t="shared" si="11"/>
        <v>3.4268486037289818E-2</v>
      </c>
    </row>
    <row r="30" spans="2:19" s="7" customFormat="1" ht="12" x14ac:dyDescent="0.2">
      <c r="B30" s="84"/>
      <c r="C30" s="85"/>
      <c r="D30" s="85"/>
      <c r="E30" s="85"/>
      <c r="F30" s="85"/>
      <c r="G30" s="85"/>
      <c r="H30" s="86"/>
      <c r="I30" s="86"/>
      <c r="J30" s="86"/>
      <c r="K30" s="86"/>
      <c r="L30" s="86"/>
      <c r="M30" s="86"/>
      <c r="N30" s="86"/>
      <c r="O30" s="86"/>
      <c r="P30" s="86"/>
      <c r="Q30" s="86"/>
    </row>
    <row r="31" spans="2:19" s="7" customFormat="1" ht="12" x14ac:dyDescent="0.2">
      <c r="B31" s="7" t="s">
        <v>21</v>
      </c>
      <c r="C31" s="304">
        <f>'Balance Sheet Input'!C25</f>
        <v>925</v>
      </c>
      <c r="D31" s="304">
        <f>'Balance Sheet Input'!D25</f>
        <v>0</v>
      </c>
      <c r="E31" s="304">
        <f>'Balance Sheet Input'!E25</f>
        <v>0</v>
      </c>
      <c r="F31" s="304">
        <f>'Balance Sheet Input'!F25</f>
        <v>0</v>
      </c>
      <c r="G31" s="304">
        <f>'Balance Sheet Input'!G25</f>
        <v>0</v>
      </c>
      <c r="H31" s="288">
        <f>H32*('P&amp;L'!H$5)</f>
        <v>0</v>
      </c>
      <c r="I31" s="288">
        <f>I32*('P&amp;L'!I$5)</f>
        <v>0</v>
      </c>
      <c r="J31" s="288">
        <f>J32*('P&amp;L'!J$5)</f>
        <v>0</v>
      </c>
      <c r="K31" s="288">
        <f>K32*('P&amp;L'!K$5)</f>
        <v>0</v>
      </c>
      <c r="L31" s="288">
        <f>L32*('P&amp;L'!L$5)</f>
        <v>0</v>
      </c>
      <c r="M31" s="288">
        <f>M32*('P&amp;L'!M$5)</f>
        <v>0</v>
      </c>
      <c r="N31" s="288">
        <f>N32*('P&amp;L'!N$5)</f>
        <v>0</v>
      </c>
      <c r="O31" s="288">
        <f>O32*('P&amp;L'!O$5)</f>
        <v>0</v>
      </c>
      <c r="P31" s="288">
        <f>P32*('P&amp;L'!P$5)</f>
        <v>0</v>
      </c>
      <c r="Q31" s="288">
        <f>Q32*('P&amp;L'!Q$5)</f>
        <v>0</v>
      </c>
      <c r="S31" s="7" t="s">
        <v>103</v>
      </c>
    </row>
    <row r="32" spans="2:19" s="7" customFormat="1" ht="12" x14ac:dyDescent="0.2">
      <c r="B32" s="84" t="s">
        <v>97</v>
      </c>
      <c r="C32" s="323">
        <f>C31/('P&amp;L'!C$5)</f>
        <v>1.7185961391969977E-2</v>
      </c>
      <c r="D32" s="323">
        <f>D31/('P&amp;L'!D$5)</f>
        <v>0</v>
      </c>
      <c r="E32" s="323">
        <f>E31/('P&amp;L'!E$5)</f>
        <v>0</v>
      </c>
      <c r="F32" s="323">
        <f>F31/('P&amp;L'!F$5)</f>
        <v>0</v>
      </c>
      <c r="G32" s="323">
        <f>G31/('P&amp;L'!G$5)</f>
        <v>0</v>
      </c>
      <c r="H32" s="324">
        <f>AVERAGE($F$32:$G$32)</f>
        <v>0</v>
      </c>
      <c r="I32" s="324">
        <f t="shared" ref="I32:Q32" si="12">AVERAGE($F$32:$G$32)</f>
        <v>0</v>
      </c>
      <c r="J32" s="324">
        <f t="shared" si="12"/>
        <v>0</v>
      </c>
      <c r="K32" s="324">
        <f t="shared" si="12"/>
        <v>0</v>
      </c>
      <c r="L32" s="324">
        <f t="shared" si="12"/>
        <v>0</v>
      </c>
      <c r="M32" s="324">
        <f t="shared" si="12"/>
        <v>0</v>
      </c>
      <c r="N32" s="324">
        <f t="shared" si="12"/>
        <v>0</v>
      </c>
      <c r="O32" s="324">
        <f t="shared" si="12"/>
        <v>0</v>
      </c>
      <c r="P32" s="324">
        <f t="shared" si="12"/>
        <v>0</v>
      </c>
      <c r="Q32" s="324">
        <f t="shared" si="12"/>
        <v>0</v>
      </c>
    </row>
    <row r="33" spans="2:19" s="7" customFormat="1" ht="12" x14ac:dyDescent="0.2">
      <c r="B33" s="84"/>
      <c r="C33" s="85"/>
      <c r="D33" s="85"/>
      <c r="E33" s="85"/>
      <c r="F33" s="85"/>
      <c r="G33" s="85"/>
      <c r="H33" s="86"/>
      <c r="I33" s="86"/>
      <c r="J33" s="86"/>
      <c r="K33" s="86"/>
      <c r="L33" s="86"/>
      <c r="M33" s="86"/>
      <c r="N33" s="86"/>
      <c r="O33" s="86"/>
      <c r="P33" s="86"/>
      <c r="Q33" s="86"/>
    </row>
    <row r="34" spans="2:19" s="7" customFormat="1" ht="12" x14ac:dyDescent="0.2">
      <c r="B34" s="7" t="s">
        <v>92</v>
      </c>
      <c r="C34" s="304">
        <f>('Balance Sheet Input'!C26+'Balance Sheet Input'!C30)</f>
        <v>6834</v>
      </c>
      <c r="D34" s="304">
        <f>('Balance Sheet Input'!D26+'Balance Sheet Input'!D30)</f>
        <v>3099</v>
      </c>
      <c r="E34" s="304">
        <f>('Balance Sheet Input'!E26+'Balance Sheet Input'!E30)</f>
        <v>5230</v>
      </c>
      <c r="F34" s="304">
        <f>('Balance Sheet Input'!F26+'Balance Sheet Input'!F30)</f>
        <v>8213</v>
      </c>
      <c r="G34" s="304">
        <f>('Balance Sheet Input'!G26+'Balance Sheet Input'!G30)</f>
        <v>8376</v>
      </c>
      <c r="H34" s="288">
        <f>G34+Financing!H19</f>
        <v>8376</v>
      </c>
      <c r="I34" s="288">
        <f>H34+Financing!I19</f>
        <v>8376</v>
      </c>
      <c r="J34" s="288">
        <f>I34+Financing!J19</f>
        <v>8376</v>
      </c>
      <c r="K34" s="288">
        <f>J34+Financing!K19</f>
        <v>8376</v>
      </c>
      <c r="L34" s="288">
        <f>K34+Financing!L19</f>
        <v>8376</v>
      </c>
      <c r="M34" s="288">
        <f>L34+Financing!M19</f>
        <v>8376</v>
      </c>
      <c r="N34" s="288">
        <f>M34+Financing!N19</f>
        <v>8376</v>
      </c>
      <c r="O34" s="288">
        <f>N34+Financing!O19</f>
        <v>8376</v>
      </c>
      <c r="P34" s="288">
        <f>O34+Financing!P19</f>
        <v>8376</v>
      </c>
      <c r="Q34" s="288">
        <f>P34+Financing!Q19</f>
        <v>8376</v>
      </c>
      <c r="S34" s="7" t="s">
        <v>104</v>
      </c>
    </row>
    <row r="35" spans="2:19" s="7" customFormat="1" ht="12" x14ac:dyDescent="0.2">
      <c r="B35" s="7" t="s">
        <v>52</v>
      </c>
      <c r="C35" s="267">
        <f>('Balance Sheet Input'!C31+'Balance Sheet Input'!C32)</f>
        <v>5598</v>
      </c>
      <c r="D35" s="267">
        <f>('Balance Sheet Input'!D31+'Balance Sheet Input'!D32)</f>
        <v>8134</v>
      </c>
      <c r="E35" s="267">
        <f>('Balance Sheet Input'!E31+'Balance Sheet Input'!E32)</f>
        <v>11404</v>
      </c>
      <c r="F35" s="267">
        <f>('Balance Sheet Input'!F31+'Balance Sheet Input'!F32)</f>
        <v>13812</v>
      </c>
      <c r="G35" s="267">
        <f>('Balance Sheet Input'!G31+'Balance Sheet Input'!G32)</f>
        <v>16491</v>
      </c>
      <c r="H35" s="288">
        <f>H36*('P&amp;L'!H$5)</f>
        <v>19712.740033224352</v>
      </c>
      <c r="I35" s="288">
        <f>I36*('P&amp;L'!I$5)</f>
        <v>22224.495361115682</v>
      </c>
      <c r="J35" s="288">
        <f>J36*('P&amp;L'!J$5)</f>
        <v>25570.327787139806</v>
      </c>
      <c r="K35" s="288">
        <f>K36*('P&amp;L'!K$5)</f>
        <v>28984.214519924804</v>
      </c>
      <c r="L35" s="288">
        <f>L36*('P&amp;L'!L$5)</f>
        <v>33117.537505333639</v>
      </c>
      <c r="M35" s="288">
        <f>M36*('P&amp;L'!M$5)</f>
        <v>36878.548747971538</v>
      </c>
      <c r="N35" s="288">
        <f>N36*('P&amp;L'!N$5)</f>
        <v>40662.58813326298</v>
      </c>
      <c r="O35" s="288">
        <f>O36*('P&amp;L'!O$5)</f>
        <v>44471.037349767212</v>
      </c>
      <c r="P35" s="288">
        <f>P36*('P&amp;L'!P$5)</f>
        <v>48305.36098735698</v>
      </c>
      <c r="Q35" s="288">
        <f>Q36*('P&amp;L'!Q$5)</f>
        <v>52167.111511297408</v>
      </c>
      <c r="S35" s="7" t="s">
        <v>103</v>
      </c>
    </row>
    <row r="36" spans="2:19" s="7" customFormat="1" ht="12" x14ac:dyDescent="0.2">
      <c r="B36" s="84" t="s">
        <v>97</v>
      </c>
      <c r="C36" s="323">
        <f>C35/('P&amp;L'!C$5)</f>
        <v>0.10400758040243019</v>
      </c>
      <c r="D36" s="323">
        <f>D35/('P&amp;L'!D$5)</f>
        <v>9.9850236920281846E-2</v>
      </c>
      <c r="E36" s="323">
        <f>E35/('P&amp;L'!E$5)</f>
        <v>0.11784278672770297</v>
      </c>
      <c r="F36" s="323">
        <f>F35/('P&amp;L'!F$5)</f>
        <v>0.14138601699252737</v>
      </c>
      <c r="G36" s="323">
        <f>G35/('P&amp;L'!G$5)</f>
        <v>0.1739061659653896</v>
      </c>
      <c r="H36" s="324">
        <f>AVERAGE($F$36:$G$36)</f>
        <v>0.15764609147895847</v>
      </c>
      <c r="I36" s="324">
        <f t="shared" ref="I36:Q36" si="13">AVERAGE($F$36:$G$36)</f>
        <v>0.15764609147895847</v>
      </c>
      <c r="J36" s="324">
        <f t="shared" si="13"/>
        <v>0.15764609147895847</v>
      </c>
      <c r="K36" s="324">
        <f t="shared" si="13"/>
        <v>0.15764609147895847</v>
      </c>
      <c r="L36" s="324">
        <f t="shared" si="13"/>
        <v>0.15764609147895847</v>
      </c>
      <c r="M36" s="324">
        <f t="shared" si="13"/>
        <v>0.15764609147895847</v>
      </c>
      <c r="N36" s="324">
        <f t="shared" si="13"/>
        <v>0.15764609147895847</v>
      </c>
      <c r="O36" s="324">
        <f t="shared" si="13"/>
        <v>0.15764609147895847</v>
      </c>
      <c r="P36" s="324">
        <f t="shared" si="13"/>
        <v>0.15764609147895847</v>
      </c>
      <c r="Q36" s="324">
        <f t="shared" si="13"/>
        <v>0.15764609147895847</v>
      </c>
    </row>
    <row r="37" spans="2:19" s="7" customFormat="1" ht="12" x14ac:dyDescent="0.2">
      <c r="B37" s="84"/>
      <c r="C37" s="85"/>
      <c r="D37" s="85"/>
      <c r="E37" s="85"/>
      <c r="F37" s="85"/>
      <c r="G37" s="85"/>
      <c r="H37" s="86"/>
      <c r="I37" s="86"/>
      <c r="J37" s="86"/>
      <c r="K37" s="86"/>
      <c r="L37" s="86"/>
      <c r="M37" s="86"/>
      <c r="N37" s="86"/>
      <c r="O37" s="86"/>
      <c r="P37" s="86"/>
      <c r="Q37" s="86"/>
    </row>
    <row r="38" spans="2:19" s="7" customFormat="1" ht="12" x14ac:dyDescent="0.2">
      <c r="B38" s="11" t="s">
        <v>25</v>
      </c>
      <c r="C38" s="320">
        <f>C24+C25+C28+C31+C34+C35</f>
        <v>30548</v>
      </c>
      <c r="D38" s="320">
        <f t="shared" ref="D38:G38" si="14">D24+D25+D28+D31+D34+D35</f>
        <v>36440</v>
      </c>
      <c r="E38" s="320">
        <f t="shared" si="14"/>
        <v>43009</v>
      </c>
      <c r="F38" s="320">
        <f t="shared" si="14"/>
        <v>48390</v>
      </c>
      <c r="G38" s="320">
        <f t="shared" si="14"/>
        <v>54941</v>
      </c>
      <c r="H38" s="321">
        <f>H24+H25+H28+H31+H34+H35</f>
        <v>68973.619012443436</v>
      </c>
      <c r="I38" s="321">
        <f t="shared" ref="I38:Q38" si="15">I24+I25+I28+I31+I34+I35</f>
        <v>76752.814252813943</v>
      </c>
      <c r="J38" s="321">
        <f t="shared" si="15"/>
        <v>87096.424300364582</v>
      </c>
      <c r="K38" s="321">
        <f t="shared" si="15"/>
        <v>97652.939796837862</v>
      </c>
      <c r="L38" s="321">
        <f t="shared" si="15"/>
        <v>110395.19116346564</v>
      </c>
      <c r="M38" s="321">
        <f t="shared" si="15"/>
        <v>122009.66220481363</v>
      </c>
      <c r="N38" s="321">
        <f t="shared" si="15"/>
        <v>133696.59024407924</v>
      </c>
      <c r="O38" s="321">
        <f t="shared" si="15"/>
        <v>145460.32270113763</v>
      </c>
      <c r="P38" s="321">
        <f t="shared" si="15"/>
        <v>157305.46784105623</v>
      </c>
      <c r="Q38" s="321">
        <f t="shared" si="15"/>
        <v>169236.91042480673</v>
      </c>
    </row>
    <row r="39" spans="2:19" s="7" customFormat="1" ht="24" x14ac:dyDescent="0.2">
      <c r="B39" s="140" t="s">
        <v>249</v>
      </c>
      <c r="C39" s="267">
        <f>'Balance Sheet Input'!C34</f>
        <v>568</v>
      </c>
      <c r="D39" s="267">
        <f>'Balance Sheet Input'!D34</f>
        <v>409</v>
      </c>
      <c r="E39" s="267">
        <f>'Balance Sheet Input'!E34</f>
        <v>242</v>
      </c>
      <c r="F39" s="267">
        <f>'Balance Sheet Input'!F34</f>
        <v>63</v>
      </c>
      <c r="G39" s="267">
        <f>'Balance Sheet Input'!G34</f>
        <v>58</v>
      </c>
      <c r="H39" s="322">
        <f>G39</f>
        <v>58</v>
      </c>
      <c r="I39" s="322">
        <f t="shared" ref="I39:Q39" si="16">H39</f>
        <v>58</v>
      </c>
      <c r="J39" s="322">
        <f t="shared" si="16"/>
        <v>58</v>
      </c>
      <c r="K39" s="322">
        <f t="shared" si="16"/>
        <v>58</v>
      </c>
      <c r="L39" s="322">
        <f t="shared" si="16"/>
        <v>58</v>
      </c>
      <c r="M39" s="322">
        <f t="shared" si="16"/>
        <v>58</v>
      </c>
      <c r="N39" s="322">
        <f t="shared" si="16"/>
        <v>58</v>
      </c>
      <c r="O39" s="322">
        <f t="shared" si="16"/>
        <v>58</v>
      </c>
      <c r="P39" s="322">
        <f t="shared" si="16"/>
        <v>58</v>
      </c>
      <c r="Q39" s="322">
        <f t="shared" si="16"/>
        <v>58</v>
      </c>
    </row>
    <row r="40" spans="2:19" s="7" customFormat="1" ht="12" x14ac:dyDescent="0.2">
      <c r="B40" s="11" t="s">
        <v>95</v>
      </c>
      <c r="C40" s="320">
        <f>('Balance Sheet Input'!C36+'Balance Sheet Input'!C35)</f>
        <v>31015</v>
      </c>
      <c r="D40" s="320">
        <f>('Balance Sheet Input'!D36+'Balance Sheet Input'!D35)</f>
        <v>45489</v>
      </c>
      <c r="E40" s="320">
        <f>('Balance Sheet Input'!E36+'Balance Sheet Input'!E35)</f>
        <v>63367</v>
      </c>
      <c r="F40" s="320">
        <f>('Balance Sheet Input'!F36+'Balance Sheet Input'!F35)</f>
        <v>73617</v>
      </c>
      <c r="G40" s="320">
        <f>('Balance Sheet Input'!G36+'Balance Sheet Input'!G35)</f>
        <v>82807</v>
      </c>
      <c r="H40" s="321">
        <f>G40+'P&amp;L'!H14+Financing!H20</f>
        <v>86417.155062756618</v>
      </c>
      <c r="I40" s="321">
        <f>H40+'P&amp;L'!I14+Financing!I20</f>
        <v>90297.715369939819</v>
      </c>
      <c r="J40" s="321">
        <f>I40+'P&amp;L'!J14+Financing!J20</f>
        <v>94612.007333840695</v>
      </c>
      <c r="K40" s="321">
        <f>J40+'P&amp;L'!K14+Financing!K20</f>
        <v>99359.020788566733</v>
      </c>
      <c r="L40" s="321">
        <f>K40+'P&amp;L'!L14+Financing!L20</f>
        <v>104782.05000800325</v>
      </c>
      <c r="M40" s="321">
        <f>L40+'P&amp;L'!M14+Financing!M20</f>
        <v>110742.10414165384</v>
      </c>
      <c r="N40" s="321">
        <f>M40+'P&amp;L'!N14+Financing!N20</f>
        <v>117237.22251657832</v>
      </c>
      <c r="O40" s="321">
        <f>N40+'P&amp;L'!O14+Financing!O20</f>
        <v>124265.32681946016</v>
      </c>
      <c r="P40" s="321">
        <f>O40+'P&amp;L'!P14+Financing!P20</f>
        <v>131824.21403818377</v>
      </c>
      <c r="Q40" s="321">
        <f>P40+'P&amp;L'!Q14+Financing!Q20</f>
        <v>139911.54897990663</v>
      </c>
    </row>
    <row r="41" spans="2:19" s="7" customFormat="1" ht="12" x14ac:dyDescent="0.2">
      <c r="C41" s="267"/>
      <c r="D41" s="267"/>
      <c r="E41" s="267"/>
      <c r="F41" s="267"/>
      <c r="G41" s="267"/>
      <c r="H41" s="267"/>
      <c r="I41" s="267"/>
      <c r="J41" s="267"/>
      <c r="K41" s="267"/>
      <c r="L41" s="267"/>
      <c r="M41" s="267"/>
      <c r="N41" s="267"/>
      <c r="O41" s="267"/>
      <c r="P41" s="267"/>
      <c r="Q41" s="267"/>
    </row>
    <row r="42" spans="2:19" s="7" customFormat="1" thickBot="1" x14ac:dyDescent="0.25">
      <c r="B42" s="65" t="s">
        <v>94</v>
      </c>
      <c r="C42" s="265">
        <f>C38+C40+C39</f>
        <v>62131</v>
      </c>
      <c r="D42" s="265">
        <f t="shared" ref="D42:Q42" si="17">D38+D40+D39</f>
        <v>82338</v>
      </c>
      <c r="E42" s="265">
        <f t="shared" si="17"/>
        <v>106618</v>
      </c>
      <c r="F42" s="265">
        <f t="shared" si="17"/>
        <v>122070</v>
      </c>
      <c r="G42" s="265">
        <f t="shared" si="17"/>
        <v>137806</v>
      </c>
      <c r="H42" s="265">
        <f t="shared" si="17"/>
        <v>155448.77407520005</v>
      </c>
      <c r="I42" s="265">
        <f t="shared" si="17"/>
        <v>167108.52962275376</v>
      </c>
      <c r="J42" s="265">
        <f t="shared" si="17"/>
        <v>181766.43163420528</v>
      </c>
      <c r="K42" s="265">
        <f t="shared" si="17"/>
        <v>197069.96058540459</v>
      </c>
      <c r="L42" s="265">
        <f t="shared" si="17"/>
        <v>215235.24117146889</v>
      </c>
      <c r="M42" s="265">
        <f t="shared" si="17"/>
        <v>232809.76634646748</v>
      </c>
      <c r="N42" s="265">
        <f t="shared" si="17"/>
        <v>250991.81276065757</v>
      </c>
      <c r="O42" s="265">
        <f t="shared" si="17"/>
        <v>269783.64952059777</v>
      </c>
      <c r="P42" s="265">
        <f t="shared" si="17"/>
        <v>289187.68187923997</v>
      </c>
      <c r="Q42" s="265">
        <f t="shared" si="17"/>
        <v>309206.45940471336</v>
      </c>
    </row>
    <row r="43" spans="2:19" s="7" customFormat="1" ht="12" x14ac:dyDescent="0.2">
      <c r="C43" s="267"/>
      <c r="D43" s="267"/>
      <c r="E43" s="267"/>
      <c r="F43" s="267"/>
      <c r="G43" s="267"/>
      <c r="H43" s="267"/>
      <c r="I43" s="267"/>
      <c r="J43" s="267"/>
      <c r="K43" s="267"/>
      <c r="L43" s="267"/>
      <c r="M43" s="267"/>
      <c r="N43" s="267"/>
      <c r="O43" s="267"/>
      <c r="P43" s="267"/>
      <c r="Q43" s="267"/>
    </row>
    <row r="44" spans="2:19" s="7" customFormat="1" ht="12" x14ac:dyDescent="0.2">
      <c r="B44" s="7" t="s">
        <v>96</v>
      </c>
      <c r="C44" s="325">
        <f t="shared" ref="C44:M44" si="18">C22-C42</f>
        <v>0</v>
      </c>
      <c r="D44" s="325">
        <f t="shared" si="18"/>
        <v>0</v>
      </c>
      <c r="E44" s="325">
        <f t="shared" si="18"/>
        <v>0</v>
      </c>
      <c r="F44" s="325">
        <f t="shared" si="18"/>
        <v>0</v>
      </c>
      <c r="G44" s="325">
        <f t="shared" si="18"/>
        <v>0</v>
      </c>
      <c r="H44" s="325">
        <f t="shared" si="18"/>
        <v>0</v>
      </c>
      <c r="I44" s="325">
        <f t="shared" si="18"/>
        <v>0</v>
      </c>
      <c r="J44" s="325">
        <f t="shared" si="18"/>
        <v>0</v>
      </c>
      <c r="K44" s="325">
        <f t="shared" si="18"/>
        <v>0</v>
      </c>
      <c r="L44" s="325">
        <f t="shared" si="18"/>
        <v>0</v>
      </c>
      <c r="M44" s="325">
        <f t="shared" si="18"/>
        <v>0</v>
      </c>
      <c r="N44" s="325">
        <f>N22-N42</f>
        <v>0</v>
      </c>
      <c r="O44" s="325">
        <f>O22-O42</f>
        <v>0</v>
      </c>
      <c r="P44" s="325">
        <f>P22-P42</f>
        <v>0</v>
      </c>
      <c r="Q44" s="325">
        <f t="shared" ref="Q44" si="19">Q22-Q42</f>
        <v>0</v>
      </c>
    </row>
    <row r="45" spans="2:19" s="7" customFormat="1" ht="12" x14ac:dyDescent="0.2">
      <c r="H45" s="81"/>
      <c r="I45" s="81"/>
      <c r="J45" s="81"/>
    </row>
    <row r="46" spans="2:19" s="7" customFormat="1" ht="12" x14ac:dyDescent="0.2"/>
    <row r="47" spans="2:19" s="7" customFormat="1" ht="12" x14ac:dyDescent="0.2"/>
    <row r="48" spans="2:19" s="7" customFormat="1" ht="12" x14ac:dyDescent="0.2"/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R39"/>
  <sheetViews>
    <sheetView zoomScaleNormal="100" workbookViewId="0">
      <selection activeCell="R40" sqref="R40"/>
    </sheetView>
  </sheetViews>
  <sheetFormatPr defaultColWidth="9.140625" defaultRowHeight="12.75" outlineLevelRow="1" x14ac:dyDescent="0.2"/>
  <cols>
    <col min="1" max="1" width="2" style="16" customWidth="1"/>
    <col min="2" max="2" width="32.5703125" style="16" bestFit="1" customWidth="1"/>
    <col min="3" max="3" width="8.140625" style="16" bestFit="1" customWidth="1"/>
    <col min="4" max="4" width="10" style="16" bestFit="1" customWidth="1"/>
    <col min="5" max="17" width="10.5703125" style="16" bestFit="1" customWidth="1"/>
    <col min="18" max="16384" width="9.140625" style="16"/>
  </cols>
  <sheetData>
    <row r="1" spans="2:17" ht="15.75" x14ac:dyDescent="0.25">
      <c r="B1" s="15" t="s">
        <v>106</v>
      </c>
      <c r="C1" s="15"/>
    </row>
    <row r="2" spans="2:17" ht="15.75" x14ac:dyDescent="0.25">
      <c r="B2" s="15"/>
      <c r="C2" s="15"/>
    </row>
    <row r="3" spans="2:17" x14ac:dyDescent="0.2">
      <c r="C3" s="368" t="s">
        <v>191</v>
      </c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</row>
    <row r="4" spans="2:17" s="19" customFormat="1" ht="24" x14ac:dyDescent="0.2">
      <c r="B4" s="352" t="s">
        <v>349</v>
      </c>
      <c r="C4" s="6" t="s">
        <v>241</v>
      </c>
      <c r="D4" s="6" t="s">
        <v>242</v>
      </c>
      <c r="E4" s="6" t="s">
        <v>243</v>
      </c>
      <c r="F4" s="6" t="s">
        <v>244</v>
      </c>
      <c r="G4" s="6" t="s">
        <v>245</v>
      </c>
      <c r="H4" s="57" t="s">
        <v>198</v>
      </c>
      <c r="I4" s="57" t="s">
        <v>199</v>
      </c>
      <c r="J4" s="57" t="s">
        <v>200</v>
      </c>
      <c r="K4" s="57" t="s">
        <v>221</v>
      </c>
      <c r="L4" s="57" t="s">
        <v>258</v>
      </c>
      <c r="M4" s="57" t="s">
        <v>257</v>
      </c>
      <c r="N4" s="57" t="s">
        <v>256</v>
      </c>
      <c r="O4" s="57" t="s">
        <v>255</v>
      </c>
      <c r="P4" s="57" t="s">
        <v>254</v>
      </c>
      <c r="Q4" s="57" t="s">
        <v>253</v>
      </c>
    </row>
    <row r="5" spans="2:17" s="19" customFormat="1" ht="12" x14ac:dyDescent="0.2">
      <c r="B5" s="31" t="s">
        <v>36</v>
      </c>
      <c r="C5" s="113"/>
      <c r="D5" s="326">
        <f>'P&amp;L'!D9</f>
        <v>13656</v>
      </c>
      <c r="E5" s="326">
        <f>'P&amp;L'!E9</f>
        <v>8891</v>
      </c>
      <c r="F5" s="326">
        <f>'P&amp;L'!F9</f>
        <v>7076</v>
      </c>
      <c r="G5" s="326">
        <f>'P&amp;L'!G9</f>
        <v>4355</v>
      </c>
      <c r="H5" s="315">
        <f>'P&amp;L'!H9</f>
        <v>4936.9285351349681</v>
      </c>
      <c r="I5" s="315">
        <f>'P&amp;L'!I9</f>
        <v>5279.213654662286</v>
      </c>
      <c r="J5" s="315">
        <f>'P&amp;L'!J9</f>
        <v>5828.2410682289628</v>
      </c>
      <c r="K5" s="315">
        <f>'P&amp;L'!K9</f>
        <v>6375.9897907924533</v>
      </c>
      <c r="L5" s="315">
        <f>'P&amp;L'!L9</f>
        <v>7231.7059486538164</v>
      </c>
      <c r="M5" s="315">
        <f>'P&amp;L'!M9</f>
        <v>7911.4843210766994</v>
      </c>
      <c r="N5" s="315">
        <f>'P&amp;L'!N9</f>
        <v>8588.7808290183239</v>
      </c>
      <c r="O5" s="315">
        <f>'P&amp;L'!O9</f>
        <v>9263.4465606099184</v>
      </c>
      <c r="P5" s="315">
        <f>'P&amp;L'!P9</f>
        <v>9935.323669270394</v>
      </c>
      <c r="Q5" s="315">
        <f>'P&amp;L'!Q9</f>
        <v>10604.24483762389</v>
      </c>
    </row>
    <row r="6" spans="2:17" s="19" customFormat="1" ht="12" x14ac:dyDescent="0.2">
      <c r="B6" s="31" t="str">
        <f>CONCATENATE("Operating taxes (",(Drivers!$C$12*100),"%)")</f>
        <v>Operating taxes (21%)</v>
      </c>
      <c r="C6" s="113"/>
      <c r="D6" s="326">
        <f>'P&amp;L'!D12</f>
        <v>-1132</v>
      </c>
      <c r="E6" s="326">
        <f>'P&amp;L'!E12</f>
        <v>5001</v>
      </c>
      <c r="F6" s="326">
        <f>'P&amp;L'!F12</f>
        <v>-1837</v>
      </c>
      <c r="G6" s="310">
        <f>'P&amp;L'!G12</f>
        <v>-1423</v>
      </c>
      <c r="H6" s="315">
        <f>IF(H5*Drivers!$C$12&gt;0,-H5*Drivers!$C$12,0)</f>
        <v>-1036.7549923783433</v>
      </c>
      <c r="I6" s="315">
        <f>IF(I5*Drivers!$C$12&gt;0,-I5*Drivers!$C$12,0)</f>
        <v>-1108.63486747908</v>
      </c>
      <c r="J6" s="315">
        <f>IF(J5*Drivers!$C$12&gt;0,-J5*Drivers!$C$12,0)</f>
        <v>-1223.9306243280821</v>
      </c>
      <c r="K6" s="315">
        <f>IF(K5*Drivers!$C$12&gt;0,-K5*Drivers!$C$12,0)</f>
        <v>-1338.9578560664152</v>
      </c>
      <c r="L6" s="315">
        <f>IF(L5*Drivers!$C$12&gt;0,-L5*Drivers!$C$12,0)</f>
        <v>-1518.6582492173013</v>
      </c>
      <c r="M6" s="315">
        <f>IF(M5*Drivers!$C$12&gt;0,-M5*Drivers!$C$12,0)</f>
        <v>-1661.4117074261069</v>
      </c>
      <c r="N6" s="315">
        <f>IF(N5*Drivers!$C$12&gt;0,-N5*Drivers!$C$12,0)</f>
        <v>-1803.6439740938479</v>
      </c>
      <c r="O6" s="315">
        <f>IF(O5*Drivers!$C$12&gt;0,-O5*Drivers!$C$12,0)</f>
        <v>-1945.3237777280829</v>
      </c>
      <c r="P6" s="315">
        <f>IF(P5*Drivers!$C$12&gt;0,-P5*Drivers!$C$12,0)</f>
        <v>-2086.4179705467827</v>
      </c>
      <c r="Q6" s="315">
        <f>IF(Q5*Drivers!$C$12&gt;0,-Q5*Drivers!$C$12,0)</f>
        <v>-2226.8914159010169</v>
      </c>
    </row>
    <row r="7" spans="2:17" s="19" customFormat="1" ht="12" x14ac:dyDescent="0.2">
      <c r="B7" s="29" t="s">
        <v>107</v>
      </c>
      <c r="C7" s="83"/>
      <c r="D7" s="327">
        <f>SUM(D5:D6)</f>
        <v>12524</v>
      </c>
      <c r="E7" s="327">
        <f>SUM(E5:E6)</f>
        <v>13892</v>
      </c>
      <c r="F7" s="327">
        <f t="shared" ref="F7:G7" si="0">SUM(F5:F6)</f>
        <v>5239</v>
      </c>
      <c r="G7" s="328">
        <f t="shared" si="0"/>
        <v>2932</v>
      </c>
      <c r="H7" s="329">
        <f t="shared" ref="H7:Q7" si="1">SUM(H5:H6)</f>
        <v>3900.1735427566246</v>
      </c>
      <c r="I7" s="329">
        <f t="shared" si="1"/>
        <v>4170.5787871832063</v>
      </c>
      <c r="J7" s="329">
        <f t="shared" si="1"/>
        <v>4604.3104439008803</v>
      </c>
      <c r="K7" s="329">
        <f t="shared" si="1"/>
        <v>5037.0319347260383</v>
      </c>
      <c r="L7" s="329">
        <f t="shared" si="1"/>
        <v>5713.0476994365154</v>
      </c>
      <c r="M7" s="329">
        <f t="shared" si="1"/>
        <v>6250.0726136505928</v>
      </c>
      <c r="N7" s="329">
        <f t="shared" si="1"/>
        <v>6785.1368549244762</v>
      </c>
      <c r="O7" s="329">
        <f t="shared" si="1"/>
        <v>7318.1227828818355</v>
      </c>
      <c r="P7" s="329">
        <f t="shared" si="1"/>
        <v>7848.9056987236108</v>
      </c>
      <c r="Q7" s="329">
        <f t="shared" si="1"/>
        <v>8377.3534217228735</v>
      </c>
    </row>
    <row r="8" spans="2:17" s="19" customFormat="1" ht="12" x14ac:dyDescent="0.2">
      <c r="B8" s="31" t="s">
        <v>120</v>
      </c>
      <c r="C8" s="113"/>
      <c r="D8" s="326">
        <f>-'PP&amp;E'!D9</f>
        <v>3747</v>
      </c>
      <c r="E8" s="326">
        <f>-'PP&amp;E'!E9</f>
        <v>4667</v>
      </c>
      <c r="F8" s="326">
        <f>-'PP&amp;E'!F9</f>
        <v>5368</v>
      </c>
      <c r="G8" s="326">
        <f>-'PP&amp;E'!G9</f>
        <v>6148</v>
      </c>
      <c r="H8" s="315">
        <f>-'PP&amp;E'!H9</f>
        <v>5202.3040000000001</v>
      </c>
      <c r="I8" s="315">
        <f>-'PP&amp;E'!I9</f>
        <v>6513.2846079999999</v>
      </c>
      <c r="J8" s="315">
        <f>-'PP&amp;E'!J9</f>
        <v>8008.9678172160002</v>
      </c>
      <c r="K8" s="315">
        <f>-'PP&amp;E'!K9</f>
        <v>9699.1912261304333</v>
      </c>
      <c r="L8" s="315">
        <f>-'PP&amp;E'!L9</f>
        <v>11591.099835209254</v>
      </c>
      <c r="M8" s="315">
        <f>-'PP&amp;E'!M9</f>
        <v>13688.192059444285</v>
      </c>
      <c r="N8" s="315">
        <f>-'PP&amp;E'!N9</f>
        <v>15989.200728800686</v>
      </c>
      <c r="O8" s="315">
        <f>-'PP&amp;E'!O9</f>
        <v>18486.794205170459</v>
      </c>
      <c r="P8" s="315">
        <f>-'PP&amp;E'!P9</f>
        <v>21166.083617178996</v>
      </c>
      <c r="Q8" s="315">
        <f>-'PP&amp;E'!Q9</f>
        <v>24002.923723268912</v>
      </c>
    </row>
    <row r="9" spans="2:17" s="19" customFormat="1" ht="12" x14ac:dyDescent="0.2">
      <c r="B9" s="29" t="s">
        <v>123</v>
      </c>
      <c r="C9" s="83"/>
      <c r="D9" s="327">
        <f>SUM(D7:D8)</f>
        <v>16271</v>
      </c>
      <c r="E9" s="327">
        <f>SUM(E7:E8)</f>
        <v>18559</v>
      </c>
      <c r="F9" s="327">
        <f>SUM(F7:F8)</f>
        <v>10607</v>
      </c>
      <c r="G9" s="328">
        <f>SUM(G7:G8)</f>
        <v>9080</v>
      </c>
      <c r="H9" s="329">
        <f t="shared" ref="H9:Q9" si="2">SUM(H7:H8)</f>
        <v>9102.4775427566237</v>
      </c>
      <c r="I9" s="329">
        <f t="shared" si="2"/>
        <v>10683.863395183205</v>
      </c>
      <c r="J9" s="329">
        <f t="shared" si="2"/>
        <v>12613.27826111688</v>
      </c>
      <c r="K9" s="329">
        <f t="shared" si="2"/>
        <v>14736.223160856473</v>
      </c>
      <c r="L9" s="329">
        <f>SUM(L7:L8)</f>
        <v>17304.14753464577</v>
      </c>
      <c r="M9" s="329">
        <f t="shared" si="2"/>
        <v>19938.264673094876</v>
      </c>
      <c r="N9" s="329">
        <f t="shared" si="2"/>
        <v>22774.337583725162</v>
      </c>
      <c r="O9" s="329">
        <f t="shared" si="2"/>
        <v>25804.916988052297</v>
      </c>
      <c r="P9" s="329">
        <f t="shared" si="2"/>
        <v>29014.989315902607</v>
      </c>
      <c r="Q9" s="329">
        <f t="shared" si="2"/>
        <v>32380.277144991785</v>
      </c>
    </row>
    <row r="10" spans="2:17" s="19" customFormat="1" ht="3.75" customHeight="1" x14ac:dyDescent="0.2">
      <c r="B10" s="31"/>
      <c r="C10" s="73"/>
      <c r="D10" s="219"/>
      <c r="E10" s="219"/>
      <c r="F10" s="219"/>
      <c r="G10" s="304"/>
      <c r="H10" s="315"/>
      <c r="I10" s="315"/>
      <c r="J10" s="315"/>
      <c r="K10" s="315"/>
      <c r="L10" s="315"/>
      <c r="M10" s="315"/>
      <c r="N10" s="315"/>
      <c r="O10" s="315"/>
      <c r="P10" s="315"/>
      <c r="Q10" s="315"/>
    </row>
    <row r="11" spans="2:17" s="19" customFormat="1" ht="12" x14ac:dyDescent="0.2">
      <c r="B11" s="31" t="s">
        <v>75</v>
      </c>
      <c r="C11" s="82"/>
      <c r="D11" s="219">
        <f>-('Balance Sheet'!D6-'Balance Sheet'!C6)</f>
        <v>-1039</v>
      </c>
      <c r="E11" s="219">
        <f>-('Balance Sheet'!E6-'Balance Sheet'!D6)</f>
        <v>-556</v>
      </c>
      <c r="F11" s="219">
        <f>-('Balance Sheet'!F6-'Balance Sheet'!E6)</f>
        <v>-910</v>
      </c>
      <c r="G11" s="219">
        <f>-('Balance Sheet'!G6-'Balance Sheet'!F6)</f>
        <v>-158</v>
      </c>
      <c r="H11" s="315">
        <f>-('Balance Sheet'!H6-'Balance Sheet'!G6)</f>
        <v>-463.55783219475779</v>
      </c>
      <c r="I11" s="315">
        <f>-('Balance Sheet'!I6-'Balance Sheet'!H6)</f>
        <v>-642.12971986123284</v>
      </c>
      <c r="J11" s="315">
        <f>-('Balance Sheet'!J6-'Balance Sheet'!I6)</f>
        <v>-855.36135409700637</v>
      </c>
      <c r="K11" s="315">
        <f>-('Balance Sheet'!K6-'Balance Sheet'!J6)</f>
        <v>-872.75942326817858</v>
      </c>
      <c r="L11" s="315">
        <f>-('Balance Sheet'!L6-'Balance Sheet'!K6)</f>
        <v>-1056.6831495266561</v>
      </c>
      <c r="M11" s="315">
        <f>-('Balance Sheet'!M6-'Balance Sheet'!L6)</f>
        <v>-961.50173100558641</v>
      </c>
      <c r="N11" s="315">
        <f>-('Balance Sheet'!N6-'Balance Sheet'!M6)</f>
        <v>-967.38887081846951</v>
      </c>
      <c r="O11" s="315">
        <f>-('Balance Sheet'!O6-'Balance Sheet'!N6)</f>
        <v>-973.62923902012881</v>
      </c>
      <c r="P11" s="315">
        <f>-('Balance Sheet'!P6-'Balance Sheet'!O6)</f>
        <v>-980.24402931388795</v>
      </c>
      <c r="Q11" s="315">
        <f>-('Balance Sheet'!Q6-'Balance Sheet'!P6)</f>
        <v>-987.25570702526602</v>
      </c>
    </row>
    <row r="12" spans="2:17" s="19" customFormat="1" ht="12" x14ac:dyDescent="0.2">
      <c r="B12" s="31" t="s">
        <v>9</v>
      </c>
      <c r="C12" s="82"/>
      <c r="D12" s="219">
        <f>-('Balance Sheet'!D7-'Balance Sheet'!C7)</f>
        <v>-7082</v>
      </c>
      <c r="E12" s="219">
        <f>-('Balance Sheet'!E7-'Balance Sheet'!D7)</f>
        <v>-787</v>
      </c>
      <c r="F12" s="219">
        <f>-('Balance Sheet'!F7-'Balance Sheet'!E7)</f>
        <v>1609</v>
      </c>
      <c r="G12" s="219">
        <f>-('Balance Sheet'!G7-'Balance Sheet'!F7)</f>
        <v>-375</v>
      </c>
      <c r="H12" s="315">
        <f>-('Balance Sheet'!H7-'Balance Sheet'!G7)</f>
        <v>-4968.7774755519858</v>
      </c>
      <c r="I12" s="315">
        <f>-('Balance Sheet'!I7-'Balance Sheet'!H7)</f>
        <v>-2260.0436153290611</v>
      </c>
      <c r="J12" s="315">
        <f>-('Balance Sheet'!J7-'Balance Sheet'!I7)</f>
        <v>-2994.9646085947497</v>
      </c>
      <c r="K12" s="315">
        <f>-('Balance Sheet'!K7-'Balance Sheet'!J7)</f>
        <v>-3057.9642022513181</v>
      </c>
      <c r="L12" s="315">
        <f>-('Balance Sheet'!L7-'Balance Sheet'!K7)</f>
        <v>-3670.1867061835037</v>
      </c>
      <c r="M12" s="315">
        <f>-('Balance Sheet'!M7-'Balance Sheet'!L7)</f>
        <v>-3356.1292705870001</v>
      </c>
      <c r="N12" s="315">
        <f>-('Balance Sheet'!N7-'Balance Sheet'!M7)</f>
        <v>-3377.7897908954692</v>
      </c>
      <c r="O12" s="315">
        <f>-('Balance Sheet'!O7-'Balance Sheet'!N7)</f>
        <v>-3400.7499424224661</v>
      </c>
      <c r="P12" s="315">
        <f>-('Balance Sheet'!P7-'Balance Sheet'!O7)</f>
        <v>-3425.0877030410702</v>
      </c>
      <c r="Q12" s="315">
        <f>-('Balance Sheet'!Q7-'Balance Sheet'!P7)</f>
        <v>-3450.885729296795</v>
      </c>
    </row>
    <row r="13" spans="2:17" s="19" customFormat="1" ht="12" x14ac:dyDescent="0.2">
      <c r="B13" s="31" t="s">
        <v>19</v>
      </c>
      <c r="C13" s="82"/>
      <c r="D13" s="219">
        <f>('Balance Sheet'!D24-'Balance Sheet'!C24)</f>
        <v>5230</v>
      </c>
      <c r="E13" s="219">
        <f>('Balance Sheet'!E24-'Balance Sheet'!D24)</f>
        <v>-824</v>
      </c>
      <c r="F13" s="219">
        <f>('Balance Sheet'!F24-'Balance Sheet'!E24)</f>
        <v>-1957</v>
      </c>
      <c r="G13" s="219">
        <f>('Balance Sheet'!G24-'Balance Sheet'!F24)</f>
        <v>897</v>
      </c>
      <c r="H13" s="315">
        <f>'Balance Sheet'!H24-'Balance Sheet'!G24</f>
        <v>7610.8008945380352</v>
      </c>
      <c r="I13" s="315">
        <f>'Balance Sheet'!I24-'Balance Sheet'!H24</f>
        <v>2731.4321156747937</v>
      </c>
      <c r="J13" s="315">
        <f>'Balance Sheet'!J24-'Balance Sheet'!I24</f>
        <v>3619.6392236589709</v>
      </c>
      <c r="K13" s="315">
        <f>'Balance Sheet'!K24-'Balance Sheet'!J24</f>
        <v>3695.7789548663131</v>
      </c>
      <c r="L13" s="315">
        <f>'Balance Sheet'!L24-'Balance Sheet'!K24</f>
        <v>4435.6957413552809</v>
      </c>
      <c r="M13" s="315">
        <f>'Balance Sheet'!M24-'Balance Sheet'!L24</f>
        <v>4056.1337895697288</v>
      </c>
      <c r="N13" s="315">
        <f>'Balance Sheet'!N24-'Balance Sheet'!M24</f>
        <v>4082.3121519745619</v>
      </c>
      <c r="O13" s="315">
        <f>'Balance Sheet'!O24-'Balance Sheet'!N24</f>
        <v>4110.0612161236713</v>
      </c>
      <c r="P13" s="315">
        <f>'Balance Sheet'!P24-'Balance Sheet'!O24</f>
        <v>4139.4752241217648</v>
      </c>
      <c r="Q13" s="315">
        <f>'Balance Sheet'!Q24-'Balance Sheet'!P24</f>
        <v>4170.6540725996892</v>
      </c>
    </row>
    <row r="14" spans="2:17" s="19" customFormat="1" ht="12" x14ac:dyDescent="0.2">
      <c r="B14" s="30" t="s">
        <v>108</v>
      </c>
      <c r="C14" s="75"/>
      <c r="D14" s="330">
        <f>SUM(D11:D13)</f>
        <v>-2891</v>
      </c>
      <c r="E14" s="330">
        <f t="shared" ref="E14:Q14" si="3">SUM(E11:E13)</f>
        <v>-2167</v>
      </c>
      <c r="F14" s="330">
        <f t="shared" si="3"/>
        <v>-1258</v>
      </c>
      <c r="G14" s="331">
        <f t="shared" si="3"/>
        <v>364</v>
      </c>
      <c r="H14" s="332">
        <f t="shared" si="3"/>
        <v>2178.4655867912916</v>
      </c>
      <c r="I14" s="332">
        <f t="shared" si="3"/>
        <v>-170.74121951550023</v>
      </c>
      <c r="J14" s="332">
        <f t="shared" si="3"/>
        <v>-230.68673903278523</v>
      </c>
      <c r="K14" s="332">
        <f t="shared" si="3"/>
        <v>-234.94467065318349</v>
      </c>
      <c r="L14" s="332">
        <f>SUM(L11:L13)</f>
        <v>-291.17411435487884</v>
      </c>
      <c r="M14" s="332">
        <f t="shared" si="3"/>
        <v>-261.49721202285764</v>
      </c>
      <c r="N14" s="332">
        <f t="shared" si="3"/>
        <v>-262.86650973937685</v>
      </c>
      <c r="O14" s="332">
        <f t="shared" si="3"/>
        <v>-264.3179653189236</v>
      </c>
      <c r="P14" s="332">
        <f t="shared" si="3"/>
        <v>-265.85650823319338</v>
      </c>
      <c r="Q14" s="332">
        <f t="shared" si="3"/>
        <v>-267.48736372237181</v>
      </c>
    </row>
    <row r="15" spans="2:17" s="19" customFormat="1" ht="3.75" customHeight="1" x14ac:dyDescent="0.2">
      <c r="B15" s="32"/>
      <c r="C15" s="74"/>
      <c r="D15" s="219"/>
      <c r="E15" s="219"/>
      <c r="F15" s="219"/>
      <c r="G15" s="304"/>
      <c r="H15" s="315"/>
      <c r="I15" s="315"/>
      <c r="J15" s="315"/>
      <c r="K15" s="315"/>
      <c r="L15" s="315"/>
      <c r="M15" s="315"/>
      <c r="N15" s="315"/>
      <c r="O15" s="315"/>
      <c r="P15" s="315"/>
      <c r="Q15" s="315"/>
    </row>
    <row r="16" spans="2:17" s="19" customFormat="1" ht="12" x14ac:dyDescent="0.2">
      <c r="B16" s="34" t="s">
        <v>68</v>
      </c>
      <c r="C16" s="74"/>
      <c r="D16" s="326">
        <f>-'PP&amp;E'!D8</f>
        <v>-8411</v>
      </c>
      <c r="E16" s="326">
        <f>-'PP&amp;E'!E8</f>
        <v>-10844</v>
      </c>
      <c r="F16" s="326">
        <f>-'PP&amp;E'!F8</f>
        <v>-11479</v>
      </c>
      <c r="G16" s="310">
        <f>-'PP&amp;E'!G8</f>
        <v>-10955</v>
      </c>
      <c r="H16" s="315">
        <f>-'PP&amp;E'!H8</f>
        <v>-11380.04</v>
      </c>
      <c r="I16" s="315">
        <f>-'PP&amp;E'!I8</f>
        <v>-13109.806080000002</v>
      </c>
      <c r="J16" s="315">
        <f>-'PP&amp;E'!J8</f>
        <v>-14956.832092160003</v>
      </c>
      <c r="K16" s="315">
        <f>-'PP&amp;E'!K8</f>
        <v>-16902.234089144324</v>
      </c>
      <c r="L16" s="315">
        <f>-'PP&amp;E'!L8</f>
        <v>-18919.086090788212</v>
      </c>
      <c r="M16" s="315">
        <f>-'PP&amp;E'!M8</f>
        <v>-20970.92224235032</v>
      </c>
      <c r="N16" s="315">
        <f>-'PP&amp;E'!N8</f>
        <v>-23010.086693564008</v>
      </c>
      <c r="O16" s="315">
        <f>-'PP&amp;E'!O8</f>
        <v>-24975.93476369774</v>
      </c>
      <c r="P16" s="315">
        <f>-'PP&amp;E'!P8</f>
        <v>-26792.894120085377</v>
      </c>
      <c r="Q16" s="315">
        <f>-'PP&amp;E'!Q8</f>
        <v>-28368.401060899163</v>
      </c>
    </row>
    <row r="17" spans="2:18" s="19" customFormat="1" ht="12" x14ac:dyDescent="0.2">
      <c r="B17" s="34" t="s">
        <v>17</v>
      </c>
      <c r="C17" s="74"/>
      <c r="D17" s="219">
        <f>-('Balance Sheet'!D10-'Balance Sheet'!C10)-('Balance Sheet'!D13-'Balance Sheet'!C13)-('Balance Sheet'!D14-'Balance Sheet'!C14)-('Balance Sheet'!D16-'Balance Sheet'!C16)-('Balance Sheet'!D17-'Balance Sheet'!C17)-('Balance Sheet'!D18-'Balance Sheet'!C18)-('Balance Sheet'!D19-'Balance Sheet'!C19)-('Balance Sheet'!D20-'Balance Sheet'!C20)-('Balance Sheet'!D8-'Balance Sheet'!C8)</f>
        <v>-8745</v>
      </c>
      <c r="E17" s="219">
        <f>-('Balance Sheet'!E10-'Balance Sheet'!D10)-('Balance Sheet'!E13-'Balance Sheet'!D13)-('Balance Sheet'!E14-'Balance Sheet'!D14)-('Balance Sheet'!E16-'Balance Sheet'!D16)-('Balance Sheet'!E17-'Balance Sheet'!D17)-('Balance Sheet'!E18-'Balance Sheet'!D18)-('Balance Sheet'!E19-'Balance Sheet'!D19)-('Balance Sheet'!E20-'Balance Sheet'!D20)-('Balance Sheet'!E8-'Balance Sheet'!D8)</f>
        <v>-16615</v>
      </c>
      <c r="F17" s="219">
        <f>-('Balance Sheet'!F10-'Balance Sheet'!E10)-('Balance Sheet'!F13-'Balance Sheet'!E13)-('Balance Sheet'!F14-'Balance Sheet'!E14)-('Balance Sheet'!F16-'Balance Sheet'!E16)-('Balance Sheet'!F17-'Balance Sheet'!E17)-('Balance Sheet'!F18-'Balance Sheet'!E18)-('Balance Sheet'!F19-'Balance Sheet'!E19)-('Balance Sheet'!F20-'Balance Sheet'!E20)-('Balance Sheet'!F8-'Balance Sheet'!E8)</f>
        <v>-10299</v>
      </c>
      <c r="G17" s="219">
        <f>-('Balance Sheet'!G10-'Balance Sheet'!F10)-('Balance Sheet'!G13-'Balance Sheet'!F13)-('Balance Sheet'!G14-'Balance Sheet'!F14)-('Balance Sheet'!G16-'Balance Sheet'!F16)-('Balance Sheet'!G17-'Balance Sheet'!F17)-('Balance Sheet'!G18-'Balance Sheet'!F18)-('Balance Sheet'!G19-'Balance Sheet'!F19)-('Balance Sheet'!G20-'Balance Sheet'!F20)-('Balance Sheet'!G8-'Balance Sheet'!F8)</f>
        <v>-10022</v>
      </c>
      <c r="H17" s="315">
        <f>-('Balance Sheet'!H10-'Balance Sheet'!G10)-('Balance Sheet'!H13-'Balance Sheet'!G13)-('Balance Sheet'!H14-'Balance Sheet'!G14)-('Balance Sheet'!H16-'Balance Sheet'!G16)-('Balance Sheet'!H17-'Balance Sheet'!G17)-('Balance Sheet'!H18-'Balance Sheet'!G18)-('Balance Sheet'!H19-'Balance Sheet'!G19)-('Balance Sheet'!H20-'Balance Sheet'!G20)-('Balance Sheet'!H8-'Balance Sheet'!G8)</f>
        <v>-2068.5919643542275</v>
      </c>
      <c r="I17" s="315">
        <f>-('Balance Sheet'!I10-'Balance Sheet'!H10)-('Balance Sheet'!I13-'Balance Sheet'!H13)-('Balance Sheet'!I14-'Balance Sheet'!H14)-('Balance Sheet'!I16-'Balance Sheet'!H16)-('Balance Sheet'!I17-'Balance Sheet'!H17)-('Balance Sheet'!I18-'Balance Sheet'!H18)-('Balance Sheet'!I19-'Balance Sheet'!H19)-('Balance Sheet'!I20-'Balance Sheet'!H20)-('Balance Sheet'!I8-'Balance Sheet'!H8)</f>
        <v>-1876.6858019967021</v>
      </c>
      <c r="J17" s="315">
        <f>-('Balance Sheet'!J10-'Balance Sheet'!I10)-('Balance Sheet'!J13-'Balance Sheet'!I13)-('Balance Sheet'!J14-'Balance Sheet'!I14)-('Balance Sheet'!J16-'Balance Sheet'!I16)-('Balance Sheet'!J17-'Balance Sheet'!I17)-('Balance Sheet'!J18-'Balance Sheet'!I18)-('Balance Sheet'!J19-'Balance Sheet'!I19)-('Balance Sheet'!J20-'Balance Sheet'!I20)-('Balance Sheet'!J8-'Balance Sheet'!I8)</f>
        <v>-2499.8757403059117</v>
      </c>
      <c r="K17" s="315">
        <f>-('Balance Sheet'!K10-'Balance Sheet'!J10)-('Balance Sheet'!K13-'Balance Sheet'!J13)-('Balance Sheet'!K14-'Balance Sheet'!J14)-('Balance Sheet'!K16-'Balance Sheet'!J16)-('Balance Sheet'!K17-'Balance Sheet'!J17)-('Balance Sheet'!K18-'Balance Sheet'!J18)-('Balance Sheet'!K19-'Balance Sheet'!J19)-('Balance Sheet'!K20-'Balance Sheet'!J20)-('Balance Sheet'!K8-'Balance Sheet'!J8)</f>
        <v>-2550.7232690618621</v>
      </c>
      <c r="L17" s="315">
        <f>-('Balance Sheet'!L10-'Balance Sheet'!K10)-('Balance Sheet'!L13-'Balance Sheet'!K13)-('Balance Sheet'!L14-'Balance Sheet'!K14)-('Balance Sheet'!L16-'Balance Sheet'!K16)-('Balance Sheet'!L17-'Balance Sheet'!K17)-('Balance Sheet'!L18-'Balance Sheet'!K18)-('Balance Sheet'!L19-'Balance Sheet'!K19)-('Balance Sheet'!L20-'Balance Sheet'!K20)-('Balance Sheet'!L8-'Balance Sheet'!K8)</f>
        <v>-3088.2580304091571</v>
      </c>
      <c r="M17" s="315">
        <f>-('Balance Sheet'!M10-'Balance Sheet'!L10)-('Balance Sheet'!M13-'Balance Sheet'!L13)-('Balance Sheet'!M14-'Balance Sheet'!L14)-('Balance Sheet'!M16-'Balance Sheet'!L16)-('Balance Sheet'!M17-'Balance Sheet'!L17)-('Balance Sheet'!M18-'Balance Sheet'!L18)-('Balance Sheet'!M19-'Balance Sheet'!L19)-('Balance Sheet'!M20-'Balance Sheet'!L20)-('Balance Sheet'!M8-'Balance Sheet'!L8)</f>
        <v>-2810.0811897686108</v>
      </c>
      <c r="N17" s="315">
        <f>-('Balance Sheet'!N10-'Balance Sheet'!M10)-('Balance Sheet'!N13-'Balance Sheet'!M13)-('Balance Sheet'!N14-'Balance Sheet'!M14)-('Balance Sheet'!N16-'Balance Sheet'!M16)-('Balance Sheet'!N17-'Balance Sheet'!M17)-('Balance Sheet'!N18-'Balance Sheet'!M18)-('Balance Sheet'!N19-'Balance Sheet'!M19)-('Balance Sheet'!N20-'Balance Sheet'!M20)-('Balance Sheet'!N8-'Balance Sheet'!M8)</f>
        <v>-2827.2869215070441</v>
      </c>
      <c r="O17" s="315">
        <f>-('Balance Sheet'!O10-'Balance Sheet'!N10)-('Balance Sheet'!O13-'Balance Sheet'!N13)-('Balance Sheet'!O14-'Balance Sheet'!N14)-('Balance Sheet'!O16-'Balance Sheet'!N16)-('Balance Sheet'!O17-'Balance Sheet'!N17)-('Balance Sheet'!O18-'Balance Sheet'!N18)-('Balance Sheet'!O19-'Balance Sheet'!N19)-('Balance Sheet'!O20-'Balance Sheet'!N20)-('Balance Sheet'!O8-'Balance Sheet'!N8)</f>
        <v>-2845.5249971497906</v>
      </c>
      <c r="P17" s="315">
        <f>-('Balance Sheet'!P10-'Balance Sheet'!O10)-('Balance Sheet'!P13-'Balance Sheet'!O13)-('Balance Sheet'!P14-'Balance Sheet'!O14)-('Balance Sheet'!P16-'Balance Sheet'!O16)-('Balance Sheet'!P17-'Balance Sheet'!O17)-('Balance Sheet'!P18-'Balance Sheet'!O18)-('Balance Sheet'!P19-'Balance Sheet'!O19)-('Balance Sheet'!P20-'Balance Sheet'!O20)-('Balance Sheet'!P8-'Balance Sheet'!O8)</f>
        <v>-2864.8573573311023</v>
      </c>
      <c r="Q17" s="315">
        <f>-('Balance Sheet'!Q10-'Balance Sheet'!P10)-('Balance Sheet'!Q13-'Balance Sheet'!P13)-('Balance Sheet'!Q14-'Balance Sheet'!P14)-('Balance Sheet'!Q16-'Balance Sheet'!P16)-('Balance Sheet'!Q17-'Balance Sheet'!P17)-('Balance Sheet'!Q18-'Balance Sheet'!P18)-('Balance Sheet'!Q19-'Balance Sheet'!P19)-('Balance Sheet'!Q20-'Balance Sheet'!P20)-('Balance Sheet'!Q8-'Balance Sheet'!P8)</f>
        <v>-2885.3496591232779</v>
      </c>
    </row>
    <row r="18" spans="2:18" s="19" customFormat="1" ht="12" x14ac:dyDescent="0.2">
      <c r="B18" s="31" t="s">
        <v>115</v>
      </c>
      <c r="C18" s="74"/>
      <c r="D18" s="219">
        <f>('Balance Sheet'!D25-'Balance Sheet'!C25)+('Balance Sheet'!D28-'Balance Sheet'!C28)+('Balance Sheet'!D31-'Balance Sheet'!C31)+('Balance Sheet'!D35-'Balance Sheet'!C35)</f>
        <v>4397</v>
      </c>
      <c r="E18" s="219">
        <f>('Balance Sheet'!E25-'Balance Sheet'!D25)+('Balance Sheet'!E28-'Balance Sheet'!D28)+('Balance Sheet'!E31-'Balance Sheet'!D31)+('Balance Sheet'!E35-'Balance Sheet'!D35)</f>
        <v>5262</v>
      </c>
      <c r="F18" s="219">
        <f>('Balance Sheet'!F25-'Balance Sheet'!E25)+('Balance Sheet'!F28-'Balance Sheet'!E28)+('Balance Sheet'!F31-'Balance Sheet'!E31)+('Balance Sheet'!F35-'Balance Sheet'!E35)</f>
        <v>4355</v>
      </c>
      <c r="G18" s="219">
        <f>('Balance Sheet'!G25-'Balance Sheet'!F25)+('Balance Sheet'!G28-'Balance Sheet'!F28)+('Balance Sheet'!G31-'Balance Sheet'!F31)+('Balance Sheet'!G35-'Balance Sheet'!F35)</f>
        <v>5491</v>
      </c>
      <c r="H18" s="315">
        <f>('Balance Sheet'!H25-'Balance Sheet'!G25)+('Balance Sheet'!H28-'Balance Sheet'!G28)+('Balance Sheet'!H31-'Balance Sheet'!G31)+('Balance Sheet'!H35-'Balance Sheet'!G35)</f>
        <v>6421.8181179054018</v>
      </c>
      <c r="I18" s="315">
        <f>('Balance Sheet'!I25-'Balance Sheet'!H25)+('Balance Sheet'!I28-'Balance Sheet'!H28)+('Balance Sheet'!I31-'Balance Sheet'!H31)+('Balance Sheet'!I35-'Balance Sheet'!H35)</f>
        <v>5047.7631246957089</v>
      </c>
      <c r="J18" s="315">
        <f>('Balance Sheet'!J25-'Balance Sheet'!I25)+('Balance Sheet'!J28-'Balance Sheet'!I28)+('Balance Sheet'!J31-'Balance Sheet'!I31)+('Balance Sheet'!J35-'Balance Sheet'!I35)</f>
        <v>6723.9708238916719</v>
      </c>
      <c r="K18" s="315">
        <f>('Balance Sheet'!K25-'Balance Sheet'!J25)+('Balance Sheet'!K28-'Balance Sheet'!J28)+('Balance Sheet'!K31-'Balance Sheet'!J31)+('Balance Sheet'!K35-'Balance Sheet'!J35)</f>
        <v>6860.736541606967</v>
      </c>
      <c r="L18" s="315">
        <f>('Balance Sheet'!L25-'Balance Sheet'!K25)+('Balance Sheet'!L28-'Balance Sheet'!K28)+('Balance Sheet'!L31-'Balance Sheet'!K31)+('Balance Sheet'!L35-'Balance Sheet'!K35)</f>
        <v>8306.5556252724982</v>
      </c>
      <c r="M18" s="315">
        <f>('Balance Sheet'!M25-'Balance Sheet'!L25)+('Balance Sheet'!M28-'Balance Sheet'!L28)+('Balance Sheet'!M31-'Balance Sheet'!L31)+('Balance Sheet'!M35-'Balance Sheet'!L35)</f>
        <v>7558.3372517782664</v>
      </c>
      <c r="N18" s="315">
        <f>('Balance Sheet'!N25-'Balance Sheet'!M25)+('Balance Sheet'!N28-'Balance Sheet'!M28)+('Balance Sheet'!N31-'Balance Sheet'!M31)+('Balance Sheet'!N35-'Balance Sheet'!M35)</f>
        <v>7604.615887291061</v>
      </c>
      <c r="O18" s="315">
        <f>('Balance Sheet'!O25-'Balance Sheet'!N25)+('Balance Sheet'!O28-'Balance Sheet'!N28)+('Balance Sheet'!O31-'Balance Sheet'!N31)+('Balance Sheet'!O35-'Balance Sheet'!N35)</f>
        <v>7653.6712409346765</v>
      </c>
      <c r="P18" s="315">
        <f>('Balance Sheet'!P25-'Balance Sheet'!O25)+('Balance Sheet'!P28-'Balance Sheet'!O28)+('Balance Sheet'!P31-'Balance Sheet'!O31)+('Balance Sheet'!P35-'Balance Sheet'!O35)</f>
        <v>7705.6699157968796</v>
      </c>
      <c r="Q18" s="315">
        <f>('Balance Sheet'!Q25-'Balance Sheet'!P25)+('Balance Sheet'!Q28-'Balance Sheet'!P28)+('Balance Sheet'!Q31-'Balance Sheet'!P31)+('Balance Sheet'!Q35-'Balance Sheet'!P35)</f>
        <v>7760.7885111507967</v>
      </c>
    </row>
    <row r="19" spans="2:18" s="19" customFormat="1" ht="3.75" customHeight="1" x14ac:dyDescent="0.2">
      <c r="B19" s="31"/>
      <c r="C19" s="74"/>
      <c r="D19" s="333"/>
      <c r="E19" s="333"/>
      <c r="F19" s="333"/>
      <c r="G19" s="285"/>
      <c r="H19" s="334"/>
      <c r="I19" s="334"/>
      <c r="J19" s="334"/>
      <c r="K19" s="334"/>
      <c r="L19" s="334"/>
      <c r="M19" s="334"/>
      <c r="N19" s="334"/>
      <c r="O19" s="334"/>
      <c r="P19" s="334"/>
      <c r="Q19" s="334"/>
    </row>
    <row r="20" spans="2:18" s="19" customFormat="1" thickBot="1" x14ac:dyDescent="0.25">
      <c r="B20" s="33" t="s">
        <v>109</v>
      </c>
      <c r="C20" s="76"/>
      <c r="D20" s="335">
        <f>D9+D14+D17+D18+D16</f>
        <v>621</v>
      </c>
      <c r="E20" s="335">
        <f>E9+E14+E17+E18+E16</f>
        <v>-5805</v>
      </c>
      <c r="F20" s="336">
        <f>F9+F14+F17+F18+F16</f>
        <v>-8074</v>
      </c>
      <c r="G20" s="337">
        <f t="shared" ref="G20:K20" si="4">G9+G14+G17+G18+G16</f>
        <v>-6042</v>
      </c>
      <c r="H20" s="337">
        <f>H9+H14+H17+H18+H16</f>
        <v>4254.1292830990897</v>
      </c>
      <c r="I20" s="337">
        <f>I9+I14+I17+I18+I16</f>
        <v>574.39341836670792</v>
      </c>
      <c r="J20" s="337">
        <f t="shared" si="4"/>
        <v>1649.8545135098539</v>
      </c>
      <c r="K20" s="337">
        <f t="shared" si="4"/>
        <v>1909.0576736040712</v>
      </c>
      <c r="L20" s="337">
        <f t="shared" ref="L20:Q20" si="5">L9+L14+L17+L18+L16</f>
        <v>3312.1849243660217</v>
      </c>
      <c r="M20" s="337">
        <f t="shared" si="5"/>
        <v>3454.1012807313564</v>
      </c>
      <c r="N20" s="337">
        <f t="shared" si="5"/>
        <v>4278.71334620579</v>
      </c>
      <c r="O20" s="337">
        <f t="shared" si="5"/>
        <v>5372.8105028205209</v>
      </c>
      <c r="P20" s="337">
        <f t="shared" si="5"/>
        <v>6797.0512460498103</v>
      </c>
      <c r="Q20" s="337">
        <f t="shared" si="5"/>
        <v>8619.8275723977749</v>
      </c>
    </row>
    <row r="21" spans="2:18" s="19" customFormat="1" ht="3.75" customHeight="1" x14ac:dyDescent="0.2">
      <c r="B21" s="31"/>
      <c r="C21" s="78"/>
      <c r="D21" s="333"/>
      <c r="E21" s="333"/>
      <c r="F21" s="333"/>
      <c r="G21" s="285"/>
      <c r="H21" s="334"/>
      <c r="I21" s="334"/>
      <c r="J21" s="334"/>
      <c r="K21" s="334"/>
      <c r="L21" s="334"/>
      <c r="M21" s="334"/>
      <c r="N21" s="334"/>
      <c r="O21" s="334"/>
      <c r="P21" s="334"/>
      <c r="Q21" s="334"/>
    </row>
    <row r="22" spans="2:18" s="19" customFormat="1" ht="12" x14ac:dyDescent="0.2">
      <c r="B22" s="31" t="s">
        <v>110</v>
      </c>
      <c r="C22" s="78"/>
      <c r="D22" s="326">
        <f>'P&amp;L'!D10</f>
        <v>63</v>
      </c>
      <c r="E22" s="326">
        <f>'P&amp;L'!E10</f>
        <v>1082</v>
      </c>
      <c r="F22" s="326">
        <f>'P&amp;L'!F10</f>
        <v>1914</v>
      </c>
      <c r="G22" s="310">
        <f>'P&amp;L'!G10</f>
        <v>923</v>
      </c>
      <c r="H22" s="315">
        <f>'P&amp;L'!H10</f>
        <v>-367.11200000000002</v>
      </c>
      <c r="I22" s="315">
        <f>'P&amp;L'!I10</f>
        <v>-367.11200000000002</v>
      </c>
      <c r="J22" s="315">
        <f>'P&amp;L'!J10</f>
        <v>-367.11200000000002</v>
      </c>
      <c r="K22" s="315">
        <f>'P&amp;L'!K10</f>
        <v>-367.11200000000002</v>
      </c>
      <c r="L22" s="315">
        <f>'P&amp;L'!L10</f>
        <v>-367.11200000000002</v>
      </c>
      <c r="M22" s="315">
        <f>'P&amp;L'!M10</f>
        <v>-367.11200000000002</v>
      </c>
      <c r="N22" s="315">
        <f>'P&amp;L'!N10</f>
        <v>-367.11200000000002</v>
      </c>
      <c r="O22" s="315">
        <f>'P&amp;L'!O10</f>
        <v>-367.11200000000002</v>
      </c>
      <c r="P22" s="315">
        <f>'P&amp;L'!P10</f>
        <v>-367.11200000000002</v>
      </c>
      <c r="Q22" s="315">
        <f>'P&amp;L'!Q10</f>
        <v>-367.11200000000002</v>
      </c>
    </row>
    <row r="23" spans="2:18" s="19" customFormat="1" ht="12" x14ac:dyDescent="0.2">
      <c r="B23" s="31" t="s">
        <v>111</v>
      </c>
      <c r="C23" s="78"/>
      <c r="D23" s="219">
        <f>'Balance Sheet'!D34-'Balance Sheet'!C34</f>
        <v>-3735</v>
      </c>
      <c r="E23" s="219">
        <f>'Balance Sheet'!E34-'Balance Sheet'!D34</f>
        <v>2131</v>
      </c>
      <c r="F23" s="219">
        <f>'Balance Sheet'!F34-'Balance Sheet'!E34</f>
        <v>2983</v>
      </c>
      <c r="G23" s="304">
        <f>'Balance Sheet'!G34-'Balance Sheet'!F34</f>
        <v>163</v>
      </c>
      <c r="H23" s="315">
        <f>'Balance Sheet'!H34-'Balance Sheet'!G34</f>
        <v>0</v>
      </c>
      <c r="I23" s="315">
        <f>'Balance Sheet'!I34-'Balance Sheet'!H34</f>
        <v>0</v>
      </c>
      <c r="J23" s="315">
        <f>'Balance Sheet'!J34-'Balance Sheet'!I34</f>
        <v>0</v>
      </c>
      <c r="K23" s="315">
        <f>'Balance Sheet'!K34-'Balance Sheet'!J34</f>
        <v>0</v>
      </c>
      <c r="L23" s="315">
        <f>'Balance Sheet'!L34-'Balance Sheet'!K34</f>
        <v>0</v>
      </c>
      <c r="M23" s="315">
        <f>'Balance Sheet'!M34-'Balance Sheet'!L34</f>
        <v>0</v>
      </c>
      <c r="N23" s="315">
        <f>'Balance Sheet'!N34-'Balance Sheet'!M34</f>
        <v>0</v>
      </c>
      <c r="O23" s="315">
        <f>'Balance Sheet'!O34-'Balance Sheet'!N34</f>
        <v>0</v>
      </c>
      <c r="P23" s="315">
        <f>'Balance Sheet'!P34-'Balance Sheet'!O34</f>
        <v>0</v>
      </c>
      <c r="Q23" s="315">
        <f>'Balance Sheet'!Q34-'Balance Sheet'!P34</f>
        <v>0</v>
      </c>
    </row>
    <row r="24" spans="2:18" s="19" customFormat="1" ht="12" x14ac:dyDescent="0.2">
      <c r="B24" s="31" t="s">
        <v>116</v>
      </c>
      <c r="C24" s="78"/>
      <c r="D24" s="219">
        <f>'Balance Sheet'!D40-'Balance Sheet'!C40-'P&amp;L'!D14</f>
        <v>1918</v>
      </c>
      <c r="E24" s="219">
        <f>'Balance Sheet'!E40-'Balance Sheet'!D40-'P&amp;L'!E14</f>
        <v>2881</v>
      </c>
      <c r="F24" s="219">
        <f>'Balance Sheet'!F40-'Balance Sheet'!E40-'P&amp;L'!F14</f>
        <v>3159</v>
      </c>
      <c r="G24" s="304">
        <f>'Balance Sheet'!G40-'Balance Sheet'!F40-'P&amp;L'!G14</f>
        <v>5396</v>
      </c>
      <c r="H24" s="338">
        <f>'Balance Sheet'!H40-'Balance Sheet'!G40-'P&amp;L'!H14</f>
        <v>-7.2759576141834259E-12</v>
      </c>
      <c r="I24" s="315">
        <f>'Balance Sheet'!I40-'Balance Sheet'!H40-'P&amp;L'!I14</f>
        <v>-4.5474735088646412E-12</v>
      </c>
      <c r="J24" s="315">
        <f>'Balance Sheet'!J40-'Balance Sheet'!I40-'P&amp;L'!J14</f>
        <v>0</v>
      </c>
      <c r="K24" s="315">
        <f>'Balance Sheet'!K40-'Balance Sheet'!J40-'P&amp;L'!K14</f>
        <v>0</v>
      </c>
      <c r="L24" s="315">
        <f>'Balance Sheet'!L40-'Balance Sheet'!K40-'P&amp;L'!L14</f>
        <v>0</v>
      </c>
      <c r="M24" s="315">
        <f>'Balance Sheet'!M40-'Balance Sheet'!L40-'P&amp;L'!M14</f>
        <v>-7.2759576141834259E-12</v>
      </c>
      <c r="N24" s="315">
        <f>'Balance Sheet'!N40-'Balance Sheet'!M40-'P&amp;L'!N14</f>
        <v>0</v>
      </c>
      <c r="O24" s="315">
        <f>'Balance Sheet'!O40-'Balance Sheet'!N40-'P&amp;L'!O14</f>
        <v>0</v>
      </c>
      <c r="P24" s="315">
        <f>'Balance Sheet'!P40-'Balance Sheet'!O40-'P&amp;L'!P14</f>
        <v>0</v>
      </c>
      <c r="Q24" s="315">
        <f>'Balance Sheet'!Q40-'Balance Sheet'!P40-'P&amp;L'!Q14</f>
        <v>-1.3642420526593924E-11</v>
      </c>
    </row>
    <row r="25" spans="2:18" s="19" customFormat="1" ht="12" x14ac:dyDescent="0.2">
      <c r="B25" s="31" t="s">
        <v>119</v>
      </c>
      <c r="C25" s="78"/>
      <c r="D25" s="219">
        <f>'P&amp;L'!D12-D6</f>
        <v>0</v>
      </c>
      <c r="E25" s="219">
        <f>'P&amp;L'!E12-E6</f>
        <v>0</v>
      </c>
      <c r="F25" s="219">
        <f>'P&amp;L'!F12-F6</f>
        <v>0</v>
      </c>
      <c r="G25" s="304">
        <f>'P&amp;L'!G12-G6</f>
        <v>0</v>
      </c>
      <c r="H25" s="315">
        <f>'P&amp;L'!H12-H6</f>
        <v>77.093520000000126</v>
      </c>
      <c r="I25" s="315">
        <f>'P&amp;L'!I12-I6</f>
        <v>77.093519999999899</v>
      </c>
      <c r="J25" s="315">
        <f>'P&amp;L'!J12-J6</f>
        <v>77.093519999999899</v>
      </c>
      <c r="K25" s="315">
        <f>'P&amp;L'!K12-K6</f>
        <v>77.093520000000126</v>
      </c>
      <c r="L25" s="315">
        <f>'P&amp;L'!L12-L6</f>
        <v>77.093519999999899</v>
      </c>
      <c r="M25" s="315">
        <f>'P&amp;L'!M12-M6</f>
        <v>77.093520000000126</v>
      </c>
      <c r="N25" s="315">
        <f>'P&amp;L'!N12-N6</f>
        <v>77.093519999999671</v>
      </c>
      <c r="O25" s="315">
        <f>'P&amp;L'!O12-O6</f>
        <v>77.093519999999899</v>
      </c>
      <c r="P25" s="315">
        <f>'P&amp;L'!P12-P6</f>
        <v>77.093519999999899</v>
      </c>
      <c r="Q25" s="315">
        <f>'P&amp;L'!Q12-Q6</f>
        <v>77.093519999999899</v>
      </c>
    </row>
    <row r="26" spans="2:18" s="19" customFormat="1" ht="12" x14ac:dyDescent="0.2">
      <c r="B26" s="140" t="s">
        <v>285</v>
      </c>
      <c r="C26" s="78"/>
      <c r="D26" s="219">
        <f>'Balance Sheet'!D39-'Balance Sheet'!C39</f>
        <v>-159</v>
      </c>
      <c r="E26" s="219">
        <f>'Balance Sheet'!E39-'Balance Sheet'!D39</f>
        <v>-167</v>
      </c>
      <c r="F26" s="219">
        <f>'Balance Sheet'!F39-'Balance Sheet'!E39</f>
        <v>-179</v>
      </c>
      <c r="G26" s="219">
        <f>'Balance Sheet'!G39-'Balance Sheet'!F39</f>
        <v>-5</v>
      </c>
      <c r="H26" s="315">
        <f>'Balance Sheet'!H39-'Balance Sheet'!G39</f>
        <v>0</v>
      </c>
      <c r="I26" s="315">
        <f>'Balance Sheet'!I39-'Balance Sheet'!H39</f>
        <v>0</v>
      </c>
      <c r="J26" s="315">
        <f>'Balance Sheet'!J39-'Balance Sheet'!I39</f>
        <v>0</v>
      </c>
      <c r="K26" s="315">
        <f>'Balance Sheet'!K39-'Balance Sheet'!J39</f>
        <v>0</v>
      </c>
      <c r="L26" s="315">
        <f>'Balance Sheet'!L39-'Balance Sheet'!K39</f>
        <v>0</v>
      </c>
      <c r="M26" s="315">
        <f>'Balance Sheet'!M39-'Balance Sheet'!L39</f>
        <v>0</v>
      </c>
      <c r="N26" s="315">
        <f>'Balance Sheet'!N39-'Balance Sheet'!M39</f>
        <v>0</v>
      </c>
      <c r="O26" s="315">
        <f>'Balance Sheet'!O39-'Balance Sheet'!N39</f>
        <v>0</v>
      </c>
      <c r="P26" s="315">
        <f>'Balance Sheet'!P39-'Balance Sheet'!O39</f>
        <v>0</v>
      </c>
      <c r="Q26" s="315">
        <f>'Balance Sheet'!Q39-'Balance Sheet'!P39</f>
        <v>0</v>
      </c>
    </row>
    <row r="27" spans="2:18" s="19" customFormat="1" ht="12" x14ac:dyDescent="0.2">
      <c r="B27" s="31" t="s">
        <v>197</v>
      </c>
      <c r="C27" s="78"/>
      <c r="D27" s="326">
        <f>'P&amp;L'!D13</f>
        <v>-31</v>
      </c>
      <c r="E27" s="326">
        <f>'P&amp;L'!E13</f>
        <v>23</v>
      </c>
      <c r="F27" s="326">
        <f>'P&amp;L'!F13</f>
        <v>-62</v>
      </c>
      <c r="G27" s="326">
        <f>'P&amp;L'!G13</f>
        <v>-61</v>
      </c>
      <c r="H27" s="315">
        <f>'P&amp;L'!H13</f>
        <v>0</v>
      </c>
      <c r="I27" s="315">
        <f>'P&amp;L'!I13</f>
        <v>0</v>
      </c>
      <c r="J27" s="315">
        <f>'P&amp;L'!J13</f>
        <v>0</v>
      </c>
      <c r="K27" s="315">
        <f>'P&amp;L'!K13</f>
        <v>0</v>
      </c>
      <c r="L27" s="315">
        <f>'P&amp;L'!L13</f>
        <v>0</v>
      </c>
      <c r="M27" s="315">
        <f>'P&amp;L'!M13</f>
        <v>0</v>
      </c>
      <c r="N27" s="315">
        <f>'P&amp;L'!N13</f>
        <v>0</v>
      </c>
      <c r="O27" s="315">
        <f>'P&amp;L'!O13</f>
        <v>0</v>
      </c>
      <c r="P27" s="315">
        <f>'P&amp;L'!P13</f>
        <v>0</v>
      </c>
      <c r="Q27" s="315">
        <f>'P&amp;L'!Q13</f>
        <v>0</v>
      </c>
    </row>
    <row r="28" spans="2:18" s="19" customFormat="1" ht="3.75" customHeight="1" x14ac:dyDescent="0.2">
      <c r="B28" s="31"/>
      <c r="C28" s="78"/>
      <c r="D28" s="333"/>
      <c r="E28" s="333"/>
      <c r="F28" s="333"/>
      <c r="G28" s="285"/>
      <c r="H28" s="334"/>
      <c r="I28" s="334"/>
      <c r="J28" s="334"/>
      <c r="K28" s="334"/>
      <c r="L28" s="334"/>
      <c r="M28" s="334"/>
      <c r="N28" s="334"/>
      <c r="O28" s="334"/>
      <c r="P28" s="334"/>
      <c r="Q28" s="334"/>
    </row>
    <row r="29" spans="2:18" s="19" customFormat="1" thickBot="1" x14ac:dyDescent="0.25">
      <c r="B29" s="33" t="s">
        <v>112</v>
      </c>
      <c r="C29" s="77"/>
      <c r="D29" s="335">
        <f t="shared" ref="D29:Q29" si="6">SUM(D20:D28)</f>
        <v>-1323</v>
      </c>
      <c r="E29" s="335">
        <f t="shared" si="6"/>
        <v>145</v>
      </c>
      <c r="F29" s="335">
        <f t="shared" si="6"/>
        <v>-259</v>
      </c>
      <c r="G29" s="337">
        <f t="shared" si="6"/>
        <v>374</v>
      </c>
      <c r="H29" s="337">
        <f t="shared" si="6"/>
        <v>3964.1108030990827</v>
      </c>
      <c r="I29" s="337">
        <f t="shared" si="6"/>
        <v>284.37493836670325</v>
      </c>
      <c r="J29" s="337">
        <f t="shared" si="6"/>
        <v>1359.8360335098537</v>
      </c>
      <c r="K29" s="337">
        <f t="shared" si="6"/>
        <v>1619.0391936040712</v>
      </c>
      <c r="L29" s="337">
        <f t="shared" si="6"/>
        <v>3022.1664443660216</v>
      </c>
      <c r="M29" s="337">
        <f t="shared" si="6"/>
        <v>3164.0828007313494</v>
      </c>
      <c r="N29" s="337">
        <f t="shared" si="6"/>
        <v>3988.6948662057894</v>
      </c>
      <c r="O29" s="337">
        <f t="shared" si="6"/>
        <v>5082.7920228205203</v>
      </c>
      <c r="P29" s="337">
        <f t="shared" si="6"/>
        <v>6507.0327660498097</v>
      </c>
      <c r="Q29" s="337">
        <f t="shared" si="6"/>
        <v>8329.8090923977634</v>
      </c>
    </row>
    <row r="30" spans="2:18" x14ac:dyDescent="0.2"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1"/>
      <c r="R30" s="19"/>
    </row>
    <row r="31" spans="2:18" x14ac:dyDescent="0.2">
      <c r="B31" s="28" t="s">
        <v>113</v>
      </c>
      <c r="C31" s="28"/>
      <c r="D31" s="339">
        <f>C33</f>
        <v>17576</v>
      </c>
      <c r="E31" s="339">
        <f t="shared" ref="E31:Q31" si="7">D33</f>
        <v>16253</v>
      </c>
      <c r="F31" s="339">
        <f t="shared" si="7"/>
        <v>16398</v>
      </c>
      <c r="G31" s="339">
        <f t="shared" si="7"/>
        <v>16139</v>
      </c>
      <c r="H31" s="339">
        <f>G33</f>
        <v>16513</v>
      </c>
      <c r="I31" s="339">
        <f t="shared" si="7"/>
        <v>20477.110803099084</v>
      </c>
      <c r="J31" s="339">
        <f t="shared" si="7"/>
        <v>20761.485741465785</v>
      </c>
      <c r="K31" s="339">
        <f t="shared" si="7"/>
        <v>22121.32177497564</v>
      </c>
      <c r="L31" s="339">
        <f t="shared" si="7"/>
        <v>23740.360968579713</v>
      </c>
      <c r="M31" s="339">
        <f t="shared" si="7"/>
        <v>26762.527412945736</v>
      </c>
      <c r="N31" s="339">
        <f t="shared" si="7"/>
        <v>29926.610213677086</v>
      </c>
      <c r="O31" s="339">
        <f t="shared" si="7"/>
        <v>33915.305079882877</v>
      </c>
      <c r="P31" s="339">
        <f t="shared" si="7"/>
        <v>38998.097102703396</v>
      </c>
      <c r="Q31" s="339">
        <f t="shared" si="7"/>
        <v>45505.129868753203</v>
      </c>
      <c r="R31" s="19"/>
    </row>
    <row r="32" spans="2:18" x14ac:dyDescent="0.2">
      <c r="B32" s="28" t="s">
        <v>112</v>
      </c>
      <c r="C32" s="28">
        <f t="shared" ref="C32:I32" si="8">C29</f>
        <v>0</v>
      </c>
      <c r="D32" s="339">
        <f>D29</f>
        <v>-1323</v>
      </c>
      <c r="E32" s="339">
        <f t="shared" si="8"/>
        <v>145</v>
      </c>
      <c r="F32" s="339">
        <f>F29</f>
        <v>-259</v>
      </c>
      <c r="G32" s="339">
        <f t="shared" si="8"/>
        <v>374</v>
      </c>
      <c r="H32" s="339">
        <f t="shared" si="8"/>
        <v>3964.1108030990827</v>
      </c>
      <c r="I32" s="339">
        <f t="shared" si="8"/>
        <v>284.37493836670325</v>
      </c>
      <c r="J32" s="339">
        <f t="shared" ref="J32:Q32" si="9">J29</f>
        <v>1359.8360335098537</v>
      </c>
      <c r="K32" s="339">
        <f t="shared" si="9"/>
        <v>1619.0391936040712</v>
      </c>
      <c r="L32" s="339">
        <f t="shared" si="9"/>
        <v>3022.1664443660216</v>
      </c>
      <c r="M32" s="339">
        <f t="shared" si="9"/>
        <v>3164.0828007313494</v>
      </c>
      <c r="N32" s="339">
        <f t="shared" si="9"/>
        <v>3988.6948662057894</v>
      </c>
      <c r="O32" s="339">
        <f t="shared" si="9"/>
        <v>5082.7920228205203</v>
      </c>
      <c r="P32" s="339">
        <f t="shared" si="9"/>
        <v>6507.0327660498097</v>
      </c>
      <c r="Q32" s="339">
        <f t="shared" si="9"/>
        <v>8329.8090923977634</v>
      </c>
      <c r="R32" s="19"/>
    </row>
    <row r="33" spans="2:17" x14ac:dyDescent="0.2">
      <c r="B33" s="28" t="s">
        <v>114</v>
      </c>
      <c r="C33" s="28">
        <f>'Balance Sheet'!C5</f>
        <v>17576</v>
      </c>
      <c r="D33" s="339">
        <f>D31+D32</f>
        <v>16253</v>
      </c>
      <c r="E33" s="339">
        <f t="shared" ref="E33:L33" si="10">E31+E32</f>
        <v>16398</v>
      </c>
      <c r="F33" s="339">
        <f t="shared" si="10"/>
        <v>16139</v>
      </c>
      <c r="G33" s="339">
        <f t="shared" si="10"/>
        <v>16513</v>
      </c>
      <c r="H33" s="339">
        <f t="shared" si="10"/>
        <v>20477.110803099084</v>
      </c>
      <c r="I33" s="339">
        <f t="shared" si="10"/>
        <v>20761.485741465785</v>
      </c>
      <c r="J33" s="339">
        <f t="shared" si="10"/>
        <v>22121.32177497564</v>
      </c>
      <c r="K33" s="339">
        <f t="shared" si="10"/>
        <v>23740.360968579713</v>
      </c>
      <c r="L33" s="339">
        <f t="shared" si="10"/>
        <v>26762.527412945736</v>
      </c>
      <c r="M33" s="339">
        <f>M31+M32</f>
        <v>29926.610213677086</v>
      </c>
      <c r="N33" s="339">
        <f>N31+N32</f>
        <v>33915.305079882877</v>
      </c>
      <c r="O33" s="339">
        <f>O31+O32</f>
        <v>38998.097102703396</v>
      </c>
      <c r="P33" s="339">
        <f>P31+P32</f>
        <v>45505.129868753203</v>
      </c>
      <c r="Q33" s="339">
        <f>Q31+Q32</f>
        <v>53834.938961150969</v>
      </c>
    </row>
    <row r="34" spans="2:17" x14ac:dyDescent="0.2">
      <c r="B34" s="28"/>
      <c r="C34" s="28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</row>
    <row r="35" spans="2:17" outlineLevel="1" x14ac:dyDescent="0.2">
      <c r="B35" s="88" t="s">
        <v>96</v>
      </c>
      <c r="C35" s="340">
        <f>'Balance Sheet'!C5-C33</f>
        <v>0</v>
      </c>
      <c r="D35" s="341">
        <f>'Balance Sheet'!D5-D33</f>
        <v>0</v>
      </c>
      <c r="E35" s="341">
        <f>'Balance Sheet'!E5-E33</f>
        <v>0</v>
      </c>
      <c r="F35" s="341">
        <f>'Balance Sheet'!F5-F33</f>
        <v>0</v>
      </c>
      <c r="G35" s="341">
        <f>'Balance Sheet'!G5-G33</f>
        <v>0</v>
      </c>
      <c r="H35" s="341">
        <f>'Balance Sheet'!H5-H33</f>
        <v>0</v>
      </c>
      <c r="I35" s="341">
        <f>'Balance Sheet'!I5-I33</f>
        <v>0</v>
      </c>
      <c r="J35" s="341">
        <f>'Balance Sheet'!J5-J33</f>
        <v>0</v>
      </c>
      <c r="K35" s="341">
        <f>'Balance Sheet'!K5-K33</f>
        <v>0</v>
      </c>
      <c r="L35" s="341">
        <f>'Balance Sheet'!L5-L33</f>
        <v>0</v>
      </c>
      <c r="M35" s="341">
        <f>'Balance Sheet'!M5-M33</f>
        <v>0</v>
      </c>
      <c r="N35" s="341">
        <f>'Balance Sheet'!N5-N33</f>
        <v>0</v>
      </c>
      <c r="O35" s="341">
        <f>'Balance Sheet'!O5-O33</f>
        <v>0</v>
      </c>
      <c r="P35" s="341">
        <f>'Balance Sheet'!P5-P33</f>
        <v>0</v>
      </c>
      <c r="Q35" s="341">
        <f>'Balance Sheet'!Q5-Q33</f>
        <v>0</v>
      </c>
    </row>
    <row r="39" spans="2:17" x14ac:dyDescent="0.2">
      <c r="B39" s="7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4E92-8B8A-4829-A05E-EE145067B843}">
  <dimension ref="B3:R65"/>
  <sheetViews>
    <sheetView showGridLines="0" topLeftCell="A26" zoomScale="85" zoomScaleNormal="85" workbookViewId="0">
      <selection activeCell="T38" sqref="T38"/>
    </sheetView>
  </sheetViews>
  <sheetFormatPr defaultRowHeight="12.75" x14ac:dyDescent="0.2"/>
  <cols>
    <col min="1" max="1" width="1.85546875" customWidth="1"/>
    <col min="2" max="2" width="36.140625" customWidth="1"/>
    <col min="3" max="3" width="10.28515625" customWidth="1"/>
    <col min="4" max="4" width="10.5703125" customWidth="1"/>
    <col min="5" max="5" width="12.140625" customWidth="1"/>
    <col min="6" max="6" width="13.7109375" customWidth="1"/>
    <col min="7" max="7" width="12.7109375" customWidth="1"/>
    <col min="8" max="9" width="10.5703125" bestFit="1" customWidth="1"/>
    <col min="10" max="17" width="11.5703125" bestFit="1" customWidth="1"/>
  </cols>
  <sheetData>
    <row r="3" spans="2:18" ht="23.25" customHeight="1" x14ac:dyDescent="0.2">
      <c r="B3" s="365" t="s">
        <v>356</v>
      </c>
      <c r="C3" s="146"/>
      <c r="D3" s="146"/>
      <c r="E3" s="146"/>
      <c r="F3" s="146"/>
      <c r="G3" s="12"/>
      <c r="H3" s="12"/>
      <c r="I3" s="12"/>
      <c r="J3" s="12"/>
      <c r="K3" s="12"/>
      <c r="L3" s="12"/>
      <c r="M3" s="12"/>
      <c r="N3" s="12"/>
    </row>
    <row r="4" spans="2:18" x14ac:dyDescent="0.2">
      <c r="B4" s="157"/>
      <c r="C4" s="157"/>
      <c r="D4" s="157"/>
      <c r="E4" s="157"/>
      <c r="F4" s="158"/>
      <c r="G4" s="158"/>
      <c r="H4" s="158"/>
      <c r="I4" s="158"/>
      <c r="J4" s="158"/>
      <c r="K4" s="158"/>
      <c r="L4" s="158"/>
      <c r="M4" s="158"/>
      <c r="N4" s="158"/>
    </row>
    <row r="5" spans="2:18" ht="24" x14ac:dyDescent="0.2">
      <c r="B5" s="352" t="s">
        <v>349</v>
      </c>
      <c r="C5" s="6" t="s">
        <v>241</v>
      </c>
      <c r="D5" s="6" t="s">
        <v>242</v>
      </c>
      <c r="E5" s="6" t="s">
        <v>243</v>
      </c>
      <c r="F5" s="6" t="s">
        <v>244</v>
      </c>
      <c r="G5" s="6" t="s">
        <v>245</v>
      </c>
      <c r="H5" s="158"/>
      <c r="I5" s="158"/>
      <c r="J5" s="158"/>
      <c r="K5" s="158"/>
      <c r="L5" s="158"/>
      <c r="M5" s="158"/>
      <c r="N5" s="158"/>
      <c r="O5" s="158"/>
      <c r="P5" s="158"/>
      <c r="Q5" s="158"/>
    </row>
    <row r="6" spans="2:18" x14ac:dyDescent="0.2">
      <c r="B6" s="157"/>
      <c r="C6" s="157"/>
      <c r="D6" s="157"/>
      <c r="E6" s="157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</row>
    <row r="7" spans="2:18" ht="15" customHeight="1" x14ac:dyDescent="0.2">
      <c r="B7" s="7" t="s">
        <v>92</v>
      </c>
      <c r="C7" s="159">
        <f>'Balance Sheet'!C34</f>
        <v>6834</v>
      </c>
      <c r="D7" s="159">
        <f>'Balance Sheet'!D34</f>
        <v>3099</v>
      </c>
      <c r="E7" s="159">
        <f>'Balance Sheet'!E34</f>
        <v>5230</v>
      </c>
      <c r="F7" s="159">
        <f>'Balance Sheet'!F34</f>
        <v>8213</v>
      </c>
      <c r="G7" s="159">
        <f>'Balance Sheet'!G34</f>
        <v>8376</v>
      </c>
      <c r="H7" s="158"/>
      <c r="I7" s="158"/>
      <c r="J7" s="158"/>
      <c r="K7" s="158"/>
      <c r="L7" s="158"/>
      <c r="M7" s="158"/>
      <c r="N7" s="158"/>
      <c r="O7" s="158"/>
      <c r="P7" s="158"/>
      <c r="Q7" s="158"/>
    </row>
    <row r="8" spans="2:18" ht="15" customHeight="1" x14ac:dyDescent="0.2">
      <c r="B8" s="11" t="s">
        <v>95</v>
      </c>
      <c r="C8" s="159">
        <f>'Balance Sheet'!C40</f>
        <v>31015</v>
      </c>
      <c r="D8" s="159">
        <f>'Balance Sheet'!D40</f>
        <v>45489</v>
      </c>
      <c r="E8" s="159">
        <f>'Balance Sheet'!E40</f>
        <v>63367</v>
      </c>
      <c r="F8" s="159">
        <f>'Balance Sheet'!F40</f>
        <v>73617</v>
      </c>
      <c r="G8" s="159">
        <f>'Balance Sheet'!G40</f>
        <v>82807</v>
      </c>
      <c r="H8" s="158"/>
      <c r="I8" s="158"/>
      <c r="J8" s="158"/>
      <c r="K8" s="158"/>
      <c r="L8" s="158"/>
      <c r="M8" s="158"/>
      <c r="N8" s="158"/>
      <c r="O8" s="158"/>
      <c r="P8" s="158"/>
      <c r="Q8" s="158"/>
    </row>
    <row r="9" spans="2:18" ht="15" customHeight="1" x14ac:dyDescent="0.2">
      <c r="B9" s="11"/>
      <c r="C9" s="159"/>
      <c r="D9" s="159"/>
      <c r="E9" s="159"/>
      <c r="F9" s="159"/>
      <c r="G9" s="159"/>
      <c r="H9" s="158"/>
      <c r="I9" s="158"/>
      <c r="J9" s="158"/>
      <c r="K9" s="158"/>
      <c r="L9" s="158"/>
      <c r="M9" s="158"/>
      <c r="N9" s="158"/>
      <c r="O9" s="158"/>
      <c r="P9" s="158"/>
      <c r="Q9" s="158"/>
    </row>
    <row r="10" spans="2:18" ht="15" customHeight="1" x14ac:dyDescent="0.2">
      <c r="B10" s="7" t="s">
        <v>354</v>
      </c>
      <c r="C10" s="187">
        <f>C7/SUM($C$7:$C$8)</f>
        <v>0.18055959206319849</v>
      </c>
      <c r="D10" s="187">
        <f t="shared" ref="D10:G10" si="0">D7/SUM(D7:D8)</f>
        <v>6.378118053840455E-2</v>
      </c>
      <c r="E10" s="187">
        <f t="shared" si="0"/>
        <v>7.6242401271192611E-2</v>
      </c>
      <c r="F10" s="187">
        <f t="shared" si="0"/>
        <v>0.1003666137113528</v>
      </c>
      <c r="G10" s="187">
        <f t="shared" si="0"/>
        <v>9.1859228145597313E-2</v>
      </c>
      <c r="H10" s="158"/>
      <c r="I10" s="158"/>
      <c r="J10" s="158"/>
      <c r="K10" s="158"/>
      <c r="L10" s="158"/>
      <c r="M10" s="158"/>
      <c r="N10" s="158"/>
      <c r="O10" s="158"/>
      <c r="P10" s="158"/>
      <c r="Q10" s="158"/>
    </row>
    <row r="11" spans="2:18" ht="15" customHeight="1" x14ac:dyDescent="0.2">
      <c r="B11" s="11" t="s">
        <v>355</v>
      </c>
      <c r="C11" s="187">
        <f>C8/SUM(C$7:C$8)</f>
        <v>0.81944040793680151</v>
      </c>
      <c r="D11" s="187">
        <f t="shared" ref="D11:G11" si="1">D8/SUM(D$7:D$8)</f>
        <v>0.93621881946159546</v>
      </c>
      <c r="E11" s="187">
        <f t="shared" si="1"/>
        <v>0.92375759872880736</v>
      </c>
      <c r="F11" s="187">
        <f t="shared" si="1"/>
        <v>0.8996333862886472</v>
      </c>
      <c r="G11" s="187">
        <f t="shared" si="1"/>
        <v>0.90814077185440267</v>
      </c>
      <c r="H11" s="158"/>
      <c r="I11" s="158"/>
      <c r="J11" s="158"/>
      <c r="K11" s="158"/>
      <c r="L11" s="158"/>
      <c r="M11" s="158"/>
      <c r="N11" s="158"/>
      <c r="O11" s="158"/>
      <c r="P11" s="158"/>
      <c r="Q11" s="158"/>
    </row>
    <row r="12" spans="2:18" ht="15" customHeight="1" x14ac:dyDescent="0.2">
      <c r="B12" s="11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</row>
    <row r="13" spans="2:18" ht="15" customHeight="1" x14ac:dyDescent="0.2">
      <c r="B13" s="11" t="s">
        <v>324</v>
      </c>
      <c r="C13" s="187">
        <f>C10/C11</f>
        <v>0.22034499435756891</v>
      </c>
      <c r="D13" s="187">
        <f t="shared" ref="D13:G13" si="2">D10/D11</f>
        <v>6.8126360218954032E-2</v>
      </c>
      <c r="E13" s="187">
        <f t="shared" si="2"/>
        <v>8.2535073460949696E-2</v>
      </c>
      <c r="F13" s="187">
        <f t="shared" si="2"/>
        <v>0.11156390507627315</v>
      </c>
      <c r="G13" s="187">
        <f t="shared" si="2"/>
        <v>0.10115086888789596</v>
      </c>
      <c r="H13" s="187"/>
      <c r="I13" s="187"/>
      <c r="J13" s="187"/>
      <c r="K13" s="187"/>
      <c r="L13" s="187"/>
      <c r="M13" s="187"/>
      <c r="N13" s="187"/>
      <c r="O13" s="187"/>
      <c r="P13" s="187"/>
      <c r="Q13" s="187"/>
    </row>
    <row r="14" spans="2:18" ht="15" customHeight="1" x14ac:dyDescent="0.2">
      <c r="B14" s="11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</row>
    <row r="15" spans="2:18" ht="15" customHeight="1" x14ac:dyDescent="0.2">
      <c r="B15" s="11" t="s">
        <v>350</v>
      </c>
      <c r="C15" s="141">
        <f>$N$22/(1+(1-$E$22)*C13)</f>
        <v>1.0050486270886965</v>
      </c>
      <c r="D15" s="141">
        <f t="shared" ref="D15:F15" si="3">$N$22/(1+(1-$E$22)*D13)</f>
        <v>1.1197360046610971</v>
      </c>
      <c r="E15" s="141">
        <f t="shared" si="3"/>
        <v>1.1077703718738288</v>
      </c>
      <c r="F15" s="141">
        <f t="shared" si="3"/>
        <v>1.0844237838534219</v>
      </c>
      <c r="G15" s="141">
        <f>$N$22/(1+(1-$E$22)*G13)</f>
        <v>1.0926844727659362</v>
      </c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</row>
    <row r="16" spans="2:18" ht="15" customHeight="1" x14ac:dyDescent="0.2">
      <c r="B16" s="11"/>
      <c r="C16" s="1"/>
      <c r="D16" s="1"/>
      <c r="E16" s="1"/>
      <c r="F16" s="1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</row>
    <row r="17" spans="2:17" ht="15" customHeight="1" x14ac:dyDescent="0.2">
      <c r="B17" s="11"/>
      <c r="C17" s="1"/>
      <c r="D17" s="1"/>
      <c r="E17" s="1"/>
      <c r="F17" s="1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</row>
    <row r="18" spans="2:17" ht="15" x14ac:dyDescent="0.25">
      <c r="B18" s="143"/>
      <c r="C18" s="143"/>
      <c r="D18" s="143"/>
      <c r="E18" s="143"/>
      <c r="F18" s="14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2:17" ht="15" x14ac:dyDescent="0.25">
      <c r="B19" s="170" t="s">
        <v>305</v>
      </c>
      <c r="C19" s="171"/>
      <c r="D19" s="171"/>
      <c r="E19" s="171"/>
      <c r="F19" s="172"/>
      <c r="G19" s="172"/>
      <c r="H19" s="172"/>
      <c r="I19" s="170" t="s">
        <v>306</v>
      </c>
      <c r="J19" s="170"/>
      <c r="K19" s="170"/>
      <c r="L19" s="170"/>
      <c r="M19" s="170"/>
      <c r="N19" s="170"/>
      <c r="O19" s="154"/>
      <c r="P19" s="154"/>
      <c r="Q19" s="154"/>
    </row>
    <row r="20" spans="2:17" x14ac:dyDescent="0.2"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54"/>
      <c r="P20" s="154"/>
      <c r="Q20" s="154"/>
    </row>
    <row r="21" spans="2:17" ht="15" x14ac:dyDescent="0.25">
      <c r="B21" s="173" t="s">
        <v>307</v>
      </c>
      <c r="C21" s="172"/>
      <c r="D21" s="172"/>
      <c r="E21" s="188">
        <f>Drivers!C11</f>
        <v>5.45E-2</v>
      </c>
      <c r="F21" s="172"/>
      <c r="G21" s="172"/>
      <c r="H21" s="172"/>
      <c r="I21" s="173" t="s">
        <v>308</v>
      </c>
      <c r="J21" s="172"/>
      <c r="K21" s="172"/>
      <c r="L21" s="172"/>
      <c r="M21" s="172"/>
      <c r="N21" s="188">
        <f>Drivers!C7</f>
        <v>4.5499999999999999E-2</v>
      </c>
      <c r="O21" s="154"/>
      <c r="P21" s="154"/>
      <c r="Q21" s="154"/>
    </row>
    <row r="22" spans="2:17" ht="15" x14ac:dyDescent="0.25">
      <c r="B22" s="173" t="s">
        <v>309</v>
      </c>
      <c r="C22" s="172"/>
      <c r="D22" s="172"/>
      <c r="E22" s="189">
        <f>Drivers!C12</f>
        <v>0.21</v>
      </c>
      <c r="F22" s="172"/>
      <c r="G22" s="172"/>
      <c r="H22" s="172"/>
      <c r="I22" s="190" t="s">
        <v>325</v>
      </c>
      <c r="J22" s="191"/>
      <c r="K22" s="191"/>
      <c r="L22" s="191"/>
      <c r="M22" s="191"/>
      <c r="N22" s="192">
        <f>Drivers!C9</f>
        <v>1.18</v>
      </c>
      <c r="O22" s="154"/>
      <c r="P22" s="154"/>
      <c r="Q22" s="154"/>
    </row>
    <row r="23" spans="2:17" ht="15" x14ac:dyDescent="0.25">
      <c r="B23" s="174" t="s">
        <v>310</v>
      </c>
      <c r="C23" s="174"/>
      <c r="D23" s="174"/>
      <c r="E23" s="175">
        <f>E21*(1-E22)</f>
        <v>4.3055000000000003E-2</v>
      </c>
      <c r="F23" s="172"/>
      <c r="G23" s="172"/>
      <c r="H23" s="172"/>
      <c r="I23" s="173" t="s">
        <v>323</v>
      </c>
      <c r="J23" s="172"/>
      <c r="K23" s="172"/>
      <c r="L23" s="172"/>
      <c r="M23" s="172"/>
      <c r="N23" s="188">
        <f>Drivers!C8</f>
        <v>5.5E-2</v>
      </c>
      <c r="O23" s="154"/>
      <c r="P23" s="154"/>
      <c r="Q23" s="154"/>
    </row>
    <row r="24" spans="2:17" ht="16.5" customHeight="1" x14ac:dyDescent="0.25">
      <c r="B24" s="172"/>
      <c r="C24" s="172"/>
      <c r="D24" s="172"/>
      <c r="E24" s="172"/>
      <c r="F24" s="172"/>
      <c r="G24" s="172"/>
      <c r="H24" s="172"/>
      <c r="I24" s="179" t="s">
        <v>351</v>
      </c>
      <c r="J24" s="172"/>
      <c r="K24" s="172"/>
      <c r="L24" s="172"/>
      <c r="M24" s="172"/>
      <c r="N24" s="176">
        <f>N32</f>
        <v>1.1913358063614434</v>
      </c>
      <c r="O24" s="154"/>
      <c r="P24" s="154"/>
      <c r="Q24" s="154"/>
    </row>
    <row r="25" spans="2:17" ht="15" x14ac:dyDescent="0.25">
      <c r="B25" s="172"/>
      <c r="C25" s="172"/>
      <c r="D25" s="172"/>
      <c r="E25" s="172"/>
      <c r="F25" s="172"/>
      <c r="G25" s="172"/>
      <c r="H25" s="172"/>
      <c r="I25" s="177" t="s">
        <v>306</v>
      </c>
      <c r="J25" s="174"/>
      <c r="K25" s="174"/>
      <c r="L25" s="174"/>
      <c r="M25" s="174"/>
      <c r="N25" s="178">
        <f>N21+(N23*N24)</f>
        <v>0.11102346934987939</v>
      </c>
      <c r="O25" s="154"/>
      <c r="P25" s="154"/>
      <c r="Q25" s="154"/>
    </row>
    <row r="26" spans="2:17" ht="15" x14ac:dyDescent="0.25">
      <c r="B26" s="172"/>
      <c r="C26" s="172"/>
      <c r="D26" s="172"/>
      <c r="E26" s="172"/>
      <c r="F26" s="172"/>
      <c r="G26" s="172"/>
      <c r="H26" s="172"/>
      <c r="I26" s="179"/>
      <c r="J26" s="179"/>
      <c r="K26" s="179"/>
      <c r="L26" s="179"/>
      <c r="M26" s="179"/>
      <c r="N26" s="179"/>
      <c r="O26" s="154"/>
      <c r="P26" s="154"/>
      <c r="Q26" s="154"/>
    </row>
    <row r="27" spans="2:17" ht="15" x14ac:dyDescent="0.25">
      <c r="B27" s="170" t="s">
        <v>311</v>
      </c>
      <c r="C27" s="171"/>
      <c r="D27" s="171"/>
      <c r="E27" s="171"/>
      <c r="F27" s="172"/>
      <c r="G27" s="172"/>
      <c r="H27" s="172"/>
      <c r="I27" s="172"/>
      <c r="J27" s="172"/>
      <c r="K27" s="172"/>
      <c r="L27" s="172"/>
      <c r="M27" s="172"/>
      <c r="N27" s="172"/>
      <c r="O27" s="154"/>
      <c r="P27" s="154"/>
      <c r="Q27" s="154"/>
    </row>
    <row r="28" spans="2:17" ht="15" x14ac:dyDescent="0.25">
      <c r="B28" s="179"/>
      <c r="C28" s="179"/>
      <c r="D28" s="179"/>
      <c r="E28" s="179"/>
      <c r="F28" s="172"/>
      <c r="G28" s="172"/>
      <c r="H28" s="172"/>
      <c r="I28" s="170" t="s">
        <v>353</v>
      </c>
      <c r="J28" s="170"/>
      <c r="K28" s="171"/>
      <c r="L28" s="171"/>
      <c r="M28" s="171"/>
      <c r="N28" s="171"/>
      <c r="O28" s="154"/>
      <c r="P28" s="154"/>
      <c r="Q28" s="154"/>
    </row>
    <row r="29" spans="2:17" ht="15" x14ac:dyDescent="0.25">
      <c r="B29" s="172"/>
      <c r="C29" s="172"/>
      <c r="D29" s="173" t="s">
        <v>312</v>
      </c>
      <c r="E29" s="173" t="s">
        <v>313</v>
      </c>
      <c r="F29" s="172"/>
      <c r="G29" s="172"/>
      <c r="H29" s="172"/>
      <c r="I29" s="364" t="s">
        <v>352</v>
      </c>
      <c r="J29" s="172"/>
      <c r="K29" s="172"/>
      <c r="L29" s="172"/>
      <c r="M29" s="172"/>
      <c r="N29" s="176">
        <f>G15</f>
        <v>1.0926844727659362</v>
      </c>
      <c r="O29" s="154"/>
      <c r="P29" s="154"/>
      <c r="Q29" s="154"/>
    </row>
    <row r="30" spans="2:17" ht="15" x14ac:dyDescent="0.25">
      <c r="B30" s="173" t="s">
        <v>314</v>
      </c>
      <c r="C30" s="180">
        <f>G7</f>
        <v>8376</v>
      </c>
      <c r="D30" s="181">
        <f>C30/C32</f>
        <v>9.1859228145597313E-2</v>
      </c>
      <c r="E30" s="182">
        <f>AVERAGE(C10:G10)</f>
        <v>0.10256180314594916</v>
      </c>
      <c r="F30" s="172"/>
      <c r="G30" s="172"/>
      <c r="H30" s="172"/>
      <c r="I30" s="173" t="s">
        <v>315</v>
      </c>
      <c r="J30" s="172"/>
      <c r="K30" s="172"/>
      <c r="L30" s="172"/>
      <c r="M30" s="172"/>
      <c r="N30" s="182">
        <f>E34</f>
        <v>0.11428285926036716</v>
      </c>
      <c r="O30" s="154"/>
      <c r="P30" s="154"/>
      <c r="Q30" s="154"/>
    </row>
    <row r="31" spans="2:17" ht="15" x14ac:dyDescent="0.25">
      <c r="B31" s="173" t="s">
        <v>316</v>
      </c>
      <c r="C31" s="180">
        <f>G8</f>
        <v>82807</v>
      </c>
      <c r="D31" s="181">
        <f>C31/C32</f>
        <v>0.90814077185440267</v>
      </c>
      <c r="E31" s="181">
        <f>E32-E30</f>
        <v>0.8974381968540508</v>
      </c>
      <c r="F31" s="172"/>
      <c r="G31" s="172"/>
      <c r="H31" s="172"/>
      <c r="I31" s="173" t="s">
        <v>317</v>
      </c>
      <c r="J31" s="172"/>
      <c r="K31" s="172"/>
      <c r="L31" s="172"/>
      <c r="M31" s="172"/>
      <c r="N31" s="189">
        <f>E22</f>
        <v>0.21</v>
      </c>
      <c r="O31" s="154"/>
      <c r="P31" s="154"/>
      <c r="Q31" s="154"/>
    </row>
    <row r="32" spans="2:17" ht="15" x14ac:dyDescent="0.25">
      <c r="B32" s="174" t="s">
        <v>318</v>
      </c>
      <c r="C32" s="183">
        <f>C31+C30</f>
        <v>91183</v>
      </c>
      <c r="D32" s="184">
        <f>SUM(D30:D31)</f>
        <v>1</v>
      </c>
      <c r="E32" s="184">
        <f>D32</f>
        <v>1</v>
      </c>
      <c r="F32" s="172"/>
      <c r="G32" s="172"/>
      <c r="H32" s="172"/>
      <c r="I32" s="177" t="s">
        <v>353</v>
      </c>
      <c r="J32" s="174"/>
      <c r="K32" s="174"/>
      <c r="L32" s="174"/>
      <c r="M32" s="174"/>
      <c r="N32" s="185">
        <f>N29*(1+(1-N31)*N30)</f>
        <v>1.1913358063614434</v>
      </c>
      <c r="O32" s="154"/>
      <c r="P32" s="154"/>
      <c r="Q32" s="154"/>
    </row>
    <row r="33" spans="2:17" x14ac:dyDescent="0.2"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54"/>
      <c r="P33" s="154"/>
      <c r="Q33" s="154"/>
    </row>
    <row r="34" spans="2:17" ht="15" x14ac:dyDescent="0.25">
      <c r="B34" s="173" t="s">
        <v>319</v>
      </c>
      <c r="C34" s="172"/>
      <c r="D34" s="181">
        <f>D30/D31</f>
        <v>0.10115086888789596</v>
      </c>
      <c r="E34" s="181">
        <f>E30/E31</f>
        <v>0.11428285926036716</v>
      </c>
      <c r="F34" s="172"/>
      <c r="G34" s="172"/>
      <c r="H34" s="172"/>
      <c r="I34" s="170" t="s">
        <v>356</v>
      </c>
      <c r="J34" s="170"/>
      <c r="K34" s="170"/>
      <c r="L34" s="170"/>
      <c r="M34" s="170"/>
      <c r="N34" s="170"/>
      <c r="O34" s="154"/>
      <c r="P34" s="154"/>
      <c r="Q34" s="154"/>
    </row>
    <row r="35" spans="2:17" ht="15" x14ac:dyDescent="0.25"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3" t="s">
        <v>320</v>
      </c>
      <c r="N35" s="173" t="s">
        <v>321</v>
      </c>
      <c r="O35" s="154"/>
      <c r="P35" s="154"/>
      <c r="Q35" s="154"/>
    </row>
    <row r="36" spans="2:17" ht="15" x14ac:dyDescent="0.25">
      <c r="B36" s="172"/>
      <c r="C36" s="172"/>
      <c r="D36" s="172"/>
      <c r="E36" s="172"/>
      <c r="F36" s="172"/>
      <c r="G36" s="172"/>
      <c r="H36" s="172"/>
      <c r="I36" s="173" t="s">
        <v>118</v>
      </c>
      <c r="J36" s="172"/>
      <c r="K36" s="172"/>
      <c r="L36" s="172"/>
      <c r="M36" s="181">
        <f>E23</f>
        <v>4.3055000000000003E-2</v>
      </c>
      <c r="N36" s="181">
        <f t="shared" ref="N36:N37" si="4">E30</f>
        <v>0.10256180314594916</v>
      </c>
      <c r="O36" s="154"/>
      <c r="P36" s="154"/>
      <c r="Q36" s="154"/>
    </row>
    <row r="37" spans="2:17" ht="15" x14ac:dyDescent="0.25">
      <c r="B37" s="172"/>
      <c r="C37" s="172"/>
      <c r="D37" s="172"/>
      <c r="E37" s="172"/>
      <c r="F37" s="172"/>
      <c r="G37" s="172"/>
      <c r="H37" s="172"/>
      <c r="I37" s="173" t="s">
        <v>95</v>
      </c>
      <c r="J37" s="172"/>
      <c r="K37" s="172"/>
      <c r="L37" s="172"/>
      <c r="M37" s="181">
        <f>N25</f>
        <v>0.11102346934987939</v>
      </c>
      <c r="N37" s="181">
        <f t="shared" si="4"/>
        <v>0.8974381968540508</v>
      </c>
      <c r="O37" s="154"/>
      <c r="P37" s="154"/>
      <c r="Q37" s="154"/>
    </row>
    <row r="38" spans="2:17" ht="15" x14ac:dyDescent="0.25">
      <c r="B38" s="172"/>
      <c r="C38" s="172"/>
      <c r="D38" s="172"/>
      <c r="E38" s="172"/>
      <c r="F38" s="172"/>
      <c r="G38" s="172"/>
      <c r="H38" s="172"/>
      <c r="I38" s="177" t="s">
        <v>322</v>
      </c>
      <c r="J38" s="177"/>
      <c r="K38" s="177"/>
      <c r="L38" s="177"/>
      <c r="M38" s="177"/>
      <c r="N38" s="186">
        <f>SUMPRODUCT(M36:M37,N36:N37)</f>
        <v>0.10405250057628557</v>
      </c>
      <c r="O38" s="154"/>
      <c r="P38" s="154"/>
      <c r="Q38" s="154"/>
    </row>
    <row r="39" spans="2:17" x14ac:dyDescent="0.2">
      <c r="B39" s="7"/>
      <c r="C39" s="82"/>
      <c r="D39" s="82"/>
      <c r="E39" s="82"/>
      <c r="F39" s="82"/>
      <c r="G39" s="82"/>
      <c r="H39" s="154"/>
      <c r="I39" s="154"/>
      <c r="J39" s="154"/>
      <c r="K39" s="154"/>
      <c r="L39" s="154"/>
      <c r="M39" s="154"/>
      <c r="N39" s="154"/>
      <c r="O39" s="154"/>
      <c r="P39" s="154"/>
      <c r="Q39" s="154"/>
    </row>
    <row r="40" spans="2:17" x14ac:dyDescent="0.2">
      <c r="B40" s="7"/>
      <c r="C40" s="82"/>
      <c r="D40" s="82"/>
      <c r="E40" s="82"/>
      <c r="F40" s="82"/>
      <c r="G40" s="82"/>
      <c r="H40" s="154"/>
      <c r="I40" s="154"/>
      <c r="J40" s="154"/>
      <c r="K40" s="154"/>
      <c r="L40" s="154"/>
      <c r="M40" s="154"/>
      <c r="N40" s="154"/>
      <c r="O40" s="154"/>
      <c r="P40" s="154"/>
      <c r="Q40" s="154"/>
    </row>
    <row r="41" spans="2:17" x14ac:dyDescent="0.2">
      <c r="B41" s="7"/>
      <c r="C41" s="82"/>
      <c r="D41" s="82"/>
      <c r="E41" s="82"/>
      <c r="F41" s="82"/>
      <c r="G41" s="82"/>
      <c r="H41" s="154"/>
      <c r="I41" s="154"/>
      <c r="J41" s="154"/>
      <c r="K41" s="154"/>
      <c r="L41" s="154"/>
      <c r="M41" s="154"/>
      <c r="N41" s="154"/>
      <c r="O41" s="154"/>
      <c r="P41" s="154"/>
      <c r="Q41" s="154"/>
    </row>
    <row r="42" spans="2:17" x14ac:dyDescent="0.2">
      <c r="B42" s="7"/>
      <c r="C42" s="82"/>
      <c r="D42" s="82"/>
      <c r="E42" s="82"/>
      <c r="F42" s="82"/>
      <c r="G42" s="82"/>
      <c r="H42" s="154"/>
      <c r="I42" s="154"/>
      <c r="J42" s="154"/>
      <c r="K42" s="154"/>
      <c r="L42" s="154"/>
      <c r="M42" s="154"/>
      <c r="N42" s="154"/>
      <c r="O42" s="154"/>
      <c r="P42" s="154"/>
      <c r="Q42" s="154"/>
    </row>
    <row r="43" spans="2:17" ht="15" x14ac:dyDescent="0.25">
      <c r="B43" s="143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</row>
    <row r="44" spans="2:17" ht="15.75" customHeight="1" x14ac:dyDescent="0.2">
      <c r="B44" s="161"/>
      <c r="C44" s="162"/>
      <c r="D44" s="162"/>
      <c r="E44" s="162"/>
      <c r="F44" s="162"/>
      <c r="G44" s="162"/>
      <c r="H44" s="163"/>
      <c r="I44" s="163"/>
      <c r="J44" s="163"/>
      <c r="K44" s="163"/>
      <c r="L44" s="163"/>
      <c r="M44" s="163"/>
      <c r="N44" s="163"/>
      <c r="O44" s="163"/>
      <c r="P44" s="163"/>
      <c r="Q44" s="163"/>
    </row>
    <row r="45" spans="2:17" x14ac:dyDescent="0.2">
      <c r="B45" s="164"/>
      <c r="C45" s="165"/>
      <c r="D45" s="165"/>
      <c r="E45" s="165"/>
      <c r="F45" s="165"/>
      <c r="G45" s="165"/>
      <c r="H45" s="166"/>
      <c r="I45" s="166"/>
      <c r="J45" s="166"/>
      <c r="K45" s="166"/>
      <c r="L45" s="166"/>
      <c r="M45" s="166"/>
      <c r="N45" s="166"/>
      <c r="O45" s="166"/>
      <c r="P45" s="166"/>
      <c r="Q45" s="166"/>
    </row>
    <row r="46" spans="2:17" x14ac:dyDescent="0.2">
      <c r="B46" s="1"/>
      <c r="C46" s="82"/>
      <c r="D46" s="82"/>
      <c r="E46" s="82"/>
      <c r="F46" s="82"/>
      <c r="G46" s="82"/>
      <c r="H46" s="154"/>
      <c r="I46" s="154"/>
      <c r="J46" s="154"/>
      <c r="K46" s="154"/>
      <c r="L46" s="154"/>
      <c r="M46" s="154"/>
      <c r="N46" s="154"/>
      <c r="O46" s="154"/>
      <c r="P46" s="154"/>
      <c r="Q46" s="154"/>
    </row>
    <row r="47" spans="2:17" ht="15" x14ac:dyDescent="0.25">
      <c r="B47" s="145"/>
      <c r="C47" s="82"/>
      <c r="D47" s="82"/>
      <c r="E47" s="82"/>
      <c r="F47" s="82"/>
      <c r="G47" s="82"/>
      <c r="H47" s="154"/>
      <c r="I47" s="154"/>
      <c r="J47" s="154"/>
      <c r="K47" s="154"/>
      <c r="L47" s="154"/>
      <c r="M47" s="154"/>
      <c r="N47" s="154"/>
      <c r="O47" s="154"/>
      <c r="P47" s="154"/>
      <c r="Q47" s="154"/>
    </row>
    <row r="48" spans="2:17" ht="15" x14ac:dyDescent="0.25">
      <c r="B48" s="145"/>
      <c r="C48" s="82"/>
      <c r="D48" s="82"/>
      <c r="E48" s="82"/>
      <c r="F48" s="82"/>
      <c r="G48" s="82"/>
      <c r="H48" s="154"/>
      <c r="I48" s="154"/>
      <c r="J48" s="154"/>
      <c r="K48" s="154"/>
      <c r="L48" s="154"/>
      <c r="M48" s="154"/>
      <c r="N48" s="154"/>
      <c r="O48" s="154"/>
      <c r="P48" s="154"/>
      <c r="Q48" s="154"/>
    </row>
    <row r="49" spans="2:17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2:17" x14ac:dyDescent="0.2">
      <c r="B50" s="164"/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</row>
    <row r="51" spans="2:17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2:17" ht="14.25" x14ac:dyDescent="0.2">
      <c r="B52" s="168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</row>
    <row r="53" spans="2:17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2:17" ht="15" x14ac:dyDescent="0.25">
      <c r="B54" s="152"/>
      <c r="C54" s="82"/>
      <c r="D54" s="82"/>
      <c r="E54" s="82"/>
      <c r="F54" s="82"/>
      <c r="G54" s="82"/>
      <c r="H54" s="154"/>
      <c r="I54" s="154"/>
      <c r="J54" s="154"/>
      <c r="K54" s="154"/>
      <c r="L54" s="154"/>
      <c r="M54" s="154"/>
      <c r="N54" s="154"/>
      <c r="O54" s="154"/>
      <c r="P54" s="154"/>
      <c r="Q54" s="154"/>
    </row>
    <row r="55" spans="2:17" ht="15" x14ac:dyDescent="0.25">
      <c r="B55" s="152"/>
      <c r="C55" s="82"/>
      <c r="D55" s="82"/>
      <c r="E55" s="82"/>
      <c r="F55" s="82"/>
      <c r="G55" s="82"/>
      <c r="H55" s="154"/>
      <c r="I55" s="154"/>
      <c r="J55" s="154"/>
      <c r="K55" s="154"/>
      <c r="L55" s="154"/>
      <c r="M55" s="154"/>
      <c r="N55" s="154"/>
      <c r="O55" s="154"/>
      <c r="P55" s="154"/>
      <c r="Q55" s="154"/>
    </row>
    <row r="56" spans="2:17" x14ac:dyDescent="0.2">
      <c r="B56" s="16"/>
      <c r="C56" s="82"/>
      <c r="D56" s="82"/>
      <c r="E56" s="82"/>
      <c r="F56" s="82"/>
      <c r="G56" s="82"/>
      <c r="H56" s="154"/>
      <c r="I56" s="154"/>
      <c r="J56" s="154"/>
      <c r="K56" s="154"/>
      <c r="L56" s="154"/>
      <c r="M56" s="154"/>
      <c r="N56" s="154"/>
      <c r="O56" s="154"/>
      <c r="P56" s="154"/>
      <c r="Q56" s="154"/>
    </row>
    <row r="57" spans="2:17" ht="15" x14ac:dyDescent="0.25">
      <c r="B57" s="152"/>
      <c r="C57" s="82"/>
      <c r="D57" s="82"/>
      <c r="E57" s="82"/>
      <c r="F57" s="82"/>
      <c r="G57" s="82"/>
      <c r="H57" s="154"/>
      <c r="I57" s="154"/>
      <c r="J57" s="154"/>
      <c r="K57" s="154"/>
      <c r="L57" s="154"/>
      <c r="M57" s="154"/>
      <c r="N57" s="154"/>
      <c r="O57" s="154"/>
      <c r="P57" s="154"/>
      <c r="Q57" s="154"/>
    </row>
    <row r="58" spans="2:17" ht="15" x14ac:dyDescent="0.25">
      <c r="B58" s="152"/>
      <c r="C58" s="82"/>
      <c r="D58" s="82"/>
      <c r="E58" s="82"/>
      <c r="F58" s="82"/>
      <c r="G58" s="82"/>
      <c r="H58" s="154"/>
      <c r="I58" s="154"/>
      <c r="J58" s="154"/>
      <c r="K58" s="154"/>
      <c r="L58" s="154"/>
      <c r="M58" s="154"/>
      <c r="N58" s="154"/>
      <c r="O58" s="154"/>
      <c r="P58" s="154"/>
      <c r="Q58" s="154"/>
    </row>
    <row r="59" spans="2:17" ht="15" x14ac:dyDescent="0.25">
      <c r="B59" s="143"/>
      <c r="C59" s="82"/>
      <c r="D59" s="82"/>
      <c r="E59" s="82"/>
      <c r="F59" s="82"/>
      <c r="G59" s="82"/>
      <c r="H59" s="154"/>
      <c r="I59" s="154"/>
      <c r="J59" s="154"/>
      <c r="K59" s="154"/>
      <c r="L59" s="154"/>
      <c r="M59" s="154"/>
      <c r="N59" s="154"/>
      <c r="O59" s="154"/>
      <c r="P59" s="154"/>
      <c r="Q59" s="154"/>
    </row>
    <row r="60" spans="2:17" x14ac:dyDescent="0.2">
      <c r="B60" s="16"/>
      <c r="C60" s="82"/>
      <c r="D60" s="82"/>
      <c r="E60" s="82"/>
      <c r="F60" s="82"/>
      <c r="G60" s="82"/>
      <c r="H60" s="154"/>
      <c r="I60" s="154"/>
      <c r="J60" s="154"/>
      <c r="K60" s="154"/>
      <c r="L60" s="154"/>
      <c r="M60" s="154"/>
      <c r="N60" s="154"/>
      <c r="O60" s="154"/>
      <c r="P60" s="154"/>
      <c r="Q60" s="154"/>
    </row>
    <row r="61" spans="2:17" ht="15" x14ac:dyDescent="0.25">
      <c r="B61" s="143"/>
      <c r="C61" s="82"/>
      <c r="D61" s="82"/>
      <c r="E61" s="82"/>
      <c r="F61" s="82"/>
      <c r="G61" s="82"/>
      <c r="H61" s="154"/>
      <c r="I61" s="154"/>
      <c r="J61" s="154"/>
      <c r="K61" s="154"/>
      <c r="L61" s="154"/>
      <c r="M61" s="154"/>
      <c r="N61" s="154"/>
      <c r="O61" s="154"/>
      <c r="P61" s="154"/>
      <c r="Q61" s="154"/>
    </row>
    <row r="62" spans="2:17" ht="15" x14ac:dyDescent="0.25">
      <c r="B62" s="14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</row>
    <row r="63" spans="2:17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x14ac:dyDescent="0.2">
      <c r="B65" s="155"/>
      <c r="C65" s="156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EA244-3069-4E25-ACC0-E66114280D48}">
  <dimension ref="B3:W93"/>
  <sheetViews>
    <sheetView showGridLines="0" workbookViewId="0">
      <selection activeCell="B10" sqref="B10"/>
    </sheetView>
  </sheetViews>
  <sheetFormatPr defaultRowHeight="12.75" x14ac:dyDescent="0.2"/>
  <cols>
    <col min="1" max="1" width="1.85546875" customWidth="1"/>
    <col min="2" max="2" width="36.140625" customWidth="1"/>
    <col min="3" max="3" width="10.28515625" customWidth="1"/>
    <col min="4" max="4" width="12.5703125" customWidth="1"/>
    <col min="5" max="5" width="12.140625" customWidth="1"/>
    <col min="6" max="6" width="13.7109375" customWidth="1"/>
    <col min="7" max="7" width="12.85546875" bestFit="1" customWidth="1"/>
    <col min="8" max="11" width="11.85546875" bestFit="1" customWidth="1"/>
    <col min="12" max="12" width="12.85546875" bestFit="1" customWidth="1"/>
    <col min="13" max="17" width="11.42578125" bestFit="1" customWidth="1"/>
  </cols>
  <sheetData>
    <row r="3" spans="2:17" ht="15" customHeight="1" x14ac:dyDescent="0.2">
      <c r="B3" s="146" t="s">
        <v>295</v>
      </c>
      <c r="C3" s="146"/>
      <c r="D3" s="146"/>
      <c r="E3" s="146"/>
      <c r="F3" s="146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2:17" ht="24" x14ac:dyDescent="0.2">
      <c r="B4" s="352" t="s">
        <v>349</v>
      </c>
      <c r="C4" s="5"/>
      <c r="D4" s="5"/>
      <c r="E4" s="5"/>
      <c r="F4" s="6" t="s">
        <v>244</v>
      </c>
      <c r="G4" s="6" t="s">
        <v>245</v>
      </c>
      <c r="H4" s="57" t="s">
        <v>198</v>
      </c>
      <c r="I4" s="57" t="s">
        <v>199</v>
      </c>
      <c r="J4" s="57" t="s">
        <v>200</v>
      </c>
      <c r="K4" s="57" t="s">
        <v>221</v>
      </c>
      <c r="L4" s="57" t="s">
        <v>258</v>
      </c>
      <c r="M4" s="57" t="s">
        <v>257</v>
      </c>
      <c r="N4" s="57" t="s">
        <v>256</v>
      </c>
      <c r="O4" s="57" t="s">
        <v>255</v>
      </c>
      <c r="P4" s="57" t="s">
        <v>254</v>
      </c>
      <c r="Q4" s="57" t="s">
        <v>253</v>
      </c>
    </row>
    <row r="5" spans="2:17" ht="3.75" customHeight="1" x14ac:dyDescent="0.2"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2:17" ht="15" x14ac:dyDescent="0.25">
      <c r="B6" s="143" t="s">
        <v>286</v>
      </c>
      <c r="C6" s="143"/>
      <c r="D6" s="143"/>
      <c r="E6" s="143"/>
      <c r="F6" s="143"/>
    </row>
    <row r="7" spans="2:17" x14ac:dyDescent="0.2">
      <c r="B7" s="7" t="s">
        <v>294</v>
      </c>
      <c r="C7" s="219">
        <f>'Balance Sheet'!C7</f>
        <v>5757</v>
      </c>
      <c r="D7" s="219">
        <f>'Balance Sheet'!D7</f>
        <v>12839</v>
      </c>
      <c r="E7" s="219">
        <f>'Balance Sheet'!E7</f>
        <v>13626</v>
      </c>
      <c r="F7" s="219">
        <f>'Balance Sheet'!F7</f>
        <v>12017</v>
      </c>
      <c r="G7" s="219">
        <f>'Balance Sheet'!G7</f>
        <v>12392</v>
      </c>
      <c r="H7" s="220">
        <f>'Balance Sheet'!H7</f>
        <v>17360.777475551986</v>
      </c>
      <c r="I7" s="220">
        <f>'Balance Sheet'!I7</f>
        <v>19620.821090881047</v>
      </c>
      <c r="J7" s="220">
        <f>'Balance Sheet'!J7</f>
        <v>22615.785699475797</v>
      </c>
      <c r="K7" s="220">
        <f>'Balance Sheet'!K7</f>
        <v>25673.749901727115</v>
      </c>
      <c r="L7" s="220">
        <f>'Balance Sheet'!L7</f>
        <v>29343.936607910618</v>
      </c>
      <c r="M7" s="220">
        <f>'Balance Sheet'!M7</f>
        <v>32700.065878497619</v>
      </c>
      <c r="N7" s="220">
        <f>'Balance Sheet'!N7</f>
        <v>36077.855669393088</v>
      </c>
      <c r="O7" s="220">
        <f>'Balance Sheet'!O7</f>
        <v>39478.605611815554</v>
      </c>
      <c r="P7" s="220">
        <f>'Balance Sheet'!P7</f>
        <v>42903.693314856624</v>
      </c>
      <c r="Q7" s="220">
        <f>'Balance Sheet'!Q7</f>
        <v>46354.579044153419</v>
      </c>
    </row>
    <row r="8" spans="2:17" x14ac:dyDescent="0.2">
      <c r="B8" s="7" t="s">
        <v>75</v>
      </c>
      <c r="C8" s="219">
        <f>'Balance Sheet'!C6</f>
        <v>1913</v>
      </c>
      <c r="D8" s="219">
        <f>'Balance Sheet'!D6</f>
        <v>2952</v>
      </c>
      <c r="E8" s="219">
        <f>'Balance Sheet'!E6</f>
        <v>3508</v>
      </c>
      <c r="F8" s="219">
        <f>'Balance Sheet'!F6</f>
        <v>4418</v>
      </c>
      <c r="G8" s="219">
        <f>'Balance Sheet'!G6</f>
        <v>4576</v>
      </c>
      <c r="H8" s="220">
        <f>'Balance Sheet'!H6</f>
        <v>5039.5578321947578</v>
      </c>
      <c r="I8" s="220">
        <f>'Balance Sheet'!I6</f>
        <v>5681.6875520559906</v>
      </c>
      <c r="J8" s="220">
        <f>'Balance Sheet'!J6</f>
        <v>6537.048906152997</v>
      </c>
      <c r="K8" s="220">
        <f>'Balance Sheet'!K6</f>
        <v>7409.8083294211756</v>
      </c>
      <c r="L8" s="220">
        <f>'Balance Sheet'!L6</f>
        <v>8466.4914789478316</v>
      </c>
      <c r="M8" s="220">
        <f>'Balance Sheet'!M6</f>
        <v>9427.993209953418</v>
      </c>
      <c r="N8" s="220">
        <f>'Balance Sheet'!N6</f>
        <v>10395.382080771888</v>
      </c>
      <c r="O8" s="220">
        <f>'Balance Sheet'!O6</f>
        <v>11369.011319792016</v>
      </c>
      <c r="P8" s="220">
        <f>'Balance Sheet'!P6</f>
        <v>12349.255349105904</v>
      </c>
      <c r="Q8" s="220">
        <f>'Balance Sheet'!Q6</f>
        <v>13336.51105613117</v>
      </c>
    </row>
    <row r="9" spans="2:17" x14ac:dyDescent="0.2">
      <c r="B9" s="7" t="s">
        <v>361</v>
      </c>
      <c r="C9" s="219">
        <f>'Balance Sheet'!C10</f>
        <v>1723</v>
      </c>
      <c r="D9" s="219">
        <f>'Balance Sheet'!D10</f>
        <v>2941</v>
      </c>
      <c r="E9" s="219">
        <f>'Balance Sheet'!E10</f>
        <v>3388</v>
      </c>
      <c r="F9" s="219">
        <f>'Balance Sheet'!F10</f>
        <v>5362</v>
      </c>
      <c r="G9" s="219">
        <f>'Balance Sheet'!G10</f>
        <v>7615</v>
      </c>
      <c r="H9" s="220">
        <f>'Balance Sheet'!H10</f>
        <v>8452.4950273455106</v>
      </c>
      <c r="I9" s="220">
        <f>'Balance Sheet'!I10</f>
        <v>9529.4939317660755</v>
      </c>
      <c r="J9" s="220">
        <f>'Balance Sheet'!J10</f>
        <v>10964.131221946709</v>
      </c>
      <c r="K9" s="220">
        <f>'Balance Sheet'!K10</f>
        <v>12427.94906686079</v>
      </c>
      <c r="L9" s="220">
        <f>'Balance Sheet'!L10</f>
        <v>14200.249209900143</v>
      </c>
      <c r="M9" s="220">
        <f>'Balance Sheet'!M10</f>
        <v>15812.908270619648</v>
      </c>
      <c r="N9" s="220">
        <f>'Balance Sheet'!N10</f>
        <v>17435.441415862162</v>
      </c>
      <c r="O9" s="220">
        <f>'Balance Sheet'!O10</f>
        <v>19068.441090699071</v>
      </c>
      <c r="P9" s="220">
        <f>'Balance Sheet'!P10</f>
        <v>20712.535286906037</v>
      </c>
      <c r="Q9" s="220">
        <f>'Balance Sheet'!Q10</f>
        <v>22368.389675765255</v>
      </c>
    </row>
    <row r="10" spans="2:17" x14ac:dyDescent="0.2">
      <c r="B10" s="7" t="s">
        <v>246</v>
      </c>
      <c r="C10" s="219">
        <f>'Balance Sheet'!C8</f>
        <v>131</v>
      </c>
      <c r="D10" s="219">
        <f>'Balance Sheet'!D8</f>
        <v>5932</v>
      </c>
      <c r="E10" s="219">
        <f>'Balance Sheet'!E8</f>
        <v>12696</v>
      </c>
      <c r="F10" s="219">
        <f>'Balance Sheet'!F8</f>
        <v>20424</v>
      </c>
      <c r="G10" s="219">
        <f>'Balance Sheet'!G8</f>
        <v>27546</v>
      </c>
      <c r="H10" s="220">
        <f>'Balance Sheet'!H8</f>
        <v>27546</v>
      </c>
      <c r="I10" s="220">
        <f>'Balance Sheet'!I8</f>
        <v>27546</v>
      </c>
      <c r="J10" s="220">
        <f>'Balance Sheet'!J8</f>
        <v>27546</v>
      </c>
      <c r="K10" s="220">
        <f>'Balance Sheet'!K8</f>
        <v>27546</v>
      </c>
      <c r="L10" s="220">
        <f>'Balance Sheet'!L8</f>
        <v>27546</v>
      </c>
      <c r="M10" s="220">
        <f>'Balance Sheet'!M8</f>
        <v>27546</v>
      </c>
      <c r="N10" s="220">
        <f>'Balance Sheet'!N8</f>
        <v>27546</v>
      </c>
      <c r="O10" s="220">
        <f>'Balance Sheet'!O8</f>
        <v>27546</v>
      </c>
      <c r="P10" s="220">
        <f>'Balance Sheet'!P8</f>
        <v>27546</v>
      </c>
      <c r="Q10" s="220">
        <f>'Balance Sheet'!Q8</f>
        <v>27546</v>
      </c>
    </row>
    <row r="11" spans="2:17" ht="15" x14ac:dyDescent="0.25">
      <c r="B11" s="144" t="s">
        <v>287</v>
      </c>
      <c r="C11" s="221">
        <f>SUM(C7:C10)</f>
        <v>9524</v>
      </c>
      <c r="D11" s="221">
        <f>SUM(D7:D10)</f>
        <v>24664</v>
      </c>
      <c r="E11" s="221">
        <f>SUM(E7:E10)</f>
        <v>33218</v>
      </c>
      <c r="F11" s="221">
        <f>SUM(F7:F10)</f>
        <v>42221</v>
      </c>
      <c r="G11" s="221">
        <f>SUM(G7:G10)</f>
        <v>52129</v>
      </c>
      <c r="H11" s="222">
        <f t="shared" ref="H11:Q11" si="0">SUM(H7:H10)</f>
        <v>58398.830335092251</v>
      </c>
      <c r="I11" s="222">
        <f t="shared" si="0"/>
        <v>62378.002574703118</v>
      </c>
      <c r="J11" s="222">
        <f t="shared" si="0"/>
        <v>67662.965827575506</v>
      </c>
      <c r="K11" s="222">
        <f t="shared" si="0"/>
        <v>73057.507298009077</v>
      </c>
      <c r="L11" s="222">
        <f t="shared" si="0"/>
        <v>79556.677296758586</v>
      </c>
      <c r="M11" s="222">
        <f t="shared" si="0"/>
        <v>85486.967359070695</v>
      </c>
      <c r="N11" s="222">
        <f t="shared" si="0"/>
        <v>91454.679166027141</v>
      </c>
      <c r="O11" s="222">
        <f t="shared" si="0"/>
        <v>97462.058022306635</v>
      </c>
      <c r="P11" s="222">
        <f t="shared" si="0"/>
        <v>103511.48395086857</v>
      </c>
      <c r="Q11" s="222">
        <f t="shared" si="0"/>
        <v>109605.47977604985</v>
      </c>
    </row>
    <row r="12" spans="2:17" x14ac:dyDescent="0.2">
      <c r="B12" s="16"/>
      <c r="C12" s="219"/>
      <c r="D12" s="219"/>
      <c r="E12" s="219"/>
      <c r="F12" s="219"/>
      <c r="G12" s="219"/>
      <c r="H12" s="220"/>
      <c r="I12" s="220"/>
      <c r="J12" s="220"/>
      <c r="K12" s="220"/>
      <c r="L12" s="220"/>
      <c r="M12" s="220"/>
      <c r="N12" s="220"/>
      <c r="O12" s="220"/>
      <c r="P12" s="220"/>
      <c r="Q12" s="220"/>
    </row>
    <row r="13" spans="2:17" ht="15" x14ac:dyDescent="0.25">
      <c r="B13" s="143" t="s">
        <v>288</v>
      </c>
      <c r="C13" s="219"/>
      <c r="D13" s="219"/>
      <c r="E13" s="219"/>
      <c r="F13" s="219"/>
      <c r="G13" s="219"/>
      <c r="H13" s="220"/>
      <c r="I13" s="220"/>
      <c r="J13" s="220"/>
      <c r="K13" s="220"/>
      <c r="L13" s="220"/>
      <c r="M13" s="220"/>
      <c r="N13" s="220"/>
      <c r="O13" s="220"/>
      <c r="P13" s="220"/>
      <c r="Q13" s="220"/>
    </row>
    <row r="14" spans="2:17" x14ac:dyDescent="0.2">
      <c r="B14" s="7" t="s">
        <v>19</v>
      </c>
      <c r="C14" s="219">
        <f>'Balance Sheet'!C24</f>
        <v>10025</v>
      </c>
      <c r="D14" s="219">
        <f>'Balance Sheet'!D24</f>
        <v>15255</v>
      </c>
      <c r="E14" s="219">
        <f>'Balance Sheet'!E24</f>
        <v>14431</v>
      </c>
      <c r="F14" s="219">
        <f>'Balance Sheet'!F24</f>
        <v>12474</v>
      </c>
      <c r="G14" s="219">
        <f>'Balance Sheet'!G24</f>
        <v>13371</v>
      </c>
      <c r="H14" s="220">
        <f>'Balance Sheet'!H24</f>
        <v>20981.800894538035</v>
      </c>
      <c r="I14" s="220">
        <f>'Balance Sheet'!I24</f>
        <v>23713.233010212829</v>
      </c>
      <c r="J14" s="220">
        <f>'Balance Sheet'!J24</f>
        <v>27332.8722338718</v>
      </c>
      <c r="K14" s="220">
        <f>'Balance Sheet'!K24</f>
        <v>31028.651188738113</v>
      </c>
      <c r="L14" s="220">
        <f>'Balance Sheet'!L24</f>
        <v>35464.346930093394</v>
      </c>
      <c r="M14" s="220">
        <f>'Balance Sheet'!M24</f>
        <v>39520.480719663123</v>
      </c>
      <c r="N14" s="220">
        <f>'Balance Sheet'!N24</f>
        <v>43602.792871637685</v>
      </c>
      <c r="O14" s="220">
        <f>'Balance Sheet'!O24</f>
        <v>47712.854087761356</v>
      </c>
      <c r="P14" s="220">
        <f>'Balance Sheet'!P24</f>
        <v>51852.329311883121</v>
      </c>
      <c r="Q14" s="220">
        <f>'Balance Sheet'!Q24</f>
        <v>56022.98338448281</v>
      </c>
    </row>
    <row r="15" spans="2:17" x14ac:dyDescent="0.2">
      <c r="B15" s="7" t="s">
        <v>32</v>
      </c>
      <c r="C15" s="219">
        <f>'Balance Sheet'!C25</f>
        <v>5719</v>
      </c>
      <c r="D15" s="219">
        <f>'Balance Sheet'!D25</f>
        <v>8205</v>
      </c>
      <c r="E15" s="219">
        <f>'Balance Sheet'!E25</f>
        <v>9080</v>
      </c>
      <c r="F15" s="219">
        <f>'Balance Sheet'!F25</f>
        <v>10723</v>
      </c>
      <c r="G15" s="219">
        <f>'Balance Sheet'!G25</f>
        <v>13279</v>
      </c>
      <c r="H15" s="220">
        <f>'Balance Sheet'!H25</f>
        <v>15618.000349814167</v>
      </c>
      <c r="I15" s="220">
        <f>'Balance Sheet'!I25</f>
        <v>17608.0126729888</v>
      </c>
      <c r="J15" s="220">
        <f>'Balance Sheet'!J25</f>
        <v>20258.847204971269</v>
      </c>
      <c r="K15" s="220">
        <f>'Balance Sheet'!K25</f>
        <v>22963.599770925997</v>
      </c>
      <c r="L15" s="220">
        <f>'Balance Sheet'!L25</f>
        <v>26238.346950831416</v>
      </c>
      <c r="M15" s="220">
        <f>'Balance Sheet'!M25</f>
        <v>29218.119159269852</v>
      </c>
      <c r="N15" s="220">
        <f>'Balance Sheet'!N25</f>
        <v>32216.136093678018</v>
      </c>
      <c r="O15" s="220">
        <f>'Balance Sheet'!O25</f>
        <v>35233.492437614113</v>
      </c>
      <c r="P15" s="220">
        <f>'Balance Sheet'!P25</f>
        <v>38271.348555649805</v>
      </c>
      <c r="Q15" s="220">
        <f>'Balance Sheet'!Q25</f>
        <v>41330.934434231065</v>
      </c>
    </row>
    <row r="16" spans="2:17" x14ac:dyDescent="0.2">
      <c r="B16" s="7" t="s">
        <v>20</v>
      </c>
      <c r="C16" s="219">
        <f>'Balance Sheet'!C28</f>
        <v>1447</v>
      </c>
      <c r="D16" s="219">
        <f>'Balance Sheet'!D28</f>
        <v>1747</v>
      </c>
      <c r="E16" s="219">
        <f>'Balance Sheet'!E28</f>
        <v>2864</v>
      </c>
      <c r="F16" s="219">
        <f>'Balance Sheet'!F28</f>
        <v>3168</v>
      </c>
      <c r="G16" s="219">
        <f>'Balance Sheet'!G28</f>
        <v>3424</v>
      </c>
      <c r="H16" s="220">
        <f>'Balance Sheet'!H28</f>
        <v>4285.0777348668826</v>
      </c>
      <c r="I16" s="220">
        <f>'Balance Sheet'!I28</f>
        <v>4831.0732084966294</v>
      </c>
      <c r="J16" s="220">
        <f>'Balance Sheet'!J28</f>
        <v>5558.3770743817076</v>
      </c>
      <c r="K16" s="220">
        <f>'Balance Sheet'!K28</f>
        <v>6300.474317248948</v>
      </c>
      <c r="L16" s="220">
        <f>'Balance Sheet'!L28</f>
        <v>7198.9597772071929</v>
      </c>
      <c r="M16" s="220">
        <f>'Balance Sheet'!M28</f>
        <v>8016.5135779091243</v>
      </c>
      <c r="N16" s="220">
        <f>'Balance Sheet'!N28</f>
        <v>8839.0731455005771</v>
      </c>
      <c r="O16" s="220">
        <f>'Balance Sheet'!O28</f>
        <v>9666.9388259949264</v>
      </c>
      <c r="P16" s="220">
        <f>'Balance Sheet'!P28</f>
        <v>10500.428986166346</v>
      </c>
      <c r="Q16" s="220">
        <f>'Balance Sheet'!Q28</f>
        <v>11339.881094795455</v>
      </c>
    </row>
    <row r="17" spans="2:17" x14ac:dyDescent="0.2">
      <c r="B17" s="7" t="s">
        <v>21</v>
      </c>
      <c r="C17" s="219">
        <f>'Balance Sheet'!C31</f>
        <v>925</v>
      </c>
      <c r="D17" s="219">
        <f>'Balance Sheet'!D31</f>
        <v>0</v>
      </c>
      <c r="E17" s="219">
        <f>'Balance Sheet'!E31</f>
        <v>0</v>
      </c>
      <c r="F17" s="219">
        <f>'Balance Sheet'!F31</f>
        <v>0</v>
      </c>
      <c r="G17" s="219">
        <f>'Balance Sheet'!G31</f>
        <v>0</v>
      </c>
      <c r="H17" s="220">
        <f>'Balance Sheet'!H31</f>
        <v>0</v>
      </c>
      <c r="I17" s="220">
        <f>'Balance Sheet'!I31</f>
        <v>0</v>
      </c>
      <c r="J17" s="220">
        <f>'Balance Sheet'!J31</f>
        <v>0</v>
      </c>
      <c r="K17" s="220">
        <f>'Balance Sheet'!K31</f>
        <v>0</v>
      </c>
      <c r="L17" s="220">
        <f>'Balance Sheet'!L31</f>
        <v>0</v>
      </c>
      <c r="M17" s="220">
        <f>'Balance Sheet'!M31</f>
        <v>0</v>
      </c>
      <c r="N17" s="220">
        <f>'Balance Sheet'!N31</f>
        <v>0</v>
      </c>
      <c r="O17" s="220">
        <f>'Balance Sheet'!O31</f>
        <v>0</v>
      </c>
      <c r="P17" s="220">
        <f>'Balance Sheet'!P31</f>
        <v>0</v>
      </c>
      <c r="Q17" s="220">
        <f>'Balance Sheet'!Q31</f>
        <v>0</v>
      </c>
    </row>
    <row r="18" spans="2:17" ht="15" x14ac:dyDescent="0.25">
      <c r="B18" s="144" t="s">
        <v>289</v>
      </c>
      <c r="C18" s="221">
        <f t="shared" ref="C18:H18" si="1">SUM(C14:C17)</f>
        <v>18116</v>
      </c>
      <c r="D18" s="221">
        <f t="shared" si="1"/>
        <v>25207</v>
      </c>
      <c r="E18" s="221">
        <f t="shared" si="1"/>
        <v>26375</v>
      </c>
      <c r="F18" s="221">
        <f t="shared" si="1"/>
        <v>26365</v>
      </c>
      <c r="G18" s="221">
        <f t="shared" si="1"/>
        <v>30074</v>
      </c>
      <c r="H18" s="222">
        <f t="shared" si="1"/>
        <v>40884.878979219087</v>
      </c>
      <c r="I18" s="222">
        <f t="shared" ref="I18:Q18" si="2">SUM(I14:I17)</f>
        <v>46152.318891698262</v>
      </c>
      <c r="J18" s="222">
        <f t="shared" si="2"/>
        <v>53150.096513224773</v>
      </c>
      <c r="K18" s="222">
        <f t="shared" si="2"/>
        <v>60292.725276913057</v>
      </c>
      <c r="L18" s="222">
        <f t="shared" si="2"/>
        <v>68901.653658131996</v>
      </c>
      <c r="M18" s="222">
        <f t="shared" si="2"/>
        <v>76755.113456842097</v>
      </c>
      <c r="N18" s="222">
        <f t="shared" si="2"/>
        <v>84658.002110816276</v>
      </c>
      <c r="O18" s="222">
        <f t="shared" si="2"/>
        <v>92613.285351370403</v>
      </c>
      <c r="P18" s="222">
        <f t="shared" si="2"/>
        <v>100624.10685369927</v>
      </c>
      <c r="Q18" s="222">
        <f t="shared" si="2"/>
        <v>108693.79891350932</v>
      </c>
    </row>
    <row r="19" spans="2:17" x14ac:dyDescent="0.2">
      <c r="B19" s="16"/>
      <c r="C19" s="219"/>
      <c r="D19" s="219"/>
      <c r="E19" s="219"/>
      <c r="F19" s="219"/>
      <c r="G19" s="219"/>
      <c r="H19" s="220"/>
      <c r="I19" s="220"/>
      <c r="J19" s="220"/>
      <c r="K19" s="220"/>
      <c r="L19" s="220"/>
      <c r="M19" s="220"/>
      <c r="N19" s="220"/>
      <c r="O19" s="220"/>
      <c r="P19" s="220"/>
      <c r="Q19" s="220"/>
    </row>
    <row r="20" spans="2:17" ht="15" x14ac:dyDescent="0.25">
      <c r="B20" s="143" t="s">
        <v>290</v>
      </c>
      <c r="C20" s="219">
        <f>C11-C18</f>
        <v>-8592</v>
      </c>
      <c r="D20" s="219">
        <f>D11-D18</f>
        <v>-543</v>
      </c>
      <c r="E20" s="219">
        <f>E11-E18</f>
        <v>6843</v>
      </c>
      <c r="F20" s="219">
        <f>F11-F18</f>
        <v>15856</v>
      </c>
      <c r="G20" s="219">
        <f>G11-G18</f>
        <v>22055</v>
      </c>
      <c r="H20" s="220">
        <f t="shared" ref="H20:Q20" si="3">H11-H18</f>
        <v>17513.951355873163</v>
      </c>
      <c r="I20" s="220">
        <f t="shared" si="3"/>
        <v>16225.683683004856</v>
      </c>
      <c r="J20" s="220">
        <f t="shared" si="3"/>
        <v>14512.869314350733</v>
      </c>
      <c r="K20" s="220">
        <f t="shared" si="3"/>
        <v>12764.78202109602</v>
      </c>
      <c r="L20" s="220">
        <f t="shared" si="3"/>
        <v>10655.02363862659</v>
      </c>
      <c r="M20" s="220">
        <f t="shared" si="3"/>
        <v>8731.8539022285986</v>
      </c>
      <c r="N20" s="220">
        <f t="shared" si="3"/>
        <v>6796.6770552108646</v>
      </c>
      <c r="O20" s="220">
        <f t="shared" si="3"/>
        <v>4848.7726709362323</v>
      </c>
      <c r="P20" s="220">
        <f t="shared" si="3"/>
        <v>2887.3770971693011</v>
      </c>
      <c r="Q20" s="220">
        <f t="shared" si="3"/>
        <v>911.68086254052469</v>
      </c>
    </row>
    <row r="21" spans="2:17" x14ac:dyDescent="0.2">
      <c r="B21" s="16"/>
      <c r="C21" s="219"/>
      <c r="D21" s="219"/>
      <c r="E21" s="219"/>
      <c r="F21" s="219"/>
      <c r="G21" s="219"/>
      <c r="H21" s="220"/>
      <c r="I21" s="220"/>
      <c r="J21" s="220"/>
      <c r="K21" s="220"/>
      <c r="L21" s="220"/>
      <c r="M21" s="220"/>
      <c r="N21" s="220"/>
      <c r="O21" s="220"/>
      <c r="P21" s="220"/>
      <c r="Q21" s="220"/>
    </row>
    <row r="22" spans="2:17" ht="15" x14ac:dyDescent="0.25">
      <c r="B22" s="143" t="s">
        <v>291</v>
      </c>
      <c r="C22" s="219"/>
      <c r="D22" s="219"/>
      <c r="E22" s="219"/>
      <c r="F22" s="219"/>
      <c r="G22" s="219"/>
      <c r="H22" s="220"/>
      <c r="I22" s="220"/>
      <c r="J22" s="220"/>
      <c r="K22" s="220"/>
      <c r="L22" s="220"/>
      <c r="M22" s="220"/>
      <c r="N22" s="220"/>
      <c r="O22" s="220"/>
      <c r="P22" s="220"/>
      <c r="Q22" s="220"/>
    </row>
    <row r="23" spans="2:17" x14ac:dyDescent="0.2">
      <c r="B23" s="7" t="s">
        <v>89</v>
      </c>
      <c r="C23" s="219">
        <f>'Balance Sheet'!C13</f>
        <v>6527</v>
      </c>
      <c r="D23" s="219">
        <f>'Balance Sheet'!D13</f>
        <v>7598</v>
      </c>
      <c r="E23" s="219">
        <f>'Balance Sheet'!E13</f>
        <v>10169</v>
      </c>
      <c r="F23" s="219">
        <f>'Balance Sheet'!F13</f>
        <v>10741</v>
      </c>
      <c r="G23" s="219">
        <f>'Balance Sheet'!G13</f>
        <v>10939</v>
      </c>
      <c r="H23" s="220">
        <f>'Balance Sheet'!H13</f>
        <v>10939</v>
      </c>
      <c r="I23" s="220">
        <f>'Balance Sheet'!I13</f>
        <v>10939</v>
      </c>
      <c r="J23" s="220">
        <f>'Balance Sheet'!J13</f>
        <v>10939</v>
      </c>
      <c r="K23" s="220">
        <f>'Balance Sheet'!K13</f>
        <v>10939</v>
      </c>
      <c r="L23" s="220">
        <f>'Balance Sheet'!L13</f>
        <v>10939</v>
      </c>
      <c r="M23" s="220">
        <f>'Balance Sheet'!M13</f>
        <v>10939</v>
      </c>
      <c r="N23" s="220">
        <f>'Balance Sheet'!N13</f>
        <v>10939</v>
      </c>
      <c r="O23" s="220">
        <f>'Balance Sheet'!O13</f>
        <v>10939</v>
      </c>
      <c r="P23" s="220">
        <f>'Balance Sheet'!P13</f>
        <v>10939</v>
      </c>
      <c r="Q23" s="220">
        <f>'Balance Sheet'!Q13</f>
        <v>10939</v>
      </c>
    </row>
    <row r="24" spans="2:17" x14ac:dyDescent="0.2">
      <c r="B24" s="7" t="s">
        <v>90</v>
      </c>
      <c r="C24" s="219">
        <f>'Balance Sheet'!C14</f>
        <v>5765</v>
      </c>
      <c r="D24" s="219">
        <f>'Balance Sheet'!D14</f>
        <v>5489</v>
      </c>
      <c r="E24" s="219">
        <f>'Balance Sheet'!E14</f>
        <v>5229</v>
      </c>
      <c r="F24" s="219">
        <f>'Balance Sheet'!F14</f>
        <v>4924</v>
      </c>
      <c r="G24" s="219">
        <f>'Balance Sheet'!G14</f>
        <v>4604</v>
      </c>
      <c r="H24" s="220">
        <f>'Balance Sheet'!H14</f>
        <v>4604</v>
      </c>
      <c r="I24" s="220">
        <f>'Balance Sheet'!I14</f>
        <v>4604</v>
      </c>
      <c r="J24" s="220">
        <f>'Balance Sheet'!J14</f>
        <v>4604</v>
      </c>
      <c r="K24" s="220">
        <f>'Balance Sheet'!K14</f>
        <v>4604</v>
      </c>
      <c r="L24" s="220">
        <f>'Balance Sheet'!L14</f>
        <v>4604</v>
      </c>
      <c r="M24" s="220">
        <f>'Balance Sheet'!M14</f>
        <v>4604</v>
      </c>
      <c r="N24" s="220">
        <f>'Balance Sheet'!N14</f>
        <v>4604</v>
      </c>
      <c r="O24" s="220">
        <f>'Balance Sheet'!O14</f>
        <v>4604</v>
      </c>
      <c r="P24" s="220">
        <f>'Balance Sheet'!P14</f>
        <v>4604</v>
      </c>
      <c r="Q24" s="220">
        <f>'Balance Sheet'!Q14</f>
        <v>4604</v>
      </c>
    </row>
    <row r="25" spans="2:17" x14ac:dyDescent="0.2">
      <c r="B25" s="7" t="s">
        <v>91</v>
      </c>
      <c r="C25" s="219">
        <f>'Balance Sheet'!C15</f>
        <v>18884</v>
      </c>
      <c r="D25" s="219">
        <f>'Balance Sheet'!D15</f>
        <v>23548</v>
      </c>
      <c r="E25" s="219">
        <f>'Balance Sheet'!E15</f>
        <v>29725</v>
      </c>
      <c r="F25" s="219">
        <f>'Balance Sheet'!F15</f>
        <v>35836</v>
      </c>
      <c r="G25" s="219">
        <f>'Balance Sheet'!G15</f>
        <v>40643</v>
      </c>
      <c r="H25" s="220">
        <f>'Balance Sheet'!H15</f>
        <v>46820.736000000004</v>
      </c>
      <c r="I25" s="220">
        <f>'Balance Sheet'!I15</f>
        <v>53417.257472000005</v>
      </c>
      <c r="J25" s="220">
        <f>'Balance Sheet'!J15</f>
        <v>60365.121746944009</v>
      </c>
      <c r="K25" s="220">
        <f>'Balance Sheet'!K15</f>
        <v>67568.164609957894</v>
      </c>
      <c r="L25" s="220">
        <f>'Balance Sheet'!L15</f>
        <v>74896.150865536853</v>
      </c>
      <c r="M25" s="220">
        <f>'Balance Sheet'!M15</f>
        <v>82178.881048442883</v>
      </c>
      <c r="N25" s="220">
        <f>'Balance Sheet'!N15</f>
        <v>89199.767013206205</v>
      </c>
      <c r="O25" s="220">
        <f>'Balance Sheet'!O15</f>
        <v>95688.907571733478</v>
      </c>
      <c r="P25" s="220">
        <f>'Balance Sheet'!P15</f>
        <v>101315.71807463985</v>
      </c>
      <c r="Q25" s="220">
        <f>'Balance Sheet'!Q15</f>
        <v>105681.19541227011</v>
      </c>
    </row>
    <row r="26" spans="2:17" x14ac:dyDescent="0.2">
      <c r="B26" s="7" t="s">
        <v>93</v>
      </c>
      <c r="C26" s="219">
        <f>'Balance Sheet'!C16</f>
        <v>257</v>
      </c>
      <c r="D26" s="219">
        <f>'Balance Sheet'!D16</f>
        <v>215</v>
      </c>
      <c r="E26" s="219">
        <f>'Balance Sheet'!E16</f>
        <v>178</v>
      </c>
      <c r="F26" s="219">
        <f>'Balance Sheet'!F16</f>
        <v>1076</v>
      </c>
      <c r="G26" s="219">
        <f>'Balance Sheet'!G16</f>
        <v>1008</v>
      </c>
      <c r="H26" s="220">
        <f>'Balance Sheet'!H16</f>
        <v>1008</v>
      </c>
      <c r="I26" s="220">
        <f>'Balance Sheet'!I16</f>
        <v>1008</v>
      </c>
      <c r="J26" s="220">
        <f>'Balance Sheet'!J16</f>
        <v>1008</v>
      </c>
      <c r="K26" s="220">
        <f>'Balance Sheet'!K16</f>
        <v>1008</v>
      </c>
      <c r="L26" s="220">
        <f>'Balance Sheet'!L16</f>
        <v>1008</v>
      </c>
      <c r="M26" s="220">
        <f>'Balance Sheet'!M16</f>
        <v>1008</v>
      </c>
      <c r="N26" s="220">
        <f>'Balance Sheet'!N16</f>
        <v>1008</v>
      </c>
      <c r="O26" s="220">
        <f>'Balance Sheet'!O16</f>
        <v>1008</v>
      </c>
      <c r="P26" s="220">
        <f>'Balance Sheet'!P16</f>
        <v>1008</v>
      </c>
      <c r="Q26" s="220">
        <f>'Balance Sheet'!Q16</f>
        <v>1008</v>
      </c>
    </row>
    <row r="27" spans="2:17" x14ac:dyDescent="0.2">
      <c r="B27" s="7" t="s">
        <v>248</v>
      </c>
      <c r="C27" s="219">
        <f>'Balance Sheet'!C17</f>
        <v>0</v>
      </c>
      <c r="D27" s="219">
        <f>'Balance Sheet'!D17</f>
        <v>328</v>
      </c>
      <c r="E27" s="219">
        <f>'Balance Sheet'!E17</f>
        <v>6733</v>
      </c>
      <c r="F27" s="219">
        <f>'Balance Sheet'!F17</f>
        <v>6524</v>
      </c>
      <c r="G27" s="219">
        <f>'Balance Sheet'!G17</f>
        <v>6925</v>
      </c>
      <c r="H27" s="220">
        <f>'Balance Sheet'!H17</f>
        <v>6925</v>
      </c>
      <c r="I27" s="220">
        <f>'Balance Sheet'!I17</f>
        <v>6925</v>
      </c>
      <c r="J27" s="220">
        <f>'Balance Sheet'!J17</f>
        <v>6925</v>
      </c>
      <c r="K27" s="220">
        <f>'Balance Sheet'!K17</f>
        <v>6925</v>
      </c>
      <c r="L27" s="220">
        <f>'Balance Sheet'!L17</f>
        <v>6925</v>
      </c>
      <c r="M27" s="220">
        <f>'Balance Sheet'!M17</f>
        <v>6925</v>
      </c>
      <c r="N27" s="220">
        <f>'Balance Sheet'!N17</f>
        <v>6925</v>
      </c>
      <c r="O27" s="220">
        <f>'Balance Sheet'!O17</f>
        <v>6925</v>
      </c>
      <c r="P27" s="220">
        <f>'Balance Sheet'!P17</f>
        <v>6925</v>
      </c>
      <c r="Q27" s="220">
        <f>'Balance Sheet'!Q17</f>
        <v>6925</v>
      </c>
    </row>
    <row r="28" spans="2:17" x14ac:dyDescent="0.2">
      <c r="B28" s="7" t="s">
        <v>250</v>
      </c>
      <c r="C28" s="219">
        <f>'Balance Sheet'!C18</f>
        <v>200</v>
      </c>
      <c r="D28" s="219">
        <f>'Balance Sheet'!D18</f>
        <v>194</v>
      </c>
      <c r="E28" s="219">
        <f>'Balance Sheet'!E18</f>
        <v>253</v>
      </c>
      <c r="F28" s="219">
        <f>'Balance Sheet'!F18</f>
        <v>0</v>
      </c>
      <c r="G28" s="219">
        <f>'Balance Sheet'!G18</f>
        <v>0</v>
      </c>
      <c r="H28" s="220">
        <f>'Balance Sheet'!H18</f>
        <v>0</v>
      </c>
      <c r="I28" s="220">
        <f>'Balance Sheet'!I18</f>
        <v>0</v>
      </c>
      <c r="J28" s="220">
        <f>'Balance Sheet'!J18</f>
        <v>0</v>
      </c>
      <c r="K28" s="220">
        <f>'Balance Sheet'!K18</f>
        <v>0</v>
      </c>
      <c r="L28" s="220">
        <f>'Balance Sheet'!L18</f>
        <v>0</v>
      </c>
      <c r="M28" s="220">
        <f>'Balance Sheet'!M18</f>
        <v>0</v>
      </c>
      <c r="N28" s="220">
        <f>'Balance Sheet'!N18</f>
        <v>0</v>
      </c>
      <c r="O28" s="220">
        <f>'Balance Sheet'!O18</f>
        <v>0</v>
      </c>
      <c r="P28" s="220">
        <f>'Balance Sheet'!P18</f>
        <v>0</v>
      </c>
      <c r="Q28" s="220">
        <f>'Balance Sheet'!Q18</f>
        <v>0</v>
      </c>
    </row>
    <row r="29" spans="2:17" x14ac:dyDescent="0.2">
      <c r="B29" s="7" t="s">
        <v>251</v>
      </c>
      <c r="C29" s="219">
        <f>'Balance Sheet'!C19</f>
        <v>1260</v>
      </c>
      <c r="D29" s="219">
        <f>'Balance Sheet'!D19</f>
        <v>184</v>
      </c>
      <c r="E29" s="219">
        <f>'Balance Sheet'!E19</f>
        <v>184</v>
      </c>
      <c r="F29" s="219">
        <f>'Balance Sheet'!F19</f>
        <v>0</v>
      </c>
      <c r="G29" s="219">
        <f>'Balance Sheet'!G19</f>
        <v>0</v>
      </c>
      <c r="H29" s="220">
        <f>'Balance Sheet'!H19</f>
        <v>0</v>
      </c>
      <c r="I29" s="220">
        <f>'Balance Sheet'!I19</f>
        <v>0</v>
      </c>
      <c r="J29" s="220">
        <f>'Balance Sheet'!J19</f>
        <v>0</v>
      </c>
      <c r="K29" s="220">
        <f>'Balance Sheet'!K19</f>
        <v>0</v>
      </c>
      <c r="L29" s="220">
        <f>'Balance Sheet'!L19</f>
        <v>0</v>
      </c>
      <c r="M29" s="220">
        <f>'Balance Sheet'!M19</f>
        <v>0</v>
      </c>
      <c r="N29" s="220">
        <f>'Balance Sheet'!N19</f>
        <v>0</v>
      </c>
      <c r="O29" s="220">
        <f>'Balance Sheet'!O19</f>
        <v>0</v>
      </c>
      <c r="P29" s="220">
        <f>'Balance Sheet'!P19</f>
        <v>0</v>
      </c>
      <c r="Q29" s="220">
        <f>'Balance Sheet'!Q19</f>
        <v>0</v>
      </c>
    </row>
    <row r="30" spans="2:17" x14ac:dyDescent="0.2">
      <c r="B30" s="7" t="s">
        <v>17</v>
      </c>
      <c r="C30" s="219">
        <f>'Balance Sheet'!C20</f>
        <v>2138</v>
      </c>
      <c r="D30" s="219">
        <f>'Balance Sheet'!D20</f>
        <v>3865</v>
      </c>
      <c r="E30" s="219">
        <f>'Balance Sheet'!E20</f>
        <v>4531</v>
      </c>
      <c r="F30" s="219">
        <f>'Balance Sheet'!F20</f>
        <v>4609</v>
      </c>
      <c r="G30" s="219">
        <f>'Balance Sheet'!G20</f>
        <v>5045</v>
      </c>
      <c r="H30" s="220">
        <f>'Balance Sheet'!H20</f>
        <v>6276.0969370087168</v>
      </c>
      <c r="I30" s="220">
        <f>'Balance Sheet'!I20</f>
        <v>7075.783834584854</v>
      </c>
      <c r="J30" s="220">
        <f>'Balance Sheet'!J20</f>
        <v>8141.0222847101322</v>
      </c>
      <c r="K30" s="220">
        <f>'Balance Sheet'!K20</f>
        <v>9227.9277088579129</v>
      </c>
      <c r="L30" s="220">
        <f>'Balance Sheet'!L20</f>
        <v>10543.885596227718</v>
      </c>
      <c r="M30" s="220">
        <f>'Balance Sheet'!M20</f>
        <v>11741.307725276823</v>
      </c>
      <c r="N30" s="220">
        <f>'Balance Sheet'!N20</f>
        <v>12946.061501541353</v>
      </c>
      <c r="O30" s="220">
        <f>'Balance Sheet'!O20</f>
        <v>14158.586823854235</v>
      </c>
      <c r="P30" s="220">
        <f>'Balance Sheet'!P20</f>
        <v>15379.349984978371</v>
      </c>
      <c r="Q30" s="220">
        <f>'Balance Sheet'!Q20</f>
        <v>16608.845255242431</v>
      </c>
    </row>
    <row r="31" spans="2:17" ht="15" x14ac:dyDescent="0.25">
      <c r="B31" s="144" t="s">
        <v>296</v>
      </c>
      <c r="C31" s="223">
        <f>SUM(C23:C30)</f>
        <v>35031</v>
      </c>
      <c r="D31" s="223">
        <f>SUM(D23:D30)</f>
        <v>41421</v>
      </c>
      <c r="E31" s="223">
        <f>SUM(E23:E30)</f>
        <v>57002</v>
      </c>
      <c r="F31" s="223">
        <f>SUM(F23:F30)</f>
        <v>63710</v>
      </c>
      <c r="G31" s="223">
        <f>SUM(G23:G30)</f>
        <v>69164</v>
      </c>
      <c r="H31" s="224">
        <f t="shared" ref="H31:Q31" si="4">SUM(H23:H30)</f>
        <v>76572.832937008716</v>
      </c>
      <c r="I31" s="224">
        <f t="shared" si="4"/>
        <v>83969.041306584855</v>
      </c>
      <c r="J31" s="224">
        <f t="shared" si="4"/>
        <v>91982.144031654141</v>
      </c>
      <c r="K31" s="224">
        <f t="shared" si="4"/>
        <v>100272.0923188158</v>
      </c>
      <c r="L31" s="224">
        <f t="shared" si="4"/>
        <v>108916.03646176457</v>
      </c>
      <c r="M31" s="224">
        <f t="shared" si="4"/>
        <v>117396.18877371971</v>
      </c>
      <c r="N31" s="224">
        <f t="shared" si="4"/>
        <v>125621.82851474755</v>
      </c>
      <c r="O31" s="224">
        <f t="shared" si="4"/>
        <v>133323.49439558771</v>
      </c>
      <c r="P31" s="224">
        <f t="shared" si="4"/>
        <v>140171.06805961824</v>
      </c>
      <c r="Q31" s="224">
        <f t="shared" si="4"/>
        <v>145766.04066751254</v>
      </c>
    </row>
    <row r="32" spans="2:17" ht="15.75" customHeight="1" x14ac:dyDescent="0.2">
      <c r="B32" s="151" t="s">
        <v>293</v>
      </c>
      <c r="C32" s="225">
        <f>-'Cash Flow'!C8</f>
        <v>0</v>
      </c>
      <c r="D32" s="225">
        <f>-'Cash Flow'!D8</f>
        <v>-3747</v>
      </c>
      <c r="E32" s="225">
        <f>-'Cash Flow'!E8</f>
        <v>-4667</v>
      </c>
      <c r="F32" s="225">
        <f>-'Cash Flow'!F8</f>
        <v>-5368</v>
      </c>
      <c r="G32" s="225">
        <f>-'Cash Flow'!G8</f>
        <v>-6148</v>
      </c>
      <c r="H32" s="226">
        <f>-'Cash Flow'!H8</f>
        <v>-5202.3040000000001</v>
      </c>
      <c r="I32" s="226">
        <f>-'Cash Flow'!I8</f>
        <v>-6513.2846079999999</v>
      </c>
      <c r="J32" s="226">
        <f>-'Cash Flow'!J8</f>
        <v>-8008.9678172160002</v>
      </c>
      <c r="K32" s="226">
        <f>-'Cash Flow'!K8</f>
        <v>-9699.1912261304333</v>
      </c>
      <c r="L32" s="226">
        <f>-'Cash Flow'!L8</f>
        <v>-11591.099835209254</v>
      </c>
      <c r="M32" s="226">
        <f>-'Cash Flow'!M8</f>
        <v>-13688.192059444285</v>
      </c>
      <c r="N32" s="226">
        <f>-'Cash Flow'!N8</f>
        <v>-15989.200728800686</v>
      </c>
      <c r="O32" s="226">
        <f>-'Cash Flow'!O8</f>
        <v>-18486.794205170459</v>
      </c>
      <c r="P32" s="226">
        <f>-'Cash Flow'!P8</f>
        <v>-21166.083617178996</v>
      </c>
      <c r="Q32" s="226">
        <f>-'Cash Flow'!Q8</f>
        <v>-24002.923723268912</v>
      </c>
    </row>
    <row r="33" spans="2:17" ht="13.5" thickBot="1" x14ac:dyDescent="0.25">
      <c r="B33" s="150" t="s">
        <v>292</v>
      </c>
      <c r="C33" s="227">
        <f>C31+C32</f>
        <v>35031</v>
      </c>
      <c r="D33" s="227">
        <f>D31+D32</f>
        <v>37674</v>
      </c>
      <c r="E33" s="227">
        <f>E31+E32</f>
        <v>52335</v>
      </c>
      <c r="F33" s="227">
        <f>F31+F32</f>
        <v>58342</v>
      </c>
      <c r="G33" s="227">
        <f>G31+G32</f>
        <v>63016</v>
      </c>
      <c r="H33" s="228">
        <f t="shared" ref="H33:P33" si="5">H31+H32</f>
        <v>71370.528937008712</v>
      </c>
      <c r="I33" s="228">
        <f t="shared" si="5"/>
        <v>77455.756698584853</v>
      </c>
      <c r="J33" s="228">
        <f t="shared" si="5"/>
        <v>83973.176214438136</v>
      </c>
      <c r="K33" s="228">
        <f t="shared" si="5"/>
        <v>90572.901092685366</v>
      </c>
      <c r="L33" s="228">
        <f t="shared" si="5"/>
        <v>97324.936626555311</v>
      </c>
      <c r="M33" s="228">
        <f t="shared" si="5"/>
        <v>103707.99671427542</v>
      </c>
      <c r="N33" s="228">
        <f t="shared" si="5"/>
        <v>109632.62778594687</v>
      </c>
      <c r="O33" s="228">
        <f t="shared" si="5"/>
        <v>114836.70019041725</v>
      </c>
      <c r="P33" s="228">
        <f t="shared" si="5"/>
        <v>119004.98444243924</v>
      </c>
      <c r="Q33" s="228">
        <f>Q31+Q32</f>
        <v>121763.11694424364</v>
      </c>
    </row>
    <row r="34" spans="2:17" ht="13.5" thickTop="1" x14ac:dyDescent="0.2">
      <c r="C34" s="219"/>
      <c r="D34" s="219"/>
      <c r="E34" s="219"/>
      <c r="F34" s="219"/>
      <c r="G34" s="219"/>
      <c r="H34" s="220"/>
      <c r="I34" s="220"/>
      <c r="J34" s="220"/>
      <c r="K34" s="220"/>
      <c r="L34" s="220"/>
      <c r="M34" s="220"/>
      <c r="N34" s="220"/>
      <c r="O34" s="220"/>
      <c r="P34" s="220"/>
      <c r="Q34" s="220"/>
    </row>
    <row r="35" spans="2:17" ht="15" x14ac:dyDescent="0.25">
      <c r="B35" s="145" t="s">
        <v>297</v>
      </c>
      <c r="C35" s="229">
        <f t="shared" ref="C35:Q35" si="6">C33+C20</f>
        <v>26439</v>
      </c>
      <c r="D35" s="229">
        <f t="shared" si="6"/>
        <v>37131</v>
      </c>
      <c r="E35" s="229">
        <f t="shared" si="6"/>
        <v>59178</v>
      </c>
      <c r="F35" s="229">
        <f t="shared" si="6"/>
        <v>74198</v>
      </c>
      <c r="G35" s="229">
        <f t="shared" si="6"/>
        <v>85071</v>
      </c>
      <c r="H35" s="230">
        <f t="shared" si="6"/>
        <v>88884.480292881868</v>
      </c>
      <c r="I35" s="230">
        <f t="shared" si="6"/>
        <v>93681.440381589709</v>
      </c>
      <c r="J35" s="230">
        <f t="shared" si="6"/>
        <v>98486.045528788876</v>
      </c>
      <c r="K35" s="230">
        <f t="shared" si="6"/>
        <v>103337.68311378139</v>
      </c>
      <c r="L35" s="230">
        <f t="shared" si="6"/>
        <v>107979.9602651819</v>
      </c>
      <c r="M35" s="230">
        <f t="shared" si="6"/>
        <v>112439.85061650402</v>
      </c>
      <c r="N35" s="230">
        <f t="shared" si="6"/>
        <v>116429.30484115773</v>
      </c>
      <c r="O35" s="230">
        <f t="shared" si="6"/>
        <v>119685.47286135348</v>
      </c>
      <c r="P35" s="230">
        <f t="shared" si="6"/>
        <v>121892.36153960854</v>
      </c>
      <c r="Q35" s="230">
        <f t="shared" si="6"/>
        <v>122674.79780678416</v>
      </c>
    </row>
    <row r="36" spans="2:17" ht="15" x14ac:dyDescent="0.25">
      <c r="B36" s="145" t="s">
        <v>107</v>
      </c>
      <c r="C36" s="229">
        <f>'Cash Flow'!C7</f>
        <v>0</v>
      </c>
      <c r="D36" s="229">
        <f>'Cash Flow'!D7</f>
        <v>12524</v>
      </c>
      <c r="E36" s="229">
        <f>'Cash Flow'!E7</f>
        <v>13892</v>
      </c>
      <c r="F36" s="229">
        <f>'Cash Flow'!F7</f>
        <v>5239</v>
      </c>
      <c r="G36" s="229">
        <f>'Cash Flow'!G7</f>
        <v>2932</v>
      </c>
      <c r="H36" s="230">
        <f>'Cash Flow'!H7</f>
        <v>3900.1735427566246</v>
      </c>
      <c r="I36" s="230">
        <f>'Cash Flow'!I7</f>
        <v>4170.5787871832063</v>
      </c>
      <c r="J36" s="230">
        <f>'Cash Flow'!J7</f>
        <v>4604.3104439008803</v>
      </c>
      <c r="K36" s="230">
        <f>'Cash Flow'!K7</f>
        <v>5037.0319347260383</v>
      </c>
      <c r="L36" s="230">
        <f>'Cash Flow'!L7</f>
        <v>5713.0476994365154</v>
      </c>
      <c r="M36" s="230">
        <f>'Cash Flow'!M7</f>
        <v>6250.0726136505928</v>
      </c>
      <c r="N36" s="230">
        <f>'Cash Flow'!N7</f>
        <v>6785.1368549244762</v>
      </c>
      <c r="O36" s="230">
        <f>'Cash Flow'!O7</f>
        <v>7318.1227828818355</v>
      </c>
      <c r="P36" s="230">
        <f>'Cash Flow'!P7</f>
        <v>7848.9056987236108</v>
      </c>
      <c r="Q36" s="230">
        <f>'Cash Flow'!Q7</f>
        <v>8377.3534217228735</v>
      </c>
    </row>
    <row r="38" spans="2:17" x14ac:dyDescent="0.2">
      <c r="B38" s="148" t="s">
        <v>298</v>
      </c>
      <c r="C38" s="149">
        <f>C36/C35</f>
        <v>0</v>
      </c>
      <c r="D38" s="149">
        <f>D36/D35</f>
        <v>0.33729228946163581</v>
      </c>
      <c r="E38" s="149">
        <f>E36/E35</f>
        <v>0.23474940011490758</v>
      </c>
      <c r="F38" s="149">
        <f>F36/F35</f>
        <v>7.060837219332057E-2</v>
      </c>
      <c r="G38" s="149">
        <f>G36/G35</f>
        <v>3.4465328960515337E-2</v>
      </c>
      <c r="H38" s="149">
        <f t="shared" ref="H38:Q38" si="7">H36/H35</f>
        <v>4.3879128616213126E-2</v>
      </c>
      <c r="I38" s="149">
        <f t="shared" si="7"/>
        <v>4.4518730393078042E-2</v>
      </c>
      <c r="J38" s="149">
        <f t="shared" si="7"/>
        <v>4.6750891653528463E-2</v>
      </c>
      <c r="K38" s="149">
        <f t="shared" si="7"/>
        <v>4.8743418498941427E-2</v>
      </c>
      <c r="L38" s="149">
        <f t="shared" si="7"/>
        <v>5.2908407128564997E-2</v>
      </c>
      <c r="M38" s="149">
        <f t="shared" si="7"/>
        <v>5.5585920644519261E-2</v>
      </c>
      <c r="N38" s="149">
        <f t="shared" si="7"/>
        <v>5.8276881960098517E-2</v>
      </c>
      <c r="O38" s="149">
        <f t="shared" si="7"/>
        <v>6.1144620211003586E-2</v>
      </c>
      <c r="P38" s="149">
        <f t="shared" si="7"/>
        <v>6.4392104637115699E-2</v>
      </c>
      <c r="Q38" s="149">
        <f t="shared" si="7"/>
        <v>6.8289115380629456E-2</v>
      </c>
    </row>
    <row r="40" spans="2:17" x14ac:dyDescent="0.2">
      <c r="B40" s="148" t="s">
        <v>43</v>
      </c>
      <c r="C40" s="149">
        <f>'P&amp;L'!C14/'Balance Sheet'!C40</f>
        <v>0.17794615508624859</v>
      </c>
      <c r="D40" s="149">
        <f>'P&amp;L'!D14/'Balance Sheet'!D40</f>
        <v>0.27602277473674952</v>
      </c>
      <c r="E40" s="149">
        <f>'P&amp;L'!E14/'Balance Sheet'!E40</f>
        <v>0.2366689286221535</v>
      </c>
      <c r="F40" s="149">
        <f>'P&amp;L'!F14/'Balance Sheet'!F40</f>
        <v>9.6322860208919142E-2</v>
      </c>
      <c r="G40" s="149">
        <f>'P&amp;L'!G14/'Balance Sheet'!G40</f>
        <v>4.5817382588428518E-2</v>
      </c>
      <c r="H40" s="149">
        <f>'P&amp;L'!H14/'Balance Sheet'!H40</f>
        <v>4.1775907343106933E-2</v>
      </c>
      <c r="I40" s="149">
        <f>'P&amp;L'!I14/'Balance Sheet'!I40</f>
        <v>4.2975177071590091E-2</v>
      </c>
      <c r="J40" s="149">
        <f>'P&amp;L'!J14/'Balance Sheet'!J40</f>
        <v>4.5599835427630235E-2</v>
      </c>
      <c r="K40" s="149">
        <f>'P&amp;L'!K14/'Balance Sheet'!K40</f>
        <v>4.7776371154336889E-2</v>
      </c>
      <c r="L40" s="149">
        <f>'P&amp;L'!L14/'Balance Sheet'!L40</f>
        <v>5.175532659479657E-2</v>
      </c>
      <c r="M40" s="149">
        <f>'P&amp;L'!M14/'Balance Sheet'!M40</f>
        <v>5.3819224222314693E-2</v>
      </c>
      <c r="N40" s="149">
        <f>'P&amp;L'!N14/'Balance Sheet'!N40</f>
        <v>5.5401503340852455E-2</v>
      </c>
      <c r="O40" s="149">
        <f>'P&amp;L'!O14/'Balance Sheet'!O40</f>
        <v>5.6557243140660407E-2</v>
      </c>
      <c r="P40" s="149">
        <f>'P&amp;L'!P14/'Balance Sheet'!P40</f>
        <v>5.7340658344711463E-2</v>
      </c>
      <c r="Q40" s="149">
        <f>'P&amp;L'!Q14/'Balance Sheet'!Q40</f>
        <v>5.7803197810956511E-2</v>
      </c>
    </row>
    <row r="41" spans="2:17" x14ac:dyDescent="0.2">
      <c r="B41" s="213"/>
    </row>
    <row r="42" spans="2:17" ht="14.25" x14ac:dyDescent="0.2">
      <c r="B42" s="147" t="s">
        <v>299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4" spans="2:17" x14ac:dyDescent="0.2">
      <c r="B44" s="7" t="s">
        <v>357</v>
      </c>
      <c r="C44" s="82"/>
      <c r="D44" s="219">
        <f>'Balance Sheet'!D15-'Balance Sheet'!C15</f>
        <v>4664</v>
      </c>
      <c r="E44" s="219">
        <f>'Balance Sheet'!E15-'Balance Sheet'!D15</f>
        <v>6177</v>
      </c>
      <c r="F44" s="219">
        <f>'Balance Sheet'!F15-'Balance Sheet'!E15</f>
        <v>6111</v>
      </c>
      <c r="G44" s="219">
        <f>'Balance Sheet'!G15-'Balance Sheet'!F15</f>
        <v>4807</v>
      </c>
      <c r="H44" s="220">
        <f>'Balance Sheet'!H15-'Balance Sheet'!G15</f>
        <v>6177.7360000000044</v>
      </c>
      <c r="I44" s="220">
        <f>'Balance Sheet'!I15-'Balance Sheet'!H15</f>
        <v>6596.5214720000004</v>
      </c>
      <c r="J44" s="220">
        <f>'Balance Sheet'!J15-'Balance Sheet'!I15</f>
        <v>6947.8642749440041</v>
      </c>
      <c r="K44" s="220">
        <f>'Balance Sheet'!K15-'Balance Sheet'!J15</f>
        <v>7203.0428630138849</v>
      </c>
      <c r="L44" s="220">
        <f>'Balance Sheet'!L15-'Balance Sheet'!K15</f>
        <v>7327.9862555789587</v>
      </c>
      <c r="M44" s="220">
        <f>'Balance Sheet'!M15-'Balance Sheet'!L15</f>
        <v>7282.7301829060307</v>
      </c>
      <c r="N44" s="220">
        <f>'Balance Sheet'!N15-'Balance Sheet'!M15</f>
        <v>7020.8859647633217</v>
      </c>
      <c r="O44" s="220">
        <f>'Balance Sheet'!O15-'Balance Sheet'!N15</f>
        <v>6489.1405585272732</v>
      </c>
      <c r="P44" s="220">
        <f>'Balance Sheet'!P15-'Balance Sheet'!O15</f>
        <v>5626.8105029063736</v>
      </c>
      <c r="Q44" s="220">
        <f>'Balance Sheet'!Q15-'Balance Sheet'!P15</f>
        <v>4365.4773376302619</v>
      </c>
    </row>
    <row r="45" spans="2:17" ht="14.25" customHeight="1" x14ac:dyDescent="0.2">
      <c r="B45" s="7" t="s">
        <v>300</v>
      </c>
      <c r="C45" s="82"/>
      <c r="D45" s="219">
        <f t="shared" ref="D45:Q45" si="8">D20-C20</f>
        <v>8049</v>
      </c>
      <c r="E45" s="219">
        <f t="shared" si="8"/>
        <v>7386</v>
      </c>
      <c r="F45" s="219">
        <f t="shared" si="8"/>
        <v>9013</v>
      </c>
      <c r="G45" s="219">
        <f t="shared" si="8"/>
        <v>6199</v>
      </c>
      <c r="H45" s="220">
        <f t="shared" si="8"/>
        <v>-4541.0486441268367</v>
      </c>
      <c r="I45" s="220">
        <f t="shared" si="8"/>
        <v>-1288.2676728683073</v>
      </c>
      <c r="J45" s="220">
        <f t="shared" si="8"/>
        <v>-1712.8143686541225</v>
      </c>
      <c r="K45" s="220">
        <f t="shared" si="8"/>
        <v>-1748.0872932547136</v>
      </c>
      <c r="L45" s="220">
        <f t="shared" si="8"/>
        <v>-2109.7583824694302</v>
      </c>
      <c r="M45" s="220">
        <f t="shared" si="8"/>
        <v>-1923.1697363979911</v>
      </c>
      <c r="N45" s="220">
        <f t="shared" si="8"/>
        <v>-1935.176847017734</v>
      </c>
      <c r="O45" s="220">
        <f t="shared" si="8"/>
        <v>-1947.9043842746323</v>
      </c>
      <c r="P45" s="220">
        <f t="shared" si="8"/>
        <v>-1961.3955737669312</v>
      </c>
      <c r="Q45" s="220">
        <f t="shared" si="8"/>
        <v>-1975.6962346287764</v>
      </c>
    </row>
    <row r="46" spans="2:17" ht="15" x14ac:dyDescent="0.25">
      <c r="B46" s="144" t="s">
        <v>303</v>
      </c>
      <c r="C46" s="198"/>
      <c r="D46" s="342">
        <f>SUM(D44:D45)</f>
        <v>12713</v>
      </c>
      <c r="E46" s="342">
        <f t="shared" ref="E46:Q46" si="9">SUM(E44:E45)</f>
        <v>13563</v>
      </c>
      <c r="F46" s="342">
        <f t="shared" si="9"/>
        <v>15124</v>
      </c>
      <c r="G46" s="342">
        <f>SUM(G44:G45)</f>
        <v>11006</v>
      </c>
      <c r="H46" s="343">
        <f t="shared" si="9"/>
        <v>1636.6873558731677</v>
      </c>
      <c r="I46" s="343">
        <f t="shared" si="9"/>
        <v>5308.2537991316931</v>
      </c>
      <c r="J46" s="343">
        <f t="shared" si="9"/>
        <v>5235.0499062898816</v>
      </c>
      <c r="K46" s="343">
        <f t="shared" si="9"/>
        <v>5454.9555697591713</v>
      </c>
      <c r="L46" s="343">
        <f t="shared" si="9"/>
        <v>5218.2278731095284</v>
      </c>
      <c r="M46" s="343">
        <f t="shared" si="9"/>
        <v>5359.5604465080396</v>
      </c>
      <c r="N46" s="343">
        <f t="shared" si="9"/>
        <v>5085.7091177455877</v>
      </c>
      <c r="O46" s="343">
        <f t="shared" si="9"/>
        <v>4541.2361742526409</v>
      </c>
      <c r="P46" s="343">
        <f t="shared" si="9"/>
        <v>3665.4149291394424</v>
      </c>
      <c r="Q46" s="343">
        <f t="shared" si="9"/>
        <v>2389.7811030014855</v>
      </c>
    </row>
    <row r="47" spans="2:17" x14ac:dyDescent="0.2">
      <c r="B47" s="7"/>
      <c r="C47" s="82"/>
      <c r="D47" s="219"/>
      <c r="E47" s="219"/>
      <c r="F47" s="219"/>
      <c r="G47" s="219"/>
      <c r="H47" s="220"/>
      <c r="I47" s="220"/>
      <c r="J47" s="220"/>
      <c r="K47" s="220"/>
      <c r="L47" s="220"/>
      <c r="M47" s="220"/>
      <c r="N47" s="220"/>
      <c r="O47" s="220"/>
      <c r="P47" s="220"/>
      <c r="Q47" s="220"/>
    </row>
    <row r="48" spans="2:17" x14ac:dyDescent="0.2">
      <c r="B48" s="7" t="s">
        <v>301</v>
      </c>
      <c r="C48" s="82"/>
      <c r="D48" s="219">
        <f>'Cash Flow'!D5</f>
        <v>13656</v>
      </c>
      <c r="E48" s="219">
        <f>'Cash Flow'!E5</f>
        <v>8891</v>
      </c>
      <c r="F48" s="219">
        <f>'Cash Flow'!F5</f>
        <v>7076</v>
      </c>
      <c r="G48" s="219">
        <f>'Cash Flow'!G5</f>
        <v>4355</v>
      </c>
      <c r="H48" s="220">
        <f>'Cash Flow'!H5</f>
        <v>4936.9285351349681</v>
      </c>
      <c r="I48" s="220">
        <f>'Cash Flow'!I5</f>
        <v>5279.213654662286</v>
      </c>
      <c r="J48" s="220">
        <f>'Cash Flow'!J5</f>
        <v>5828.2410682289628</v>
      </c>
      <c r="K48" s="220">
        <f>'Cash Flow'!K5</f>
        <v>6375.9897907924533</v>
      </c>
      <c r="L48" s="220">
        <f>'Cash Flow'!L5</f>
        <v>7231.7059486538164</v>
      </c>
      <c r="M48" s="220">
        <f>'Cash Flow'!M5</f>
        <v>7911.4843210766994</v>
      </c>
      <c r="N48" s="220">
        <f>'Cash Flow'!N5</f>
        <v>8588.7808290183239</v>
      </c>
      <c r="O48" s="220">
        <f>'Cash Flow'!O5</f>
        <v>9263.4465606099184</v>
      </c>
      <c r="P48" s="220">
        <f>'Cash Flow'!P5</f>
        <v>9935.323669270394</v>
      </c>
      <c r="Q48" s="220">
        <f>'Cash Flow'!Q5</f>
        <v>10604.24483762389</v>
      </c>
    </row>
    <row r="49" spans="2:23" x14ac:dyDescent="0.2">
      <c r="B49" s="7" t="s">
        <v>304</v>
      </c>
      <c r="C49" s="82"/>
      <c r="D49" s="219">
        <f>'Cash Flow'!D6</f>
        <v>-1132</v>
      </c>
      <c r="E49" s="219">
        <f>'Cash Flow'!E6</f>
        <v>5001</v>
      </c>
      <c r="F49" s="219">
        <f>'Cash Flow'!F6</f>
        <v>-1837</v>
      </c>
      <c r="G49" s="219">
        <f>'Cash Flow'!G6</f>
        <v>-1423</v>
      </c>
      <c r="H49" s="220">
        <f>'Cash Flow'!H6</f>
        <v>-1036.7549923783433</v>
      </c>
      <c r="I49" s="220">
        <f>'Cash Flow'!I6</f>
        <v>-1108.63486747908</v>
      </c>
      <c r="J49" s="220">
        <f>'Cash Flow'!J6</f>
        <v>-1223.9306243280821</v>
      </c>
      <c r="K49" s="220">
        <f>'Cash Flow'!K6</f>
        <v>-1338.9578560664152</v>
      </c>
      <c r="L49" s="220">
        <f>'Cash Flow'!L6</f>
        <v>-1518.6582492173013</v>
      </c>
      <c r="M49" s="220">
        <f>'Cash Flow'!M6</f>
        <v>-1661.4117074261069</v>
      </c>
      <c r="N49" s="220">
        <f>'Cash Flow'!N6</f>
        <v>-1803.6439740938479</v>
      </c>
      <c r="O49" s="220">
        <f>'Cash Flow'!O6</f>
        <v>-1945.3237777280829</v>
      </c>
      <c r="P49" s="220">
        <f>'Cash Flow'!P6</f>
        <v>-2086.4179705467827</v>
      </c>
      <c r="Q49" s="220">
        <f>'Cash Flow'!Q6</f>
        <v>-2226.8914159010169</v>
      </c>
    </row>
    <row r="50" spans="2:23" ht="15" x14ac:dyDescent="0.25">
      <c r="B50" s="144" t="s">
        <v>302</v>
      </c>
      <c r="C50" s="198"/>
      <c r="D50" s="342">
        <f>'Cash Flow'!D7</f>
        <v>12524</v>
      </c>
      <c r="E50" s="342">
        <f>'Cash Flow'!E7</f>
        <v>13892</v>
      </c>
      <c r="F50" s="342">
        <f>'Cash Flow'!F7</f>
        <v>5239</v>
      </c>
      <c r="G50" s="342">
        <f>'Cash Flow'!G7</f>
        <v>2932</v>
      </c>
      <c r="H50" s="343">
        <f>'Cash Flow'!H7</f>
        <v>3900.1735427566246</v>
      </c>
      <c r="I50" s="343">
        <f>'Cash Flow'!I7</f>
        <v>4170.5787871832063</v>
      </c>
      <c r="J50" s="343">
        <f>'Cash Flow'!J7</f>
        <v>4604.3104439008803</v>
      </c>
      <c r="K50" s="343">
        <f>'Cash Flow'!K7</f>
        <v>5037.0319347260383</v>
      </c>
      <c r="L50" s="343">
        <f>'Cash Flow'!L7</f>
        <v>5713.0476994365154</v>
      </c>
      <c r="M50" s="343">
        <f>'Cash Flow'!M7</f>
        <v>6250.0726136505928</v>
      </c>
      <c r="N50" s="343">
        <f>'Cash Flow'!N7</f>
        <v>6785.1368549244762</v>
      </c>
      <c r="O50" s="343">
        <f>'Cash Flow'!O7</f>
        <v>7318.1227828818355</v>
      </c>
      <c r="P50" s="343">
        <f>'Cash Flow'!P7</f>
        <v>7848.9056987236108</v>
      </c>
      <c r="Q50" s="343">
        <f>'Cash Flow'!Q7</f>
        <v>8377.3534217228735</v>
      </c>
    </row>
    <row r="51" spans="2:23" x14ac:dyDescent="0.2">
      <c r="B51" s="16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</row>
    <row r="52" spans="2:23" ht="15" x14ac:dyDescent="0.25">
      <c r="B52" s="143" t="s">
        <v>345</v>
      </c>
      <c r="C52" s="197"/>
      <c r="D52" s="344">
        <f>D46/D50</f>
        <v>1.0150910252315555</v>
      </c>
      <c r="E52" s="344">
        <f t="shared" ref="E52:P52" si="10">E46/E50</f>
        <v>0.97631730492369706</v>
      </c>
      <c r="F52" s="344">
        <f t="shared" si="10"/>
        <v>2.8868104600114526</v>
      </c>
      <c r="G52" s="344">
        <f>G46/G50</f>
        <v>3.7537517053206004</v>
      </c>
      <c r="H52" s="344">
        <f t="shared" si="10"/>
        <v>0.41964475117083244</v>
      </c>
      <c r="I52" s="344">
        <f t="shared" si="10"/>
        <v>1.2727858817689111</v>
      </c>
      <c r="J52" s="344">
        <f t="shared" si="10"/>
        <v>1.1369889085616529</v>
      </c>
      <c r="K52" s="344">
        <f t="shared" si="10"/>
        <v>1.0829702174711076</v>
      </c>
      <c r="L52" s="344">
        <f t="shared" si="10"/>
        <v>0.91338776562712898</v>
      </c>
      <c r="M52" s="344">
        <f t="shared" si="10"/>
        <v>0.8575197086194466</v>
      </c>
      <c r="N52" s="344">
        <f t="shared" si="10"/>
        <v>0.74953670448879928</v>
      </c>
      <c r="O52" s="344">
        <f t="shared" si="10"/>
        <v>0.62054659493760611</v>
      </c>
      <c r="P52" s="344">
        <f t="shared" si="10"/>
        <v>0.46699693815094662</v>
      </c>
      <c r="Q52" s="344">
        <f>Q46/Q50</f>
        <v>0.28526683580099055</v>
      </c>
    </row>
    <row r="53" spans="2:23" x14ac:dyDescent="0.2">
      <c r="D53" s="345"/>
      <c r="E53" s="345"/>
      <c r="F53" s="345"/>
      <c r="G53" s="345"/>
      <c r="H53" s="345"/>
      <c r="I53" s="345"/>
      <c r="J53" s="345"/>
      <c r="K53" s="345"/>
      <c r="L53" s="345"/>
      <c r="M53" s="345"/>
      <c r="N53" s="345"/>
      <c r="O53" s="345"/>
      <c r="P53" s="345"/>
      <c r="Q53" s="345"/>
    </row>
    <row r="54" spans="2:23" x14ac:dyDescent="0.2">
      <c r="B54" s="148" t="s">
        <v>358</v>
      </c>
      <c r="C54" s="196"/>
      <c r="D54" s="149">
        <f t="shared" ref="D54:Q54" si="11">D52*D38</f>
        <v>0.34238237591231047</v>
      </c>
      <c r="E54" s="149">
        <f t="shared" si="11"/>
        <v>0.22918990165264119</v>
      </c>
      <c r="F54" s="149">
        <f t="shared" si="11"/>
        <v>0.2038329874120596</v>
      </c>
      <c r="G54" s="149">
        <f t="shared" si="11"/>
        <v>0.12937428735996992</v>
      </c>
      <c r="H54" s="149">
        <f t="shared" si="11"/>
        <v>1.8413646009743712E-2</v>
      </c>
      <c r="I54" s="149">
        <f t="shared" si="11"/>
        <v>5.6662811518586258E-2</v>
      </c>
      <c r="J54" s="149">
        <f t="shared" si="11"/>
        <v>5.3155245275429419E-2</v>
      </c>
      <c r="K54" s="149">
        <f t="shared" si="11"/>
        <v>5.2787670532083802E-2</v>
      </c>
      <c r="L54" s="149">
        <f t="shared" si="11"/>
        <v>4.8325891770050443E-2</v>
      </c>
      <c r="M54" s="149">
        <f t="shared" si="11"/>
        <v>4.7666022474431836E-2</v>
      </c>
      <c r="N54" s="149">
        <f t="shared" si="11"/>
        <v>4.3680662052255001E-2</v>
      </c>
      <c r="O54" s="149">
        <f t="shared" si="11"/>
        <v>3.7943085870691409E-2</v>
      </c>
      <c r="P54" s="149">
        <f t="shared" si="11"/>
        <v>3.0070915706628402E-2</v>
      </c>
      <c r="Q54" s="149">
        <f t="shared" si="11"/>
        <v>1.9480619864280922E-2</v>
      </c>
    </row>
    <row r="57" spans="2:23" ht="14.25" x14ac:dyDescent="0.2">
      <c r="B57" s="147" t="s">
        <v>326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9" spans="2:23" x14ac:dyDescent="0.2">
      <c r="B59" s="7" t="s">
        <v>346</v>
      </c>
      <c r="D59" s="82"/>
      <c r="E59" s="82"/>
      <c r="F59" s="82"/>
      <c r="G59" s="219">
        <f>'Cash Flow'!G20</f>
        <v>-6042</v>
      </c>
      <c r="H59" s="219">
        <f>'Cash Flow'!H20</f>
        <v>4254.1292830990897</v>
      </c>
      <c r="I59" s="219">
        <f>'Cash Flow'!I20</f>
        <v>574.39341836670792</v>
      </c>
      <c r="J59" s="219">
        <f>'Cash Flow'!J20</f>
        <v>1649.8545135098539</v>
      </c>
      <c r="K59" s="219">
        <f>'Cash Flow'!K20</f>
        <v>1909.0576736040712</v>
      </c>
      <c r="L59" s="219">
        <f>'Cash Flow'!L20</f>
        <v>3312.1849243660217</v>
      </c>
      <c r="M59" s="219">
        <f>'Cash Flow'!M20</f>
        <v>3454.1012807313564</v>
      </c>
      <c r="N59" s="219">
        <f>'Cash Flow'!N20</f>
        <v>4278.71334620579</v>
      </c>
      <c r="O59" s="219">
        <f>'Cash Flow'!O20</f>
        <v>5372.8105028205209</v>
      </c>
      <c r="P59" s="219">
        <f>'Cash Flow'!P20</f>
        <v>6797.0512460498103</v>
      </c>
      <c r="Q59" s="219">
        <f>'Cash Flow'!Q20</f>
        <v>8619.8275723977749</v>
      </c>
    </row>
    <row r="60" spans="2:23" x14ac:dyDescent="0.2">
      <c r="B60" s="7"/>
      <c r="G60" s="346"/>
      <c r="H60" s="346"/>
      <c r="I60" s="346"/>
      <c r="J60" s="346"/>
      <c r="K60" s="346"/>
      <c r="L60" s="346"/>
      <c r="M60" s="346"/>
      <c r="N60" s="346"/>
      <c r="O60" s="346"/>
      <c r="P60" s="346"/>
      <c r="Q60" s="346"/>
    </row>
    <row r="61" spans="2:23" ht="14.25" customHeight="1" x14ac:dyDescent="0.2">
      <c r="B61" s="7" t="s">
        <v>327</v>
      </c>
      <c r="G61" s="346"/>
      <c r="H61" s="347">
        <v>0.5</v>
      </c>
      <c r="I61" s="347">
        <v>1.5</v>
      </c>
      <c r="J61" s="347">
        <v>2.5</v>
      </c>
      <c r="K61" s="347">
        <v>3.5</v>
      </c>
      <c r="L61" s="347">
        <v>4.5</v>
      </c>
      <c r="M61" s="347">
        <v>5.5</v>
      </c>
      <c r="N61" s="347">
        <v>6.5</v>
      </c>
      <c r="O61" s="347">
        <v>7.5</v>
      </c>
      <c r="P61" s="347">
        <v>8.5</v>
      </c>
      <c r="Q61" s="347">
        <v>9.5</v>
      </c>
    </row>
    <row r="62" spans="2:23" ht="15" customHeight="1" x14ac:dyDescent="0.2">
      <c r="B62" s="7" t="s">
        <v>328</v>
      </c>
      <c r="G62" s="346"/>
      <c r="H62" s="141">
        <f>1/(1+H63)^H61</f>
        <v>0.95171110555376026</v>
      </c>
      <c r="I62" s="141">
        <f t="shared" ref="I62:Q62" si="12">1/(1+I63)^I61</f>
        <v>0.86201616776103751</v>
      </c>
      <c r="J62" s="141">
        <f t="shared" si="12"/>
        <v>0.78077461652510938</v>
      </c>
      <c r="K62" s="141">
        <f t="shared" si="12"/>
        <v>0.70718975421691099</v>
      </c>
      <c r="L62" s="141">
        <f t="shared" si="12"/>
        <v>0.64053996874947261</v>
      </c>
      <c r="M62" s="141">
        <f t="shared" si="12"/>
        <v>0.5801716570680544</v>
      </c>
      <c r="N62" s="141">
        <f t="shared" si="12"/>
        <v>0.52549281557282868</v>
      </c>
      <c r="O62" s="141">
        <f t="shared" si="12"/>
        <v>0.47596723461840418</v>
      </c>
      <c r="P62" s="141">
        <f t="shared" si="12"/>
        <v>0.43110924015838203</v>
      </c>
      <c r="Q62" s="141">
        <f t="shared" si="12"/>
        <v>0.39047893096873076</v>
      </c>
    </row>
    <row r="63" spans="2:23" x14ac:dyDescent="0.2">
      <c r="B63" s="193" t="s">
        <v>322</v>
      </c>
      <c r="C63" s="194"/>
      <c r="D63" s="194"/>
      <c r="E63" s="194"/>
      <c r="F63" s="194"/>
      <c r="G63" s="194"/>
      <c r="H63" s="195">
        <f>WACC!$N$38</f>
        <v>0.10405250057628557</v>
      </c>
      <c r="I63" s="195">
        <f>WACC!$N$38</f>
        <v>0.10405250057628557</v>
      </c>
      <c r="J63" s="195">
        <f>WACC!$N$38</f>
        <v>0.10405250057628557</v>
      </c>
      <c r="K63" s="195">
        <f>WACC!$N$38</f>
        <v>0.10405250057628557</v>
      </c>
      <c r="L63" s="195">
        <f>WACC!$N$38</f>
        <v>0.10405250057628557</v>
      </c>
      <c r="M63" s="195">
        <f>WACC!$N$38</f>
        <v>0.10405250057628557</v>
      </c>
      <c r="N63" s="195">
        <f>WACC!$N$38</f>
        <v>0.10405250057628557</v>
      </c>
      <c r="O63" s="195">
        <f>WACC!$N$38</f>
        <v>0.10405250057628557</v>
      </c>
      <c r="P63" s="195">
        <f>WACC!$N$38</f>
        <v>0.10405250057628557</v>
      </c>
      <c r="Q63" s="195">
        <f>WACC!$N$38</f>
        <v>0.10405250057628557</v>
      </c>
    </row>
    <row r="65" spans="2:17" x14ac:dyDescent="0.2">
      <c r="B65" s="199" t="s">
        <v>329</v>
      </c>
      <c r="C65" s="199"/>
      <c r="D65" s="199"/>
      <c r="E65" s="200"/>
      <c r="F65" s="199"/>
      <c r="G65" s="199"/>
      <c r="H65" s="200">
        <f>H59*H62</f>
        <v>4048.7020831868604</v>
      </c>
      <c r="I65" s="200">
        <f t="shared" ref="I65:Q65" si="13">I59*I62</f>
        <v>495.13641328763191</v>
      </c>
      <c r="J65" s="200">
        <f t="shared" si="13"/>
        <v>1288.1645251078771</v>
      </c>
      <c r="K65" s="200">
        <f t="shared" si="13"/>
        <v>1350.0660269819709</v>
      </c>
      <c r="L65" s="200">
        <f t="shared" si="13"/>
        <v>2121.5868279458859</v>
      </c>
      <c r="M65" s="200">
        <f t="shared" si="13"/>
        <v>2003.9716637228</v>
      </c>
      <c r="N65" s="200">
        <f t="shared" si="13"/>
        <v>2248.4331233267199</v>
      </c>
      <c r="O65" s="200">
        <f t="shared" si="13"/>
        <v>2557.2817571562009</v>
      </c>
      <c r="P65" s="200">
        <f t="shared" si="13"/>
        <v>2930.2715980021176</v>
      </c>
      <c r="Q65" s="200">
        <f t="shared" si="13"/>
        <v>3365.8610556046729</v>
      </c>
    </row>
    <row r="67" spans="2:17" x14ac:dyDescent="0.2">
      <c r="B67" s="201" t="s">
        <v>330</v>
      </c>
      <c r="C67" s="201"/>
      <c r="D67" s="217">
        <f>MEDIAN(D54:Q54)</f>
        <v>5.0556781151067126E-2</v>
      </c>
    </row>
    <row r="68" spans="2:17" x14ac:dyDescent="0.2">
      <c r="B68" s="214" t="s">
        <v>359</v>
      </c>
      <c r="C68" s="201"/>
      <c r="D68" s="217">
        <f>Drivers!C7</f>
        <v>4.5499999999999999E-2</v>
      </c>
    </row>
    <row r="69" spans="2:17" x14ac:dyDescent="0.2">
      <c r="B69" s="214" t="s">
        <v>322</v>
      </c>
      <c r="C69" s="201"/>
      <c r="D69" s="216">
        <f>WACC!$N$38</f>
        <v>0.10405250057628557</v>
      </c>
    </row>
    <row r="70" spans="2:17" x14ac:dyDescent="0.2">
      <c r="B70" s="16"/>
      <c r="C70" s="16"/>
      <c r="D70" s="16"/>
    </row>
    <row r="71" spans="2:17" ht="14.25" x14ac:dyDescent="0.2">
      <c r="B71" s="202" t="s">
        <v>331</v>
      </c>
      <c r="C71" s="203"/>
      <c r="D71" s="203"/>
      <c r="G71" s="355" t="s">
        <v>360</v>
      </c>
      <c r="H71" s="354"/>
      <c r="I71" s="354"/>
      <c r="J71" s="354"/>
      <c r="K71" s="354"/>
      <c r="L71" s="354"/>
    </row>
    <row r="72" spans="2:17" x14ac:dyDescent="0.2">
      <c r="B72" s="16"/>
      <c r="C72" s="16"/>
      <c r="D72" s="16"/>
      <c r="G72" s="346"/>
    </row>
    <row r="73" spans="2:17" ht="15" x14ac:dyDescent="0.25">
      <c r="B73" s="218" t="s">
        <v>347</v>
      </c>
      <c r="C73" s="16"/>
      <c r="D73" s="204">
        <f>Q59*(1+D67)</f>
        <v>9055.6183085354241</v>
      </c>
      <c r="G73" s="357">
        <f>D77</f>
        <v>154658.09691145885</v>
      </c>
      <c r="H73" s="149">
        <f>I73-0.01</f>
        <v>3.5499999999999997E-2</v>
      </c>
      <c r="I73" s="149">
        <f>D68</f>
        <v>4.5499999999999999E-2</v>
      </c>
      <c r="J73" s="149">
        <f>I73+0.01</f>
        <v>5.5500000000000001E-2</v>
      </c>
      <c r="K73" s="149">
        <f t="shared" ref="K73:L73" si="14">J73+0.01</f>
        <v>6.5500000000000003E-2</v>
      </c>
      <c r="L73" s="149">
        <f t="shared" si="14"/>
        <v>7.5499999999999998E-2</v>
      </c>
    </row>
    <row r="74" spans="2:17" ht="15" x14ac:dyDescent="0.25">
      <c r="B74" s="212" t="s">
        <v>322</v>
      </c>
      <c r="C74" s="16"/>
      <c r="D74" s="356">
        <f>D69</f>
        <v>0.10405250057628557</v>
      </c>
      <c r="G74" s="360">
        <f>G75-0.02</f>
        <v>8.4052500576285563E-2</v>
      </c>
      <c r="H74" s="346">
        <f>$D$73/($G74-H$73)</f>
        <v>186511.88303488633</v>
      </c>
      <c r="I74" s="346">
        <f>$D$73/($G74-I$73)</f>
        <v>234890.55633671972</v>
      </c>
      <c r="J74" s="346">
        <f t="shared" ref="J74:L74" si="15">$D$73/($G74-J$73)</f>
        <v>317156.75074906112</v>
      </c>
      <c r="K74" s="346">
        <f t="shared" si="15"/>
        <v>488107.69584940071</v>
      </c>
      <c r="L74" s="346">
        <f t="shared" si="15"/>
        <v>1058826.9743757641</v>
      </c>
    </row>
    <row r="75" spans="2:17" ht="15" x14ac:dyDescent="0.25">
      <c r="B75" s="366" t="s">
        <v>332</v>
      </c>
      <c r="C75" s="16"/>
      <c r="D75" s="356">
        <f>D68</f>
        <v>4.5499999999999999E-2</v>
      </c>
      <c r="G75" s="360">
        <f>D74</f>
        <v>0.10405250057628557</v>
      </c>
      <c r="H75" s="346">
        <f>$D$73/($G75-H$73)</f>
        <v>132097.56365427235</v>
      </c>
      <c r="I75" s="358">
        <f>$D$73/($G75-I$73)</f>
        <v>154658.09691145885</v>
      </c>
      <c r="J75" s="346">
        <f t="shared" ref="J75:L75" si="16">$D$73/($G75-J$73)</f>
        <v>186511.88303488633</v>
      </c>
      <c r="K75" s="346">
        <f t="shared" si="16"/>
        <v>234890.55633671972</v>
      </c>
      <c r="L75" s="346">
        <f t="shared" si="16"/>
        <v>317156.75074906106</v>
      </c>
    </row>
    <row r="76" spans="2:17" ht="15" x14ac:dyDescent="0.25">
      <c r="B76" s="152"/>
      <c r="C76" s="16"/>
      <c r="D76" s="16"/>
      <c r="G76" s="360">
        <f>G75+0.02</f>
        <v>0.12405250057628557</v>
      </c>
      <c r="H76" s="346">
        <f t="shared" ref="H76:L79" si="17">$D$73/($G76-H$73)</f>
        <v>102262.70573504872</v>
      </c>
      <c r="I76" s="346">
        <f t="shared" si="17"/>
        <v>115281.09534515887</v>
      </c>
      <c r="J76" s="346">
        <f t="shared" si="17"/>
        <v>132097.56365427235</v>
      </c>
      <c r="K76" s="346">
        <f t="shared" si="17"/>
        <v>154658.09691145885</v>
      </c>
      <c r="L76" s="346">
        <f t="shared" si="17"/>
        <v>186511.8830348863</v>
      </c>
    </row>
    <row r="77" spans="2:17" ht="15.75" thickBot="1" x14ac:dyDescent="0.3">
      <c r="B77" s="367" t="s">
        <v>333</v>
      </c>
      <c r="C77" s="348"/>
      <c r="D77" s="349">
        <f>D73/(D74-D75)</f>
        <v>154658.09691145885</v>
      </c>
      <c r="G77" s="360">
        <f>G76+0.02</f>
        <v>0.14405250057628557</v>
      </c>
      <c r="H77" s="346">
        <f t="shared" si="17"/>
        <v>83421.554183098371</v>
      </c>
      <c r="I77" s="346">
        <f t="shared" si="17"/>
        <v>91886.235819311652</v>
      </c>
      <c r="J77" s="346">
        <f t="shared" si="17"/>
        <v>102262.70573504872</v>
      </c>
      <c r="K77" s="346">
        <f t="shared" si="17"/>
        <v>115281.09534515887</v>
      </c>
      <c r="L77" s="346">
        <f t="shared" si="17"/>
        <v>132097.56365427232</v>
      </c>
    </row>
    <row r="78" spans="2:17" ht="13.5" thickTop="1" x14ac:dyDescent="0.2">
      <c r="G78" s="360">
        <f>G77+0.02</f>
        <v>0.16405250057628556</v>
      </c>
      <c r="H78" s="346">
        <f t="shared" si="17"/>
        <v>70442.957297136702</v>
      </c>
      <c r="I78" s="346">
        <f t="shared" si="17"/>
        <v>76384.87813007673</v>
      </c>
      <c r="J78" s="346">
        <f t="shared" si="17"/>
        <v>83421.554183098371</v>
      </c>
      <c r="K78" s="346">
        <f t="shared" si="17"/>
        <v>91886.235819311667</v>
      </c>
      <c r="L78" s="346">
        <f t="shared" si="17"/>
        <v>102262.70573504873</v>
      </c>
    </row>
    <row r="79" spans="2:17" ht="15" x14ac:dyDescent="0.25">
      <c r="B79" s="205" t="s">
        <v>334</v>
      </c>
      <c r="C79" s="206"/>
      <c r="D79" s="206"/>
      <c r="G79" s="361">
        <f>G78+0.02</f>
        <v>0.18405250057628555</v>
      </c>
      <c r="H79" s="359">
        <f t="shared" si="17"/>
        <v>60959.043256798832</v>
      </c>
      <c r="I79" s="359">
        <f t="shared" si="17"/>
        <v>65358.750443839854</v>
      </c>
      <c r="J79" s="359">
        <f t="shared" si="17"/>
        <v>70442.957297136702</v>
      </c>
      <c r="K79" s="359">
        <f t="shared" si="17"/>
        <v>76384.878130076744</v>
      </c>
      <c r="L79" s="359">
        <f t="shared" si="17"/>
        <v>83421.554183098386</v>
      </c>
    </row>
    <row r="80" spans="2:17" x14ac:dyDescent="0.2">
      <c r="B80" s="172"/>
      <c r="C80" s="172"/>
      <c r="D80" s="172"/>
    </row>
    <row r="81" spans="2:4" x14ac:dyDescent="0.2">
      <c r="B81" s="172" t="s">
        <v>335</v>
      </c>
      <c r="C81" s="172"/>
      <c r="D81" s="207">
        <f>SUM(H65:Q65)</f>
        <v>22409.475074322738</v>
      </c>
    </row>
    <row r="82" spans="2:4" x14ac:dyDescent="0.2">
      <c r="B82" s="172" t="s">
        <v>336</v>
      </c>
      <c r="C82" s="172"/>
      <c r="D82" s="207">
        <f>D77*Q62</f>
        <v>60390.728347644814</v>
      </c>
    </row>
    <row r="83" spans="2:4" ht="15" x14ac:dyDescent="0.25">
      <c r="B83" s="208" t="s">
        <v>337</v>
      </c>
      <c r="C83" s="208"/>
      <c r="D83" s="207">
        <f>SUM(D81:D82)</f>
        <v>82800.203421967555</v>
      </c>
    </row>
    <row r="84" spans="2:4" x14ac:dyDescent="0.2">
      <c r="B84" s="172"/>
      <c r="C84" s="172"/>
      <c r="D84" s="207"/>
    </row>
    <row r="85" spans="2:4" x14ac:dyDescent="0.2">
      <c r="B85" s="172" t="s">
        <v>338</v>
      </c>
      <c r="C85" s="172"/>
      <c r="D85" s="207">
        <f>'Balance Sheet'!G5</f>
        <v>16513</v>
      </c>
    </row>
    <row r="86" spans="2:4" x14ac:dyDescent="0.2">
      <c r="B86" s="172" t="s">
        <v>339</v>
      </c>
      <c r="C86" s="172"/>
      <c r="D86" s="207">
        <f>'Balance Sheet'!G34</f>
        <v>8376</v>
      </c>
    </row>
    <row r="87" spans="2:4" ht="15" x14ac:dyDescent="0.25">
      <c r="B87" s="208" t="s">
        <v>340</v>
      </c>
      <c r="C87" s="208"/>
      <c r="D87" s="207">
        <f>D83+D85-D86</f>
        <v>90937.203421967555</v>
      </c>
    </row>
    <row r="88" spans="2:4" x14ac:dyDescent="0.2">
      <c r="B88" s="172" t="s">
        <v>341</v>
      </c>
      <c r="C88" s="172"/>
      <c r="D88" s="207">
        <f>Drivers!C14</f>
        <v>3752.43</v>
      </c>
    </row>
    <row r="89" spans="2:4" ht="17.25" customHeight="1" thickBot="1" x14ac:dyDescent="0.25">
      <c r="B89" s="350" t="s">
        <v>342</v>
      </c>
      <c r="C89" s="350"/>
      <c r="D89" s="351">
        <f>D87/D88</f>
        <v>24.234217139818082</v>
      </c>
    </row>
    <row r="90" spans="2:4" ht="13.5" thickTop="1" x14ac:dyDescent="0.2"/>
    <row r="91" spans="2:4" x14ac:dyDescent="0.2">
      <c r="B91" s="172" t="s">
        <v>344</v>
      </c>
      <c r="D91">
        <f>Drivers!C10</f>
        <v>408.95</v>
      </c>
    </row>
    <row r="93" spans="2:4" x14ac:dyDescent="0.2">
      <c r="B93" s="213" t="s">
        <v>348</v>
      </c>
      <c r="D93" s="215">
        <f>D91/D89</f>
        <v>16.874900379103803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Cover</vt:lpstr>
      <vt:lpstr>Drivers</vt:lpstr>
      <vt:lpstr>Input -&gt;</vt:lpstr>
      <vt:lpstr>P&amp;L Input</vt:lpstr>
      <vt:lpstr>Balance Sheet Input</vt:lpstr>
      <vt:lpstr>Workings 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Automotive Revenue</vt:lpstr>
      <vt:lpstr>Automotive Gross Margin</vt:lpstr>
      <vt:lpstr>Automotive Gross Profit</vt:lpstr>
      <vt:lpstr>Cost of sales automotive</vt:lpstr>
      <vt:lpstr>Automotive Revenue and GP </vt:lpstr>
      <vt:lpstr>Energy &amp; Other</vt:lpstr>
      <vt:lpstr>Revenue Energy &amp; Other</vt:lpstr>
      <vt:lpstr>Gross Profit Energy &amp; Other</vt:lpstr>
      <vt:lpstr>Cost of sales Energy &amp; Other</vt:lpstr>
      <vt:lpstr>Operating expenses</vt:lpstr>
      <vt:lpstr>Opex comparables</vt:lpstr>
      <vt:lpstr>Opex</vt:lpstr>
      <vt:lpstr>Balance Sheet -&gt;</vt:lpstr>
      <vt:lpstr>PP&amp;E -&gt;</vt:lpstr>
      <vt:lpstr>PP&amp;E</vt:lpstr>
      <vt:lpstr>Working Capital -&gt; </vt:lpstr>
      <vt:lpstr>WC comparables</vt:lpstr>
      <vt:lpstr>Working capital</vt:lpstr>
      <vt:lpstr>Financing -&gt;</vt:lpstr>
      <vt:lpstr>Financing</vt:lpstr>
      <vt:lpstr>Output -&gt;</vt:lpstr>
      <vt:lpstr>P&amp;L</vt:lpstr>
      <vt:lpstr>Balance Sheet</vt:lpstr>
      <vt:lpstr>Cash Flow</vt:lpstr>
      <vt:lpstr>WACC</vt:lpstr>
      <vt:lpstr>DCF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MONOJIT SAMANTA</cp:lastModifiedBy>
  <dcterms:created xsi:type="dcterms:W3CDTF">2017-12-26T16:16:22Z</dcterms:created>
  <dcterms:modified xsi:type="dcterms:W3CDTF">2026-08-16T19:17:29Z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