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/Desktop/matrix-profile/CMP/Polito_Usecase/diagnosis/"/>
    </mc:Choice>
  </mc:AlternateContent>
  <xr:revisionPtr revIDLastSave="0" documentId="13_ncr:1_{0A9C0AA6-2B25-6740-B367-45790D843AFF}" xr6:coauthVersionLast="47" xr6:coauthVersionMax="47" xr10:uidLastSave="{00000000-0000-0000-0000-000000000000}"/>
  <bookViews>
    <workbookView xWindow="0" yWindow="500" windowWidth="25600" windowHeight="14360" activeTab="1" xr2:uid="{00000000-000D-0000-FFFF-FFFF00000000}"/>
  </bookViews>
  <sheets>
    <sheet name="Sheet1" sheetId="2" r:id="rId1"/>
    <sheet name="diagnosis_final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" i="1" l="1"/>
  <c r="K68" i="1"/>
  <c r="L68" i="1"/>
  <c r="M68" i="1"/>
  <c r="N68" i="1"/>
  <c r="O68" i="1"/>
  <c r="I68" i="1"/>
  <c r="AF57" i="1"/>
  <c r="AG57" i="1"/>
  <c r="AH57" i="1"/>
  <c r="AI57" i="1"/>
  <c r="AJ57" i="1"/>
  <c r="AK57" i="1"/>
  <c r="AL57" i="1"/>
  <c r="AF61" i="1"/>
  <c r="AG61" i="1"/>
  <c r="AH61" i="1"/>
  <c r="AI61" i="1"/>
  <c r="AJ61" i="1"/>
  <c r="AK61" i="1"/>
  <c r="AL61" i="1"/>
  <c r="AF4" i="1"/>
  <c r="AG4" i="1"/>
  <c r="AH4" i="1"/>
  <c r="AI4" i="1"/>
  <c r="AJ4" i="1"/>
  <c r="AK4" i="1"/>
  <c r="AL4" i="1"/>
  <c r="AF5" i="1"/>
  <c r="AG5" i="1"/>
  <c r="AH5" i="1"/>
  <c r="AI5" i="1"/>
  <c r="AJ5" i="1"/>
  <c r="AK5" i="1"/>
  <c r="AL5" i="1"/>
  <c r="AF6" i="1"/>
  <c r="AG6" i="1"/>
  <c r="AH6" i="1"/>
  <c r="AI6" i="1"/>
  <c r="AJ6" i="1"/>
  <c r="AK6" i="1"/>
  <c r="AL6" i="1"/>
  <c r="AF7" i="1"/>
  <c r="AG7" i="1"/>
  <c r="AH7" i="1"/>
  <c r="AI7" i="1"/>
  <c r="AJ7" i="1"/>
  <c r="AK7" i="1"/>
  <c r="AL7" i="1"/>
  <c r="AF8" i="1"/>
  <c r="AG8" i="1"/>
  <c r="AH8" i="1"/>
  <c r="AI8" i="1"/>
  <c r="AJ8" i="1"/>
  <c r="AK8" i="1"/>
  <c r="AL8" i="1"/>
  <c r="AF9" i="1"/>
  <c r="AG9" i="1"/>
  <c r="AH9" i="1"/>
  <c r="AI9" i="1"/>
  <c r="AJ9" i="1"/>
  <c r="AK9" i="1"/>
  <c r="AL9" i="1"/>
  <c r="AF43" i="1"/>
  <c r="AG43" i="1"/>
  <c r="AH43" i="1"/>
  <c r="AI43" i="1"/>
  <c r="AJ43" i="1"/>
  <c r="AK43" i="1"/>
  <c r="AL43" i="1"/>
  <c r="AF44" i="1"/>
  <c r="AG44" i="1"/>
  <c r="AH44" i="1"/>
  <c r="AI44" i="1"/>
  <c r="AJ44" i="1"/>
  <c r="AK44" i="1"/>
  <c r="AL44" i="1"/>
  <c r="AF24" i="1"/>
  <c r="AG24" i="1"/>
  <c r="AH24" i="1"/>
  <c r="AI24" i="1"/>
  <c r="AJ24" i="1"/>
  <c r="AK24" i="1"/>
  <c r="AL24" i="1"/>
  <c r="AF25" i="1"/>
  <c r="AG25" i="1"/>
  <c r="AH25" i="1"/>
  <c r="AI25" i="1"/>
  <c r="AJ25" i="1"/>
  <c r="AK25" i="1"/>
  <c r="AL25" i="1"/>
  <c r="AF63" i="1"/>
  <c r="AG63" i="1"/>
  <c r="AH63" i="1"/>
  <c r="AI63" i="1"/>
  <c r="AJ63" i="1"/>
  <c r="AK63" i="1"/>
  <c r="AL63" i="1"/>
  <c r="AF14" i="1"/>
  <c r="AG14" i="1"/>
  <c r="AH14" i="1"/>
  <c r="AI14" i="1"/>
  <c r="AJ14" i="1"/>
  <c r="AK14" i="1"/>
  <c r="AL14" i="1"/>
  <c r="AF15" i="1"/>
  <c r="AG15" i="1"/>
  <c r="AH15" i="1"/>
  <c r="AI15" i="1"/>
  <c r="AJ15" i="1"/>
  <c r="AK15" i="1"/>
  <c r="AL15" i="1"/>
  <c r="AF64" i="1"/>
  <c r="AG64" i="1"/>
  <c r="AH64" i="1"/>
  <c r="AI64" i="1"/>
  <c r="AJ64" i="1"/>
  <c r="AK64" i="1"/>
  <c r="AL64" i="1"/>
  <c r="AF59" i="1"/>
  <c r="AG59" i="1"/>
  <c r="AH59" i="1"/>
  <c r="AI59" i="1"/>
  <c r="AJ59" i="1"/>
  <c r="AK59" i="1"/>
  <c r="AL59" i="1"/>
  <c r="AF28" i="1"/>
  <c r="AG28" i="1"/>
  <c r="AH28" i="1"/>
  <c r="AI28" i="1"/>
  <c r="AJ28" i="1"/>
  <c r="AK28" i="1"/>
  <c r="AL28" i="1"/>
  <c r="AF30" i="1"/>
  <c r="AG30" i="1"/>
  <c r="AH30" i="1"/>
  <c r="AI30" i="1"/>
  <c r="AJ30" i="1"/>
  <c r="AK30" i="1"/>
  <c r="AL30" i="1"/>
  <c r="AF31" i="1"/>
  <c r="AG31" i="1"/>
  <c r="AH31" i="1"/>
  <c r="AI31" i="1"/>
  <c r="AJ31" i="1"/>
  <c r="AK31" i="1"/>
  <c r="AL31" i="1"/>
  <c r="AF32" i="1"/>
  <c r="AG32" i="1"/>
  <c r="AH32" i="1"/>
  <c r="AI32" i="1"/>
  <c r="AJ32" i="1"/>
  <c r="AK32" i="1"/>
  <c r="AL32" i="1"/>
  <c r="AF33" i="1"/>
  <c r="AG33" i="1"/>
  <c r="AH33" i="1"/>
  <c r="AI33" i="1"/>
  <c r="AJ33" i="1"/>
  <c r="AK33" i="1"/>
  <c r="AL33" i="1"/>
  <c r="AF34" i="1"/>
  <c r="AG34" i="1"/>
  <c r="AH34" i="1"/>
  <c r="AI34" i="1"/>
  <c r="AJ34" i="1"/>
  <c r="AK34" i="1"/>
  <c r="AL34" i="1"/>
  <c r="AF52" i="1"/>
  <c r="AG52" i="1"/>
  <c r="AH52" i="1"/>
  <c r="AI52" i="1"/>
  <c r="AJ52" i="1"/>
  <c r="AK52" i="1"/>
  <c r="AL52" i="1"/>
  <c r="AF35" i="1"/>
  <c r="AG35" i="1"/>
  <c r="AH35" i="1"/>
  <c r="AI35" i="1"/>
  <c r="AJ35" i="1"/>
  <c r="AK35" i="1"/>
  <c r="AL35" i="1"/>
  <c r="AF23" i="1"/>
  <c r="AG23" i="1"/>
  <c r="AH23" i="1"/>
  <c r="AI23" i="1"/>
  <c r="AJ23" i="1"/>
  <c r="AK23" i="1"/>
  <c r="AL23" i="1"/>
  <c r="AF10" i="1"/>
  <c r="AG10" i="1"/>
  <c r="AH10" i="1"/>
  <c r="AI10" i="1"/>
  <c r="AJ10" i="1"/>
  <c r="AK10" i="1"/>
  <c r="AL10" i="1"/>
  <c r="AF11" i="1"/>
  <c r="AG11" i="1"/>
  <c r="AH11" i="1"/>
  <c r="AI11" i="1"/>
  <c r="AJ11" i="1"/>
  <c r="AK11" i="1"/>
  <c r="AL11" i="1"/>
  <c r="AF45" i="1"/>
  <c r="AG45" i="1"/>
  <c r="AH45" i="1"/>
  <c r="AI45" i="1"/>
  <c r="AJ45" i="1"/>
  <c r="AK45" i="1"/>
  <c r="AL45" i="1"/>
  <c r="AF26" i="1"/>
  <c r="AG26" i="1"/>
  <c r="AH26" i="1"/>
  <c r="AI26" i="1"/>
  <c r="AJ26" i="1"/>
  <c r="AK26" i="1"/>
  <c r="AL26" i="1"/>
  <c r="AF27" i="1"/>
  <c r="AG27" i="1"/>
  <c r="AH27" i="1"/>
  <c r="AI27" i="1"/>
  <c r="AJ27" i="1"/>
  <c r="AK27" i="1"/>
  <c r="AL27" i="1"/>
  <c r="AF62" i="1"/>
  <c r="AG62" i="1"/>
  <c r="AH62" i="1"/>
  <c r="AI62" i="1"/>
  <c r="AJ62" i="1"/>
  <c r="AK62" i="1"/>
  <c r="AL62" i="1"/>
  <c r="AF65" i="1"/>
  <c r="AG65" i="1"/>
  <c r="AH65" i="1"/>
  <c r="AI65" i="1"/>
  <c r="AJ65" i="1"/>
  <c r="AK65" i="1"/>
  <c r="AL65" i="1"/>
  <c r="AF29" i="1"/>
  <c r="AG29" i="1"/>
  <c r="AH29" i="1"/>
  <c r="AI29" i="1"/>
  <c r="AJ29" i="1"/>
  <c r="AK29" i="1"/>
  <c r="AL29" i="1"/>
  <c r="AF50" i="1"/>
  <c r="AG50" i="1"/>
  <c r="AH50" i="1"/>
  <c r="AI50" i="1"/>
  <c r="AJ50" i="1"/>
  <c r="AK50" i="1"/>
  <c r="AL50" i="1"/>
  <c r="AF18" i="1"/>
  <c r="AG18" i="1"/>
  <c r="AH18" i="1"/>
  <c r="AI18" i="1"/>
  <c r="AJ18" i="1"/>
  <c r="AK18" i="1"/>
  <c r="AL18" i="1"/>
  <c r="AF60" i="1"/>
  <c r="AG60" i="1"/>
  <c r="AH60" i="1"/>
  <c r="AI60" i="1"/>
  <c r="AJ60" i="1"/>
  <c r="AK60" i="1"/>
  <c r="AL60" i="1"/>
  <c r="AF19" i="1"/>
  <c r="AG19" i="1"/>
  <c r="AH19" i="1"/>
  <c r="AI19" i="1"/>
  <c r="AJ19" i="1"/>
  <c r="AK19" i="1"/>
  <c r="AL19" i="1"/>
  <c r="AF36" i="1"/>
  <c r="AG36" i="1"/>
  <c r="AH36" i="1"/>
  <c r="AI36" i="1"/>
  <c r="AJ36" i="1"/>
  <c r="AK36" i="1"/>
  <c r="AL36" i="1"/>
  <c r="AF46" i="1"/>
  <c r="AG46" i="1"/>
  <c r="AH46" i="1"/>
  <c r="AI46" i="1"/>
  <c r="AJ46" i="1"/>
  <c r="AK46" i="1"/>
  <c r="AL46" i="1"/>
  <c r="AF58" i="1"/>
  <c r="AG58" i="1"/>
  <c r="AH58" i="1"/>
  <c r="AI58" i="1"/>
  <c r="AJ58" i="1"/>
  <c r="AK58" i="1"/>
  <c r="AL58" i="1"/>
  <c r="AF12" i="1"/>
  <c r="AG12" i="1"/>
  <c r="AH12" i="1"/>
  <c r="AI12" i="1"/>
  <c r="AJ12" i="1"/>
  <c r="AK12" i="1"/>
  <c r="AL12" i="1"/>
  <c r="AF47" i="1"/>
  <c r="AG47" i="1"/>
  <c r="AH47" i="1"/>
  <c r="AI47" i="1"/>
  <c r="AJ47" i="1"/>
  <c r="AK47" i="1"/>
  <c r="AL47" i="1"/>
  <c r="AF13" i="1"/>
  <c r="AG13" i="1"/>
  <c r="AH13" i="1"/>
  <c r="AI13" i="1"/>
  <c r="AJ13" i="1"/>
  <c r="AK13" i="1"/>
  <c r="AL13" i="1"/>
  <c r="AF16" i="1"/>
  <c r="AG16" i="1"/>
  <c r="AH16" i="1"/>
  <c r="AI16" i="1"/>
  <c r="AJ16" i="1"/>
  <c r="AK16" i="1"/>
  <c r="AL16" i="1"/>
  <c r="AF48" i="1"/>
  <c r="AG48" i="1"/>
  <c r="AH48" i="1"/>
  <c r="AI48" i="1"/>
  <c r="AJ48" i="1"/>
  <c r="AK48" i="1"/>
  <c r="AL48" i="1"/>
  <c r="AF17" i="1"/>
  <c r="AG17" i="1"/>
  <c r="AH17" i="1"/>
  <c r="AI17" i="1"/>
  <c r="AJ17" i="1"/>
  <c r="AK17" i="1"/>
  <c r="AL17" i="1"/>
  <c r="AF49" i="1"/>
  <c r="AG49" i="1"/>
  <c r="AH49" i="1"/>
  <c r="AI49" i="1"/>
  <c r="AJ49" i="1"/>
  <c r="AK49" i="1"/>
  <c r="AL49" i="1"/>
  <c r="AF66" i="1"/>
  <c r="AG66" i="1"/>
  <c r="AH66" i="1"/>
  <c r="AI66" i="1"/>
  <c r="AJ66" i="1"/>
  <c r="AK66" i="1"/>
  <c r="AL66" i="1"/>
  <c r="AF67" i="1"/>
  <c r="AG67" i="1"/>
  <c r="AH67" i="1"/>
  <c r="AI67" i="1"/>
  <c r="AJ67" i="1"/>
  <c r="AK67" i="1"/>
  <c r="AL67" i="1"/>
  <c r="AF51" i="1"/>
  <c r="AG51" i="1"/>
  <c r="AH51" i="1"/>
  <c r="AI51" i="1"/>
  <c r="AJ51" i="1"/>
  <c r="AK51" i="1"/>
  <c r="AL51" i="1"/>
  <c r="AF20" i="1"/>
  <c r="AG20" i="1"/>
  <c r="AH20" i="1"/>
  <c r="AI20" i="1"/>
  <c r="AJ20" i="1"/>
  <c r="AK20" i="1"/>
  <c r="AL20" i="1"/>
  <c r="AF21" i="1"/>
  <c r="AG21" i="1"/>
  <c r="AH21" i="1"/>
  <c r="AI21" i="1"/>
  <c r="AJ21" i="1"/>
  <c r="AK21" i="1"/>
  <c r="AL21" i="1"/>
  <c r="AF53" i="1"/>
  <c r="AG53" i="1"/>
  <c r="AH53" i="1"/>
  <c r="AI53" i="1"/>
  <c r="AJ53" i="1"/>
  <c r="AK53" i="1"/>
  <c r="AL53" i="1"/>
  <c r="AF37" i="1"/>
  <c r="AG37" i="1"/>
  <c r="AH37" i="1"/>
  <c r="AI37" i="1"/>
  <c r="AJ37" i="1"/>
  <c r="AK37" i="1"/>
  <c r="AL37" i="1"/>
  <c r="AF54" i="1"/>
  <c r="AG54" i="1"/>
  <c r="AH54" i="1"/>
  <c r="AI54" i="1"/>
  <c r="AJ54" i="1"/>
  <c r="AK54" i="1"/>
  <c r="AL54" i="1"/>
  <c r="AF38" i="1"/>
  <c r="AG38" i="1"/>
  <c r="AH38" i="1"/>
  <c r="AI38" i="1"/>
  <c r="AJ38" i="1"/>
  <c r="AK38" i="1"/>
  <c r="AL38" i="1"/>
  <c r="AF55" i="1"/>
  <c r="AG55" i="1"/>
  <c r="AH55" i="1"/>
  <c r="AI55" i="1"/>
  <c r="AJ55" i="1"/>
  <c r="AK55" i="1"/>
  <c r="AL55" i="1"/>
  <c r="AF39" i="1"/>
  <c r="AG39" i="1"/>
  <c r="AH39" i="1"/>
  <c r="AI39" i="1"/>
  <c r="AJ39" i="1"/>
  <c r="AK39" i="1"/>
  <c r="AL39" i="1"/>
  <c r="AF40" i="1"/>
  <c r="AG40" i="1"/>
  <c r="AH40" i="1"/>
  <c r="AI40" i="1"/>
  <c r="AJ40" i="1"/>
  <c r="AK40" i="1"/>
  <c r="AL40" i="1"/>
  <c r="AF56" i="1"/>
  <c r="AG56" i="1"/>
  <c r="AH56" i="1"/>
  <c r="AI56" i="1"/>
  <c r="AJ56" i="1"/>
  <c r="AK56" i="1"/>
  <c r="AL56" i="1"/>
  <c r="AF22" i="1"/>
  <c r="AG22" i="1"/>
  <c r="AH22" i="1"/>
  <c r="AI22" i="1"/>
  <c r="AJ22" i="1"/>
  <c r="AK22" i="1"/>
  <c r="AL22" i="1"/>
  <c r="AF41" i="1"/>
  <c r="AG41" i="1"/>
  <c r="AH41" i="1"/>
  <c r="AI41" i="1"/>
  <c r="AJ41" i="1"/>
  <c r="AK41" i="1"/>
  <c r="AL41" i="1"/>
  <c r="AG42" i="1"/>
  <c r="AH42" i="1"/>
  <c r="AI42" i="1"/>
  <c r="AJ42" i="1"/>
  <c r="AK42" i="1"/>
  <c r="AL42" i="1"/>
  <c r="AF42" i="1"/>
  <c r="E61" i="1"/>
  <c r="E60" i="1"/>
  <c r="E4" i="1"/>
  <c r="E10" i="1"/>
  <c r="E5" i="1"/>
  <c r="E6" i="1"/>
  <c r="E32" i="1"/>
  <c r="E24" i="1"/>
  <c r="E33" i="1"/>
  <c r="E52" i="1"/>
  <c r="E39" i="1"/>
  <c r="E7" i="1"/>
  <c r="E8" i="1"/>
  <c r="E26" i="1"/>
  <c r="E27" i="1"/>
  <c r="E25" i="1"/>
  <c r="E9" i="1"/>
  <c r="E65" i="1"/>
  <c r="E63" i="1"/>
  <c r="E30" i="1"/>
  <c r="E14" i="1"/>
  <c r="E20" i="1"/>
  <c r="E21" i="1"/>
  <c r="E16" i="1"/>
  <c r="E46" i="1"/>
  <c r="E58" i="1"/>
  <c r="E19" i="1"/>
  <c r="E28" i="1"/>
  <c r="E49" i="1"/>
  <c r="E34" i="1"/>
  <c r="E36" i="1"/>
  <c r="E40" i="1"/>
  <c r="E35" i="1"/>
  <c r="E53" i="1"/>
  <c r="E12" i="1"/>
  <c r="E47" i="1"/>
  <c r="E11" i="1"/>
  <c r="E64" i="1"/>
  <c r="E13" i="1"/>
  <c r="E66" i="1"/>
  <c r="E43" i="1"/>
  <c r="E67" i="1"/>
  <c r="E50" i="1"/>
  <c r="E15" i="1"/>
  <c r="E31" i="1"/>
  <c r="E56" i="1"/>
  <c r="E17" i="1"/>
  <c r="E51" i="1"/>
  <c r="E59" i="1"/>
  <c r="E48" i="1"/>
  <c r="E23" i="1"/>
  <c r="E45" i="1"/>
  <c r="E44" i="1"/>
  <c r="E29" i="1"/>
  <c r="E62" i="1"/>
  <c r="E22" i="1"/>
  <c r="E18" i="1"/>
  <c r="E41" i="1"/>
  <c r="E42" i="1"/>
  <c r="E37" i="1"/>
  <c r="E54" i="1"/>
  <c r="E38" i="1"/>
  <c r="E55" i="1"/>
  <c r="E57" i="1"/>
  <c r="F61" i="1"/>
  <c r="F60" i="1"/>
  <c r="F4" i="1"/>
  <c r="F10" i="1"/>
  <c r="F5" i="1"/>
  <c r="F6" i="1"/>
  <c r="F32" i="1"/>
  <c r="F24" i="1"/>
  <c r="F33" i="1"/>
  <c r="F52" i="1"/>
  <c r="F39" i="1"/>
  <c r="F7" i="1"/>
  <c r="F8" i="1"/>
  <c r="F26" i="1"/>
  <c r="F27" i="1"/>
  <c r="F25" i="1"/>
  <c r="F9" i="1"/>
  <c r="F65" i="1"/>
  <c r="F63" i="1"/>
  <c r="F30" i="1"/>
  <c r="F14" i="1"/>
  <c r="F20" i="1"/>
  <c r="F21" i="1"/>
  <c r="F16" i="1"/>
  <c r="F46" i="1"/>
  <c r="F58" i="1"/>
  <c r="F19" i="1"/>
  <c r="F28" i="1"/>
  <c r="F49" i="1"/>
  <c r="F34" i="1"/>
  <c r="F36" i="1"/>
  <c r="F40" i="1"/>
  <c r="F35" i="1"/>
  <c r="F53" i="1"/>
  <c r="F12" i="1"/>
  <c r="F47" i="1"/>
  <c r="F11" i="1"/>
  <c r="F64" i="1"/>
  <c r="F13" i="1"/>
  <c r="F66" i="1"/>
  <c r="F43" i="1"/>
  <c r="F67" i="1"/>
  <c r="F50" i="1"/>
  <c r="F15" i="1"/>
  <c r="F31" i="1"/>
  <c r="F56" i="1"/>
  <c r="F17" i="1"/>
  <c r="F51" i="1"/>
  <c r="F59" i="1"/>
  <c r="F48" i="1"/>
  <c r="F23" i="1"/>
  <c r="F45" i="1"/>
  <c r="F44" i="1"/>
  <c r="F29" i="1"/>
  <c r="F62" i="1"/>
  <c r="F22" i="1"/>
  <c r="F18" i="1"/>
  <c r="F41" i="1"/>
  <c r="F42" i="1"/>
  <c r="F37" i="1"/>
  <c r="F54" i="1"/>
  <c r="F38" i="1"/>
  <c r="F55" i="1"/>
  <c r="F57" i="1"/>
  <c r="P68" i="1"/>
  <c r="P69" i="1" s="1"/>
  <c r="Y57" i="1"/>
  <c r="Z57" i="1"/>
  <c r="AA57" i="1"/>
  <c r="AB57" i="1"/>
  <c r="AC57" i="1"/>
  <c r="AD57" i="1"/>
  <c r="AE57" i="1"/>
  <c r="X20" i="1"/>
  <c r="X40" i="1"/>
  <c r="X53" i="1"/>
  <c r="X47" i="1"/>
  <c r="X13" i="1"/>
  <c r="X56" i="1"/>
  <c r="X51" i="1"/>
  <c r="X60" i="1"/>
  <c r="X19" i="1"/>
  <c r="X50" i="1"/>
  <c r="X43" i="1"/>
  <c r="X59" i="1"/>
  <c r="Y20" i="1"/>
  <c r="Z20" i="1"/>
  <c r="AA20" i="1"/>
  <c r="AB20" i="1"/>
  <c r="AC20" i="1"/>
  <c r="AD20" i="1"/>
  <c r="AE20" i="1"/>
  <c r="Y40" i="1"/>
  <c r="Z40" i="1"/>
  <c r="AA40" i="1"/>
  <c r="AB40" i="1"/>
  <c r="AC40" i="1"/>
  <c r="AD40" i="1"/>
  <c r="AE40" i="1"/>
  <c r="Y53" i="1"/>
  <c r="Z53" i="1"/>
  <c r="AA53" i="1"/>
  <c r="AB53" i="1"/>
  <c r="AC53" i="1"/>
  <c r="AD53" i="1"/>
  <c r="AE53" i="1"/>
  <c r="Y47" i="1"/>
  <c r="Z47" i="1"/>
  <c r="AA47" i="1"/>
  <c r="AB47" i="1"/>
  <c r="AC47" i="1"/>
  <c r="AD47" i="1"/>
  <c r="AE47" i="1"/>
  <c r="Y13" i="1"/>
  <c r="Z13" i="1"/>
  <c r="AA13" i="1"/>
  <c r="AB13" i="1"/>
  <c r="AC13" i="1"/>
  <c r="AD13" i="1"/>
  <c r="AE13" i="1"/>
  <c r="Y56" i="1"/>
  <c r="Z56" i="1"/>
  <c r="AA56" i="1"/>
  <c r="AB56" i="1"/>
  <c r="AC56" i="1"/>
  <c r="AD56" i="1"/>
  <c r="AE56" i="1"/>
  <c r="Y51" i="1"/>
  <c r="Z51" i="1"/>
  <c r="AA51" i="1"/>
  <c r="AB51" i="1"/>
  <c r="AC51" i="1"/>
  <c r="AD51" i="1"/>
  <c r="AE51" i="1"/>
  <c r="Y60" i="1"/>
  <c r="Z60" i="1"/>
  <c r="AA60" i="1"/>
  <c r="AB60" i="1"/>
  <c r="AC60" i="1"/>
  <c r="AD60" i="1"/>
  <c r="AE60" i="1"/>
  <c r="Y19" i="1"/>
  <c r="Z19" i="1"/>
  <c r="AA19" i="1"/>
  <c r="AB19" i="1"/>
  <c r="AC19" i="1"/>
  <c r="AD19" i="1"/>
  <c r="AE19" i="1"/>
  <c r="Y50" i="1"/>
  <c r="Z50" i="1"/>
  <c r="AA50" i="1"/>
  <c r="AB50" i="1"/>
  <c r="AC50" i="1"/>
  <c r="AD50" i="1"/>
  <c r="AE50" i="1"/>
  <c r="Y43" i="1"/>
  <c r="Z43" i="1"/>
  <c r="AA43" i="1"/>
  <c r="AB43" i="1"/>
  <c r="AC43" i="1"/>
  <c r="AD43" i="1"/>
  <c r="AE43" i="1"/>
  <c r="Y59" i="1"/>
  <c r="Z59" i="1"/>
  <c r="AA59" i="1"/>
  <c r="AB59" i="1"/>
  <c r="AC59" i="1"/>
  <c r="AD59" i="1"/>
  <c r="AE59" i="1"/>
</calcChain>
</file>

<file path=xl/sharedStrings.xml><?xml version="1.0" encoding="utf-8"?>
<sst xmlns="http://schemas.openxmlformats.org/spreadsheetml/2006/main" count="116" uniqueCount="46">
  <si>
    <t>Date</t>
  </si>
  <si>
    <t>context</t>
  </si>
  <si>
    <t>Total_Power</t>
  </si>
  <si>
    <t>Not_allocated</t>
  </si>
  <si>
    <t>Canteen</t>
  </si>
  <si>
    <t>Data_centre</t>
  </si>
  <si>
    <t>Refrigeration_unit2</t>
  </si>
  <si>
    <t>Rectory</t>
  </si>
  <si>
    <t>DIMAT</t>
  </si>
  <si>
    <t>Print_shop</t>
  </si>
  <si>
    <t>Total_Power_energy_absolute</t>
  </si>
  <si>
    <t>Not_allocated_energy_absolute</t>
  </si>
  <si>
    <t>Canteen_energy_absolute</t>
  </si>
  <si>
    <t>Data_centre_energy_absolute</t>
  </si>
  <si>
    <t>Refrigeration_unit2_energy_absolute</t>
  </si>
  <si>
    <t>Rectory_energy_absolute</t>
  </si>
  <si>
    <t>DIMAT_energy_absolute</t>
  </si>
  <si>
    <t>Print_shop_energy_absolute</t>
  </si>
  <si>
    <t>Total_Power_energy_relative</t>
  </si>
  <si>
    <t>Not_allocated_energy_relative</t>
  </si>
  <si>
    <t>Canteen_energy_relative</t>
  </si>
  <si>
    <t>Data_centre_energy_relative</t>
  </si>
  <si>
    <t>Refrigeration_unit2_energy_relative</t>
  </si>
  <si>
    <t>Rectory_energy_relative</t>
  </si>
  <si>
    <t>DIMAT_energy_relative</t>
  </si>
  <si>
    <t>Print_shop_energy_relative</t>
  </si>
  <si>
    <t>SEVERITY</t>
  </si>
  <si>
    <t>ABSOLUTE ENERGY DIFFERENCE</t>
  </si>
  <si>
    <t>PERCENTAGE ENERGY DIFFERENCE</t>
  </si>
  <si>
    <t>Row Labels</t>
  </si>
  <si>
    <t>Grand Total</t>
  </si>
  <si>
    <t>Count of Total_Power</t>
  </si>
  <si>
    <t>other</t>
  </si>
  <si>
    <t>season</t>
  </si>
  <si>
    <t>summer</t>
  </si>
  <si>
    <t>Day</t>
  </si>
  <si>
    <t>Month</t>
  </si>
  <si>
    <t>selected</t>
  </si>
  <si>
    <t>Column1</t>
  </si>
  <si>
    <t>Column2</t>
  </si>
  <si>
    <t>Column3</t>
  </si>
  <si>
    <t>Column4</t>
  </si>
  <si>
    <t>Column5</t>
  </si>
  <si>
    <t>Column6</t>
  </si>
  <si>
    <t>Column7</t>
  </si>
  <si>
    <t>Count of 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</si>
</sst>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Poppins Regula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" fontId="18" fillId="0" borderId="0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0" xfId="1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 textRotation="45" wrapText="1"/>
    </xf>
    <xf numFmtId="1" fontId="18" fillId="0" borderId="0" xfId="0" applyNumberFormat="1" applyFont="1" applyBorder="1" applyAlignment="1">
      <alignment horizontal="center" textRotation="45" wrapText="1"/>
    </xf>
    <xf numFmtId="164" fontId="18" fillId="0" borderId="0" xfId="0" applyNumberFormat="1" applyFont="1" applyBorder="1" applyAlignment="1">
      <alignment horizontal="center" textRotation="45" wrapText="1"/>
    </xf>
    <xf numFmtId="164" fontId="18" fillId="0" borderId="0" xfId="1" applyNumberFormat="1" applyFont="1" applyBorder="1" applyAlignment="1">
      <alignment horizontal="center" textRotation="45" wrapText="1"/>
    </xf>
    <xf numFmtId="0" fontId="18" fillId="0" borderId="0" xfId="0" applyFont="1" applyBorder="1" applyAlignment="1">
      <alignment horizontal="center"/>
    </xf>
    <xf numFmtId="1" fontId="18" fillId="0" borderId="0" xfId="0" applyNumberFormat="1" applyFont="1" applyBorder="1" applyAlignment="1">
      <alignment horizontal="center"/>
    </xf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1" fontId="18" fillId="0" borderId="0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2" fontId="18" fillId="0" borderId="0" xfId="0" applyNumberFormat="1" applyFont="1" applyBorder="1" applyAlignment="1">
      <alignment horizontal="center" textRotation="45" wrapText="1"/>
    </xf>
    <xf numFmtId="164" fontId="18" fillId="0" borderId="0" xfId="1" applyNumberFormat="1" applyFont="1" applyAlignment="1">
      <alignment horizontal="center"/>
    </xf>
    <xf numFmtId="1" fontId="18" fillId="0" borderId="0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0" xfId="1" applyNumberFormat="1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45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OSA  ROBERTO" refreshedDate="44607.717404745374" createdVersion="7" refreshedVersion="7" minRefreshableVersion="3" recordCount="64" xr:uid="{709838CA-0F61-6A42-9319-62D50211F2CF}">
  <cacheSource type="worksheet">
    <worksheetSource name="Table1"/>
  </cacheSource>
  <cacheFields count="37">
    <cacheField name="Date" numFmtId="165">
      <sharedItems containsSemiMixedTypes="0" containsNonDate="0" containsDate="1" containsString="0" minDate="2019-01-02T00:00:00" maxDate="2019-12-28T00:00:00"/>
    </cacheField>
    <cacheField name="selected" numFmtId="1">
      <sharedItems containsSemiMixedTypes="0" containsString="0" containsNumber="1" containsInteger="1" minValue="0" maxValue="1"/>
    </cacheField>
    <cacheField name="season" numFmtId="165">
      <sharedItems count="2">
        <s v="other"/>
        <s v="summer"/>
      </sharedItems>
    </cacheField>
    <cacheField name="Month" numFmtId="165">
      <sharedItems/>
    </cacheField>
    <cacheField name="Day" numFmtId="165">
      <sharedItems/>
    </cacheField>
    <cacheField name="context" numFmtId="1">
      <sharedItems containsSemiMixedTypes="0" containsString="0" containsNumber="1" containsInteger="1" minValue="1" maxValue="5" count="5">
        <n v="2"/>
        <n v="3"/>
        <n v="4"/>
        <n v="1"/>
        <n v="5"/>
      </sharedItems>
    </cacheField>
    <cacheField name="Total_Power" numFmtId="1">
      <sharedItems containsSemiMixedTypes="0" containsString="0" containsNumber="1" containsInteger="1" minValue="6" maxValue="8" count="3">
        <n v="6"/>
        <n v="7"/>
        <n v="8"/>
      </sharedItems>
    </cacheField>
    <cacheField name="Not_allocated" numFmtId="1">
      <sharedItems containsSemiMixedTypes="0" containsString="0" containsNumber="1" containsInteger="1" minValue="0" maxValue="8"/>
    </cacheField>
    <cacheField name="Canteen" numFmtId="1">
      <sharedItems containsSemiMixedTypes="0" containsString="0" containsNumber="1" containsInteger="1" minValue="0" maxValue="8"/>
    </cacheField>
    <cacheField name="Data_centre" numFmtId="1">
      <sharedItems containsSemiMixedTypes="0" containsString="0" containsNumber="1" containsInteger="1" minValue="0" maxValue="8"/>
    </cacheField>
    <cacheField name="Refrigeration_unit2" numFmtId="1">
      <sharedItems containsSemiMixedTypes="0" containsString="0" containsNumber="1" containsInteger="1" minValue="0" maxValue="8"/>
    </cacheField>
    <cacheField name="Rectory" numFmtId="1">
      <sharedItems containsSemiMixedTypes="0" containsString="0" containsNumber="1" containsInteger="1" minValue="0" maxValue="5"/>
    </cacheField>
    <cacheField name="DIMAT" numFmtId="1">
      <sharedItems containsSemiMixedTypes="0" containsString="0" containsNumber="1" containsInteger="1" minValue="1" maxValue="5"/>
    </cacheField>
    <cacheField name="Print_shop" numFmtId="1">
      <sharedItems containsSemiMixedTypes="0" containsString="0" containsNumber="1" containsInteger="1" minValue="0" maxValue="8"/>
    </cacheField>
    <cacheField name="Total_Power_energy_absolute" numFmtId="164">
      <sharedItems containsSemiMixedTypes="0" containsString="0" containsNumber="1" minValue="104.36433333333299" maxValue="895.92765957446795"/>
    </cacheField>
    <cacheField name="Not_allocated_energy_absolute" numFmtId="164">
      <sharedItems containsSemiMixedTypes="0" containsString="0" containsNumber="1" minValue="-124.927745901639" maxValue="543.37400000000002"/>
    </cacheField>
    <cacheField name="Canteen_energy_absolute" numFmtId="164">
      <sharedItems containsSemiMixedTypes="0" containsString="0" containsNumber="1" minValue="-55.390163934426297" maxValue="309.95737704918002"/>
    </cacheField>
    <cacheField name="Data_centre_energy_absolute" numFmtId="164">
      <sharedItems containsSemiMixedTypes="0" containsString="0" containsNumber="1" minValue="-16.278520386717101" maxValue="57.203868471953598"/>
    </cacheField>
    <cacheField name="Refrigeration_unit2_energy_absolute" numFmtId="164">
      <sharedItems containsSemiMixedTypes="0" containsString="0" containsNumber="1" minValue="-29.249180327868899" maxValue="774.11489361702104"/>
    </cacheField>
    <cacheField name="Rectory_energy_absolute" numFmtId="164">
      <sharedItems containsSemiMixedTypes="0" containsString="0" containsNumber="1" minValue="-14.720218579235" maxValue="17.386666666666699"/>
    </cacheField>
    <cacheField name="DIMAT_energy_absolute" numFmtId="164">
      <sharedItems containsSemiMixedTypes="0" containsString="0" containsNumber="1" minValue="-9.5464480874317008" maxValue="7.0508196721311496"/>
    </cacheField>
    <cacheField name="Print_shop_energy_absolute" numFmtId="164">
      <sharedItems containsSemiMixedTypes="0" containsString="0" containsNumber="1" minValue="-7.1830601092896202" maxValue="5.4229508196721197"/>
    </cacheField>
    <cacheField name="Total_Power_energy_relative" numFmtId="164">
      <sharedItems containsSemiMixedTypes="0" containsString="0" containsNumber="1" minValue="12.048163524156401" maxValue="4299.6425531914883"/>
    </cacheField>
    <cacheField name="Not_allocated_energy_relative" numFmtId="164">
      <sharedItems containsSemiMixedTypes="0" containsString="0" containsNumber="1" minValue="-27.680050038152501" maxValue="2642.8936170212801"/>
    </cacheField>
    <cacheField name="Canteen_energy_relative" numFmtId="164">
      <sharedItems containsSemiMixedTypes="0" containsString="0" containsNumber="1" minValue="-48.1095105537688" maxValue="440.01396323016098"/>
    </cacheField>
    <cacheField name="Data_centre_energy_relative" numFmtId="164">
      <sharedItems containsSemiMixedTypes="0" containsString="0" containsNumber="1" minValue="-8.79926030736471" maxValue="192.40833333333302"/>
    </cacheField>
    <cacheField name="Refrigeration_unit2_energy_relative" numFmtId="164">
      <sharedItems containsSemiMixedTypes="0" containsString="0" containsNumber="1" minValue="-4074" maxValue="3354.5872340425522"/>
    </cacheField>
    <cacheField name="Rectory_energy_relative" numFmtId="164">
      <sharedItems containsSemiMixedTypes="0" containsString="0" containsNumber="1" minValue="-18.867782300618099" maxValue="40.532786885245798"/>
    </cacheField>
    <cacheField name="DIMAT_energy_relative" numFmtId="164">
      <sharedItems containsSemiMixedTypes="0" containsString="0" containsNumber="1" minValue="-45.145314739997403" maxValue="18.6351310635734"/>
    </cacheField>
    <cacheField name="Print_shop_energy_relative" numFmtId="164">
      <sharedItems containsSemiMixedTypes="0" containsString="0" containsNumber="1" minValue="-67.237851662404097" maxValue="199.00332225913601"/>
    </cacheField>
    <cacheField name="Column1" numFmtId="164">
      <sharedItems count="2">
        <s v=""/>
        <s v="Not_allocated"/>
      </sharedItems>
    </cacheField>
    <cacheField name="Column2" numFmtId="164">
      <sharedItems count="2">
        <s v=""/>
        <s v="Canteen"/>
      </sharedItems>
    </cacheField>
    <cacheField name="Column3" numFmtId="164">
      <sharedItems count="2">
        <s v=""/>
        <s v="Data_centre"/>
      </sharedItems>
    </cacheField>
    <cacheField name="Column4" numFmtId="164">
      <sharedItems count="2">
        <s v=""/>
        <s v="Refrigeration_unit2"/>
      </sharedItems>
    </cacheField>
    <cacheField name="Column5" numFmtId="164">
      <sharedItems count="1">
        <s v=""/>
      </sharedItems>
    </cacheField>
    <cacheField name="Column6" numFmtId="164">
      <sharedItems count="1">
        <s v=""/>
      </sharedItems>
    </cacheField>
    <cacheField name="Column7" numFmtId="164">
      <sharedItems count="2">
        <s v=""/>
        <s v="Print_sho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d v="2019-01-02T00:00:00"/>
    <n v="0"/>
    <x v="0"/>
    <s v="January"/>
    <s v="Wednesday"/>
    <x v="0"/>
    <x v="0"/>
    <n v="0"/>
    <n v="3"/>
    <n v="1"/>
    <n v="5"/>
    <n v="1"/>
    <n v="1"/>
    <n v="4"/>
    <n v="116.164333333333"/>
    <n v="16.700333333333301"/>
    <n v="34.365333333333297"/>
    <n v="-0.57466666666667299"/>
    <n v="58.526666666666699"/>
    <n v="3.58266666666667"/>
    <n v="1.7493333333333301"/>
    <n v="1.696"/>
    <n v="30.3748691501054"/>
    <n v="0"/>
    <n v="49"/>
    <n v="0"/>
    <n v="-4074"/>
    <n v="0"/>
    <n v="4"/>
    <n v="31"/>
    <x v="0"/>
    <x v="0"/>
    <x v="0"/>
    <x v="0"/>
    <x v="0"/>
    <x v="0"/>
    <x v="0"/>
  </r>
  <r>
    <d v="2019-01-03T00:00:00"/>
    <n v="0"/>
    <x v="0"/>
    <s v="January"/>
    <s v="Thursday"/>
    <x v="0"/>
    <x v="0"/>
    <n v="0"/>
    <n v="5"/>
    <n v="1"/>
    <n v="5"/>
    <n v="1"/>
    <n v="1"/>
    <n v="8"/>
    <n v="104.36433333333299"/>
    <n v="12.5003333333333"/>
    <n v="37.265333333333302"/>
    <n v="-0.274666666666675"/>
    <n v="49.926666666666698"/>
    <n v="0.88266666666666505"/>
    <n v="1.64933333333333"/>
    <n v="2.3959999999999999"/>
    <n v="27.289382876597099"/>
    <n v="7.3144281537510301"/>
    <n v="75.535796329828898"/>
    <n v="-0.28859220240681199"/>
    <n v="203.17417254476399"/>
    <n v="3.20767516232192"/>
    <n v="18.6351310635734"/>
    <n v="199.00332225913601"/>
    <x v="0"/>
    <x v="0"/>
    <x v="0"/>
    <x v="0"/>
    <x v="0"/>
    <x v="0"/>
    <x v="1"/>
  </r>
  <r>
    <d v="2019-06-03T00:00:00"/>
    <n v="0"/>
    <x v="1"/>
    <s v="June"/>
    <s v="Monday"/>
    <x v="1"/>
    <x v="0"/>
    <n v="0"/>
    <n v="0"/>
    <n v="4"/>
    <n v="7"/>
    <n v="1"/>
    <n v="2"/>
    <n v="0"/>
    <n v="644.58633879781405"/>
    <n v="53.7508196721312"/>
    <n v="-16.2901639344262"/>
    <n v="34.505464480874302"/>
    <n v="661.77322404371603"/>
    <n v="-14.720218579235"/>
    <n v="-8.7819672131147506"/>
    <n v="4.7229508196721204"/>
    <n v="16.579661346179201"/>
    <n v="2.8550629736959499"/>
    <n v="-1.5944328828315599"/>
    <n v="13.709262463607301"/>
    <n v="156.068734704608"/>
    <n v="-11.736718964443"/>
    <n v="-19.351226384423601"/>
    <n v="7.0939623756524997"/>
    <x v="0"/>
    <x v="0"/>
    <x v="0"/>
    <x v="1"/>
    <x v="0"/>
    <x v="0"/>
    <x v="0"/>
  </r>
  <r>
    <d v="2019-06-04T00:00:00"/>
    <n v="0"/>
    <x v="1"/>
    <s v="June"/>
    <s v="Tuesday"/>
    <x v="1"/>
    <x v="0"/>
    <n v="0"/>
    <n v="0"/>
    <n v="4"/>
    <n v="5"/>
    <n v="1"/>
    <n v="2"/>
    <n v="0"/>
    <n v="569.78633879781501"/>
    <n v="69.850819672131095"/>
    <n v="-45.990163934426199"/>
    <n v="33.105464480874303"/>
    <n v="587.673224043716"/>
    <n v="-1.1202185792349699"/>
    <n v="-9.1819672131147492"/>
    <n v="5.4229508196721197"/>
    <n v="14.6557008244481"/>
    <n v="3.7102408883192202"/>
    <n v="-4.5013807079557902"/>
    <n v="13.153032668187899"/>
    <n v="138.593423190875"/>
    <n v="-0.89317224282086105"/>
    <n v="-20.232633746342501"/>
    <n v="8.1453757510095297"/>
    <x v="0"/>
    <x v="0"/>
    <x v="0"/>
    <x v="0"/>
    <x v="0"/>
    <x v="0"/>
    <x v="0"/>
  </r>
  <r>
    <d v="2019-06-04T00:00:00"/>
    <n v="0"/>
    <x v="1"/>
    <s v="June"/>
    <s v="Tuesday"/>
    <x v="2"/>
    <x v="0"/>
    <n v="0"/>
    <n v="0"/>
    <n v="2"/>
    <n v="6"/>
    <n v="1"/>
    <n v="2"/>
    <n v="0"/>
    <n v="323.99289617486301"/>
    <n v="19.005464480874299"/>
    <n v="-16.8404371584699"/>
    <n v="18.0251366120219"/>
    <n v="329.66612021857901"/>
    <n v="-0.80928961748634298"/>
    <n v="-6.3464480874316997"/>
    <n v="0.948633879781418"/>
    <n v="19.6955317348771"/>
    <n v="1.8585532995466301"/>
    <n v="-14.1230924338939"/>
    <n v="13.265983245593199"/>
    <n v="143.125327690143"/>
    <n v="-1.32433157471162"/>
    <n v="-24.649800492401699"/>
    <n v="3.1152424362057101"/>
    <x v="0"/>
    <x v="0"/>
    <x v="0"/>
    <x v="1"/>
    <x v="0"/>
    <x v="0"/>
    <x v="0"/>
  </r>
  <r>
    <d v="2019-06-17T00:00:00"/>
    <n v="0"/>
    <x v="1"/>
    <s v="June"/>
    <s v="Monday"/>
    <x v="1"/>
    <x v="0"/>
    <n v="0"/>
    <n v="0"/>
    <n v="4"/>
    <n v="6"/>
    <n v="1"/>
    <n v="2"/>
    <n v="0"/>
    <n v="532.68633879781396"/>
    <n v="30.2508196721312"/>
    <n v="-55.390163934426297"/>
    <n v="32.305464480874299"/>
    <n v="620.27322404371603"/>
    <n v="-13.220218579235"/>
    <n v="-9.3819672131147591"/>
    <n v="-1.7770491803278801"/>
    <n v="13.7014369827873"/>
    <n v="1.6068219181899299"/>
    <n v="-5.4214248007560597"/>
    <n v="12.835187070805301"/>
    <n v="146.28161692026401"/>
    <n v="-10.5407395466171"/>
    <n v="-20.673337427301998"/>
    <n v="-2.6691618240914199"/>
    <x v="0"/>
    <x v="0"/>
    <x v="0"/>
    <x v="1"/>
    <x v="0"/>
    <x v="0"/>
    <x v="0"/>
  </r>
  <r>
    <d v="2019-06-17T00:00:00"/>
    <n v="0"/>
    <x v="1"/>
    <s v="June"/>
    <s v="Monday"/>
    <x v="2"/>
    <x v="0"/>
    <n v="0"/>
    <n v="0"/>
    <n v="2"/>
    <n v="3"/>
    <n v="1"/>
    <n v="2"/>
    <n v="0"/>
    <n v="283.99289617486301"/>
    <n v="-5.0945355191256603"/>
    <n v="4.4595628415300599"/>
    <n v="17.225136612021899"/>
    <n v="303.366120218579"/>
    <n v="-8.9092896174863405"/>
    <n v="-6.7464480874316903"/>
    <n v="-0.65136612021857898"/>
    <n v="17.263931293335698"/>
    <n v="-0.49819702161222301"/>
    <n v="3.7399752531964698"/>
    <n v="12.677206204680401"/>
    <n v="131.70712033612401"/>
    <n v="-14.5792721094518"/>
    <n v="-26.203412853383099"/>
    <n v="-2.1390374331550799"/>
    <x v="0"/>
    <x v="0"/>
    <x v="0"/>
    <x v="0"/>
    <x v="0"/>
    <x v="0"/>
    <x v="0"/>
  </r>
  <r>
    <d v="2019-06-21T00:00:00"/>
    <n v="0"/>
    <x v="1"/>
    <s v="June"/>
    <s v="Friday"/>
    <x v="2"/>
    <x v="0"/>
    <n v="0"/>
    <n v="0"/>
    <n v="2"/>
    <n v="2"/>
    <n v="1"/>
    <n v="2"/>
    <n v="0"/>
    <n v="280.29289617486302"/>
    <n v="125.505464480874"/>
    <n v="22.35956284153"/>
    <n v="6.5251366120218703"/>
    <n v="149.06612021857899"/>
    <n v="-1.60928961748634"/>
    <n v="-0.34644808743169597"/>
    <n v="-1.55136612021858"/>
    <n v="17.039008252493101"/>
    <n v="12.2732383287341"/>
    <n v="18.751661243756001"/>
    <n v="4.8023132824722303"/>
    <n v="64.717409510072102"/>
    <n v="-2.6334615040686802"/>
    <n v="-1.3456150776806299"/>
    <n v="-5.0945698596705302"/>
    <x v="0"/>
    <x v="0"/>
    <x v="0"/>
    <x v="0"/>
    <x v="0"/>
    <x v="0"/>
    <x v="0"/>
  </r>
  <r>
    <d v="2019-07-30T00:00:00"/>
    <n v="0"/>
    <x v="1"/>
    <s v="July"/>
    <s v="Tuesday"/>
    <x v="3"/>
    <x v="0"/>
    <n v="0"/>
    <n v="2"/>
    <n v="2"/>
    <n v="8"/>
    <n v="3"/>
    <n v="1"/>
    <n v="7"/>
    <n v="185.234990622135"/>
    <n v="65.777964480874303"/>
    <n v="1.5584699453552"/>
    <n v="16.221479613282899"/>
    <n v="108.69890710382499"/>
    <n v="13.510928961748601"/>
    <n v="-6.6628415300546502"/>
    <n v="4.9530054644808699"/>
    <n v="1111.40994373281"/>
    <n v="0"/>
    <n v="3.1169398907104"/>
    <n v="32.442959226565797"/>
    <n v="869.59125683059995"/>
    <n v="40.532786885245798"/>
    <n v="6.6628415300546502"/>
    <n v="34.671038251366092"/>
    <x v="0"/>
    <x v="0"/>
    <x v="0"/>
    <x v="1"/>
    <x v="0"/>
    <x v="0"/>
    <x v="1"/>
  </r>
  <r>
    <d v="2019-08-17T00:00:00"/>
    <n v="0"/>
    <x v="1"/>
    <s v="August"/>
    <s v="Saturday"/>
    <x v="0"/>
    <x v="0"/>
    <n v="0"/>
    <n v="2"/>
    <n v="1"/>
    <n v="8"/>
    <n v="1"/>
    <n v="1"/>
    <n v="8"/>
    <n v="144.564333333333"/>
    <n v="66.600333333333296"/>
    <n v="-23.734666666666701"/>
    <n v="-2.57466666666667"/>
    <n v="108.026666666667"/>
    <n v="2.08266666666667"/>
    <n v="-3.3506666666666698"/>
    <n v="2.3959999999999999"/>
    <n v="37.800954757532203"/>
    <n v="38.970429043161801"/>
    <n v="-48.1095105537688"/>
    <n v="-2.7052016643084298"/>
    <n v="439.60933260987503"/>
    <n v="7.5685628452369498"/>
    <n v="-37.857788490509201"/>
    <n v="199.00332225913601"/>
    <x v="0"/>
    <x v="0"/>
    <x v="0"/>
    <x v="1"/>
    <x v="0"/>
    <x v="0"/>
    <x v="1"/>
  </r>
  <r>
    <d v="2019-06-10T00:00:00"/>
    <n v="0"/>
    <x v="1"/>
    <s v="June"/>
    <s v="Monday"/>
    <x v="0"/>
    <x v="0"/>
    <n v="1"/>
    <n v="1"/>
    <n v="2"/>
    <n v="5"/>
    <n v="1"/>
    <n v="4"/>
    <n v="0"/>
    <n v="130.18251366120199"/>
    <n v="-27.927745901639401"/>
    <n v="-8.9775956284153207"/>
    <n v="10.3036990332072"/>
    <n v="181.96393442623"/>
    <n v="-3.7502732240437102"/>
    <n v="-2.8786885245901699"/>
    <n v="0.31693989071038298"/>
    <n v="12.048163524156401"/>
    <n v="-6.1879080458141802"/>
    <n v="-2.81184641557615"/>
    <n v="10.8807830168788"/>
    <n v="129.84803996116199"/>
    <n v="-11.3816149521551"/>
    <n v="-22.885442460576101"/>
    <n v="2.9667519181585802"/>
    <x v="0"/>
    <x v="0"/>
    <x v="0"/>
    <x v="0"/>
    <x v="0"/>
    <x v="0"/>
    <x v="0"/>
  </r>
  <r>
    <d v="2019-06-21T00:00:00"/>
    <n v="0"/>
    <x v="1"/>
    <s v="June"/>
    <s v="Friday"/>
    <x v="0"/>
    <x v="0"/>
    <n v="1"/>
    <n v="1"/>
    <n v="2"/>
    <n v="5"/>
    <n v="1"/>
    <n v="1"/>
    <n v="0"/>
    <n v="157.88251366120201"/>
    <n v="27.572254098360599"/>
    <n v="-29.277595628415298"/>
    <n v="11.0036990332072"/>
    <n v="172.66393442623001"/>
    <n v="-3.3502732240437099"/>
    <n v="-1.5786885245901601"/>
    <n v="-0.283060109289616"/>
    <n v="14.6117499862189"/>
    <n v="6.1091422693896797"/>
    <n v="-9.1699499210992101"/>
    <n v="11.619988236991301"/>
    <n v="123.211632722296"/>
    <n v="-10.167664472047599"/>
    <n v="-12.5505017594161"/>
    <n v="-2.6496163682864302"/>
    <x v="0"/>
    <x v="0"/>
    <x v="0"/>
    <x v="0"/>
    <x v="0"/>
    <x v="0"/>
    <x v="0"/>
  </r>
  <r>
    <d v="2019-06-24T00:00:00"/>
    <n v="0"/>
    <x v="1"/>
    <s v="June"/>
    <s v="Monday"/>
    <x v="2"/>
    <x v="0"/>
    <n v="1"/>
    <n v="8"/>
    <n v="8"/>
    <n v="0"/>
    <n v="1"/>
    <n v="1"/>
    <n v="0"/>
    <n v="121.41489361702099"/>
    <n v="72.965957446808503"/>
    <n v="20.095744680851102"/>
    <n v="48.829787234042598"/>
    <n v="-5.0723404255319204"/>
    <n v="-5.5829787234042598"/>
    <n v="-1.60851063829787"/>
    <n v="-5.5319148936170202E-2"/>
    <n v="22.784441179289001"/>
    <n v="27.222645583285701"/>
    <n v="42.7530327720442"/>
    <n v="35.136873047951497"/>
    <n v="-26.595269968763901"/>
    <n v="-15.1370060571099"/>
    <n v="-12.177835051546399"/>
    <n v="-3.5567715458276301"/>
    <x v="0"/>
    <x v="1"/>
    <x v="1"/>
    <x v="0"/>
    <x v="0"/>
    <x v="0"/>
    <x v="0"/>
  </r>
  <r>
    <d v="2019-06-29T00:00:00"/>
    <n v="0"/>
    <x v="1"/>
    <s v="June"/>
    <s v="Saturday"/>
    <x v="1"/>
    <x v="0"/>
    <n v="1"/>
    <n v="0"/>
    <n v="1"/>
    <n v="8"/>
    <n v="0"/>
    <n v="1"/>
    <n v="0"/>
    <n v="636.52765957446798"/>
    <n v="36.365957446808501"/>
    <n v="-3.7808510638297901"/>
    <n v="11.174468085106399"/>
    <n v="618.51489361702102"/>
    <n v="-4.1382978723404298"/>
    <n v="-5.6638297872340404"/>
    <n v="0.77021276595744603"/>
    <n v="34.775856557496198"/>
    <n v="3.60546599783149"/>
    <n v="-3.6501448144116"/>
    <n v="4.3594830376930904"/>
    <n v="184.69465551856501"/>
    <n v="-5.6581818181818297"/>
    <n v="-21.6475563145483"/>
    <n v="7.0469145415612102"/>
    <x v="0"/>
    <x v="0"/>
    <x v="0"/>
    <x v="1"/>
    <x v="0"/>
    <x v="0"/>
    <x v="0"/>
  </r>
  <r>
    <d v="2019-08-02T00:00:00"/>
    <n v="0"/>
    <x v="1"/>
    <s v="August"/>
    <s v="Friday"/>
    <x v="0"/>
    <x v="0"/>
    <n v="1"/>
    <n v="0"/>
    <n v="0"/>
    <n v="3"/>
    <n v="2"/>
    <n v="1"/>
    <n v="5"/>
    <n v="281.95555555555597"/>
    <n v="7.7361111111110903"/>
    <n v="24.491666666666699"/>
    <n v="-6.6666666666677102E-2"/>
    <n v="251.71666666666701"/>
    <n v="0.96388888888888902"/>
    <n v="-1.1444444444444399"/>
    <n v="0.35555555555555601"/>
    <n v="34.4165355612217"/>
    <n v="2.3879547617618599"/>
    <n v="10.7462795714651"/>
    <n v="-6.7911714770807499E-2"/>
    <n v="210.494773519164"/>
    <n v="3.1360144600090401"/>
    <n v="-10.9574468085106"/>
    <n v="5.6042031523642697"/>
    <x v="0"/>
    <x v="0"/>
    <x v="0"/>
    <x v="0"/>
    <x v="0"/>
    <x v="0"/>
    <x v="0"/>
  </r>
  <r>
    <d v="2019-07-25T00:00:00"/>
    <n v="0"/>
    <x v="1"/>
    <s v="July"/>
    <s v="Thursday"/>
    <x v="2"/>
    <x v="0"/>
    <n v="2"/>
    <n v="8"/>
    <n v="0"/>
    <n v="2"/>
    <n v="2"/>
    <n v="1"/>
    <n v="4"/>
    <n v="349.63749999999999"/>
    <n v="107.304166666667"/>
    <n v="102.7"/>
    <n v="-0.79166666666665697"/>
    <n v="143.995833333333"/>
    <n v="3.6541666666666699"/>
    <n v="-2.0874999999999999"/>
    <n v="-5.1375000000000002"/>
    <n v="16.156534296028902"/>
    <n v="10.634748243922401"/>
    <n v="71.171171171171196"/>
    <n v="-0.51949472302728095"/>
    <n v="19.155917942009498"/>
    <n v="6.1991941754435702"/>
    <n v="-12.005751258087701"/>
    <n v="-16.934487021013599"/>
    <x v="0"/>
    <x v="1"/>
    <x v="0"/>
    <x v="0"/>
    <x v="0"/>
    <x v="0"/>
    <x v="0"/>
  </r>
  <r>
    <d v="2019-08-09T00:00:00"/>
    <n v="0"/>
    <x v="1"/>
    <s v="August"/>
    <s v="Friday"/>
    <x v="3"/>
    <x v="0"/>
    <n v="2"/>
    <n v="3"/>
    <n v="6"/>
    <n v="7"/>
    <n v="3"/>
    <n v="1"/>
    <n v="0"/>
    <n v="131.55231481481499"/>
    <n v="42.623148148148204"/>
    <n v="-40.936111111111103"/>
    <n v="32.068055555555503"/>
    <n v="91.95"/>
    <n v="12.142824074074101"/>
    <n v="-3.8601851851851898"/>
    <n v="-0.60694444444444495"/>
    <n v="789.31388888889001"/>
    <n v="85.246296296296407"/>
    <n v="122.80833333333331"/>
    <n v="192.40833333333302"/>
    <n v="643.65"/>
    <n v="36.428472222222304"/>
    <n v="3.8601851851851898"/>
    <n v="0"/>
    <x v="0"/>
    <x v="0"/>
    <x v="1"/>
    <x v="1"/>
    <x v="0"/>
    <x v="0"/>
    <x v="0"/>
  </r>
  <r>
    <d v="2019-07-13T00:00:00"/>
    <n v="0"/>
    <x v="1"/>
    <s v="July"/>
    <s v="Saturday"/>
    <x v="0"/>
    <x v="0"/>
    <n v="3"/>
    <n v="1"/>
    <n v="1"/>
    <n v="4"/>
    <n v="0"/>
    <n v="1"/>
    <n v="0"/>
    <n v="280.87021276595698"/>
    <n v="81.6404255319149"/>
    <n v="14.534042553191499"/>
    <n v="-1.6489361702127601"/>
    <n v="191.721276595745"/>
    <n v="0.77446808510638498"/>
    <n v="-0.67021276595744605"/>
    <n v="0.35531914893617"/>
    <n v="40.692276392690701"/>
    <n v="23.176211932689899"/>
    <n v="38.586680223690898"/>
    <n v="-1.71142125253952"/>
    <n v="123.15188126119"/>
    <n v="2.7438564751997698"/>
    <n v="-6.3405797101449197"/>
    <n v="9.7489784004670206"/>
    <x v="0"/>
    <x v="0"/>
    <x v="0"/>
    <x v="0"/>
    <x v="0"/>
    <x v="0"/>
    <x v="0"/>
  </r>
  <r>
    <d v="2019-06-24T00:00:00"/>
    <n v="0"/>
    <x v="1"/>
    <s v="June"/>
    <s v="Monday"/>
    <x v="4"/>
    <x v="0"/>
    <n v="5"/>
    <n v="1"/>
    <n v="8"/>
    <n v="0"/>
    <n v="1"/>
    <n v="1"/>
    <n v="1"/>
    <n v="160.15829787234"/>
    <n v="114.691170212766"/>
    <n v="7.0723404255319204"/>
    <n v="57.203868471953598"/>
    <n v="-3.0042553191489398"/>
    <n v="-3.62765957446809"/>
    <n v="-3.62765957446809"/>
    <n v="0.11914893617021299"/>
    <n v="22.881662484960799"/>
    <n v="32.143590807760098"/>
    <n v="11.762208067940501"/>
    <n v="31.483261636268601"/>
    <n v="-14.5103278183126"/>
    <n v="-7.0539075751934197"/>
    <n v="-7.0539075751934197"/>
    <n v="6.0150375939849603"/>
    <x v="0"/>
    <x v="0"/>
    <x v="1"/>
    <x v="0"/>
    <x v="0"/>
    <x v="0"/>
    <x v="0"/>
  </r>
  <r>
    <d v="2019-08-05T00:00:00"/>
    <n v="0"/>
    <x v="1"/>
    <s v="August"/>
    <s v="Monday"/>
    <x v="0"/>
    <x v="0"/>
    <n v="5"/>
    <n v="1"/>
    <n v="3"/>
    <n v="8"/>
    <n v="1"/>
    <n v="5"/>
    <n v="0"/>
    <n v="142.68251366120199"/>
    <n v="-124.927745901639"/>
    <n v="-54.977595628415301"/>
    <n v="14.0036990332072"/>
    <n v="341.86393442623"/>
    <n v="-1.55027322404371"/>
    <n v="-5.6786885245901697"/>
    <n v="-7.1830601092896202"/>
    <n v="13.205016620755"/>
    <n v="-27.680050038152501"/>
    <n v="-17.219371600505202"/>
    <n v="14.7880106089022"/>
    <n v="243.95142893908701"/>
    <n v="-4.70488731156403"/>
    <n v="-45.145314739997403"/>
    <n v="-67.237851662404097"/>
    <x v="0"/>
    <x v="0"/>
    <x v="0"/>
    <x v="1"/>
    <x v="0"/>
    <x v="0"/>
    <x v="0"/>
  </r>
  <r>
    <d v="2019-06-08T00:00:00"/>
    <n v="0"/>
    <x v="1"/>
    <s v="June"/>
    <s v="Saturday"/>
    <x v="2"/>
    <x v="0"/>
    <n v="6"/>
    <n v="1"/>
    <n v="4"/>
    <n v="0"/>
    <n v="1"/>
    <n v="1"/>
    <n v="0"/>
    <n v="192.814893617021"/>
    <n v="183.96595744680801"/>
    <n v="-2.3042553191489401"/>
    <n v="28.129787234042499"/>
    <n v="-6.5723404255319204"/>
    <n v="-0.78297872340425601"/>
    <n v="-1.40851063829787"/>
    <n v="-5.5319148936170202E-2"/>
    <n v="36.183201839844102"/>
    <n v="68.635295611862603"/>
    <n v="-4.9022270505160304"/>
    <n v="20.241594708800299"/>
    <n v="-34.4600624721107"/>
    <n v="-2.1228728006922402"/>
    <n v="-10.6636597938144"/>
    <n v="-3.5567715458276301"/>
    <x v="1"/>
    <x v="0"/>
    <x v="0"/>
    <x v="0"/>
    <x v="0"/>
    <x v="0"/>
    <x v="0"/>
  </r>
  <r>
    <d v="2019-06-15T00:00:00"/>
    <n v="0"/>
    <x v="1"/>
    <s v="June"/>
    <s v="Saturday"/>
    <x v="2"/>
    <x v="0"/>
    <n v="6"/>
    <n v="1"/>
    <n v="1"/>
    <n v="0"/>
    <n v="1"/>
    <n v="1"/>
    <n v="0"/>
    <n v="162.314893617021"/>
    <n v="166.56595744680899"/>
    <n v="2.1957446808510599"/>
    <n v="13.129787234042499"/>
    <n v="-6.4723404255319101"/>
    <n v="-3.4829787234042602"/>
    <n v="-1.30851063829787"/>
    <n v="-0.15531914893616999"/>
    <n v="30.459641613696601"/>
    <n v="62.143582904680301"/>
    <n v="4.6713742531232896"/>
    <n v="9.4479147528936203"/>
    <n v="-33.9357429718875"/>
    <n v="-9.4433227574271807"/>
    <n v="-9.9065721649484502"/>
    <n v="-9.9863201094391201"/>
    <x v="1"/>
    <x v="0"/>
    <x v="0"/>
    <x v="0"/>
    <x v="0"/>
    <x v="0"/>
    <x v="0"/>
  </r>
  <r>
    <d v="2019-07-13T00:00:00"/>
    <n v="0"/>
    <x v="1"/>
    <s v="July"/>
    <s v="Saturday"/>
    <x v="2"/>
    <x v="0"/>
    <n v="6"/>
    <n v="1"/>
    <n v="1"/>
    <n v="0"/>
    <n v="1"/>
    <n v="1"/>
    <n v="0"/>
    <n v="176.01489361702099"/>
    <n v="165.46595744680801"/>
    <n v="7.0957446808510598"/>
    <n v="18.829787234042598"/>
    <n v="-6.7723404255319197"/>
    <n v="0.117021276595743"/>
    <n v="-0.50851063829787102"/>
    <n v="-5.5319148936170202E-2"/>
    <n v="33.030552272654703"/>
    <n v="61.733187273766397"/>
    <n v="15.095962339308301"/>
    <n v="13.5495131361382"/>
    <n v="-35.508701472556901"/>
    <n v="0.317277184886056"/>
    <n v="-3.84987113402061"/>
    <n v="-3.5567715458276301"/>
    <x v="1"/>
    <x v="0"/>
    <x v="0"/>
    <x v="0"/>
    <x v="0"/>
    <x v="0"/>
    <x v="0"/>
  </r>
  <r>
    <d v="2019-06-16T00:00:00"/>
    <n v="0"/>
    <x v="1"/>
    <s v="June"/>
    <s v="Sunday"/>
    <x v="2"/>
    <x v="0"/>
    <n v="8"/>
    <n v="2"/>
    <n v="2"/>
    <n v="0"/>
    <n v="1"/>
    <n v="1"/>
    <n v="0"/>
    <n v="218.82666666666699"/>
    <n v="242.98"/>
    <n v="-11.6773333333333"/>
    <n v="15.8813333333333"/>
    <n v="-16.605333333333299"/>
    <n v="-4.1746666666666599"/>
    <n v="-0.42800000000000099"/>
    <n v="8.0000000000000106E-3"/>
    <n v="44.6791713173441"/>
    <n v="116.025212491644"/>
    <n v="-19.968990834055401"/>
    <n v="11.6758484129629"/>
    <n v="-56.857195032870699"/>
    <n v="-11.572294500295699"/>
    <n v="-3.5881958417169799"/>
    <n v="0.53619302949061698"/>
    <x v="1"/>
    <x v="0"/>
    <x v="0"/>
    <x v="0"/>
    <x v="0"/>
    <x v="0"/>
    <x v="0"/>
  </r>
  <r>
    <d v="2019-07-14T00:00:00"/>
    <n v="0"/>
    <x v="1"/>
    <s v="July"/>
    <s v="Sunday"/>
    <x v="4"/>
    <x v="0"/>
    <n v="8"/>
    <n v="1"/>
    <n v="1"/>
    <n v="0"/>
    <n v="1"/>
    <n v="1"/>
    <n v="0"/>
    <n v="188.94266666666701"/>
    <n v="206.18666666666701"/>
    <n v="-9.4973333333333301"/>
    <n v="0.289333333333332"/>
    <n v="-5.2786666666666697"/>
    <n v="4.1586666666666696"/>
    <n v="4.1586666666666696"/>
    <n v="0.25866666666666699"/>
    <n v="28.444197329147499"/>
    <n v="66.188713163695496"/>
    <n v="-12.7485547581121"/>
    <n v="0.162263614814595"/>
    <n v="-24.237786212807599"/>
    <n v="7.9910840101457898"/>
    <n v="7.9910840101457898"/>
    <n v="14.047791455466999"/>
    <x v="1"/>
    <x v="0"/>
    <x v="0"/>
    <x v="0"/>
    <x v="0"/>
    <x v="0"/>
    <x v="0"/>
  </r>
  <r>
    <d v="2019-08-12T00:00:00"/>
    <n v="1"/>
    <x v="1"/>
    <s v="August"/>
    <s v="Monday"/>
    <x v="1"/>
    <x v="1"/>
    <n v="0"/>
    <n v="1"/>
    <n v="5"/>
    <n v="8"/>
    <n v="5"/>
    <n v="1"/>
    <n v="0"/>
    <n v="432.94200000000001"/>
    <n v="-44.526000000000003"/>
    <n v="71.134666666666703"/>
    <n v="56.382666666666701"/>
    <n v="356.66533333333302"/>
    <n v="17.386666666666699"/>
    <n v="-8.484"/>
    <n v="-1.6080000000000001"/>
    <n v="46.231865177082199"/>
    <n v="-11.6308714664103"/>
    <n v="55.157975269840001"/>
    <n v="22.452717985749"/>
    <n v="541.75915424497703"/>
    <n v="25.639009044435699"/>
    <n v="-37.733499377335001"/>
    <n v="-47.183098591549303"/>
    <x v="0"/>
    <x v="0"/>
    <x v="0"/>
    <x v="1"/>
    <x v="0"/>
    <x v="0"/>
    <x v="0"/>
  </r>
  <r>
    <d v="2019-06-03T00:00:00"/>
    <n v="0"/>
    <x v="1"/>
    <s v="June"/>
    <s v="Monday"/>
    <x v="2"/>
    <x v="1"/>
    <n v="0"/>
    <n v="0"/>
    <n v="2"/>
    <n v="4"/>
    <n v="1"/>
    <n v="2"/>
    <n v="0"/>
    <n v="351.89289617486298"/>
    <n v="43.205464480874298"/>
    <n v="5.7595628415300597"/>
    <n v="17.5251366120219"/>
    <n v="314.366120218579"/>
    <n v="-5.9092896174863396"/>
    <n v="-5.8464480874316997"/>
    <n v="2.3486338797814201"/>
    <n v="21.391573042852301"/>
    <n v="4.2250826676812698"/>
    <n v="4.83020943128178"/>
    <n v="12.8979975950227"/>
    <n v="136.48279641575201"/>
    <n v="-9.6700348743628695"/>
    <n v="-22.707785041175001"/>
    <n v="7.7127373218964097"/>
    <x v="0"/>
    <x v="0"/>
    <x v="0"/>
    <x v="0"/>
    <x v="0"/>
    <x v="0"/>
    <x v="0"/>
  </r>
  <r>
    <d v="2019-07-16T00:00:00"/>
    <n v="0"/>
    <x v="1"/>
    <s v="July"/>
    <s v="Tuesday"/>
    <x v="2"/>
    <x v="1"/>
    <n v="0"/>
    <n v="0"/>
    <n v="2"/>
    <n v="5"/>
    <n v="1"/>
    <n v="2"/>
    <n v="0"/>
    <n v="358.89289617486298"/>
    <n v="46.505464480874302"/>
    <n v="14.0595628415301"/>
    <n v="9.2251366120218599"/>
    <n v="314.366120218579"/>
    <n v="4.3907103825136602"/>
    <n v="-9.5464480874317008"/>
    <n v="-0.45136612021858002"/>
    <n v="21.817103120122098"/>
    <n v="4.5477912178814304"/>
    <n v="11.790935337518899"/>
    <n v="6.7894357955527997"/>
    <n v="136.48279641575201"/>
    <n v="7.1850129661092703"/>
    <n v="-37.078699380252999"/>
    <n v="-1.48225244948498"/>
    <x v="0"/>
    <x v="0"/>
    <x v="0"/>
    <x v="0"/>
    <x v="0"/>
    <x v="0"/>
    <x v="0"/>
  </r>
  <r>
    <d v="2019-08-13T00:00:00"/>
    <n v="0"/>
    <x v="1"/>
    <s v="August"/>
    <s v="Tuesday"/>
    <x v="0"/>
    <x v="1"/>
    <n v="0"/>
    <n v="2"/>
    <n v="1"/>
    <n v="8"/>
    <n v="1"/>
    <n v="1"/>
    <n v="0"/>
    <n v="141.064333333333"/>
    <n v="-38.499666666666698"/>
    <n v="26.3653333333333"/>
    <n v="6.8253333333333304"/>
    <n v="153.32666666666699"/>
    <n v="1.6826666666666701"/>
    <n v="-3.3506666666666698"/>
    <n v="-0.40400000000000003"/>
    <n v="36.885768150983097"/>
    <n v="-22.527642924991099"/>
    <n v="53.441798870300801"/>
    <n v="7.1713761365069102"/>
    <n v="623.95550732501397"/>
    <n v="6.1149336175986102"/>
    <n v="-37.857788490509201"/>
    <n v="-33.554817275747503"/>
    <x v="0"/>
    <x v="0"/>
    <x v="0"/>
    <x v="1"/>
    <x v="0"/>
    <x v="0"/>
    <x v="0"/>
  </r>
  <r>
    <d v="2019-06-18T00:00:00"/>
    <n v="0"/>
    <x v="1"/>
    <s v="June"/>
    <s v="Tuesday"/>
    <x v="0"/>
    <x v="1"/>
    <n v="1"/>
    <n v="1"/>
    <n v="3"/>
    <n v="5"/>
    <n v="1"/>
    <n v="1"/>
    <n v="0"/>
    <n v="224.88251366120201"/>
    <n v="49.072254098360602"/>
    <n v="1.9224043715846599"/>
    <n v="14.4036990332072"/>
    <n v="183.26393442622901"/>
    <n v="-3.6502732240437101"/>
    <n v="-1.47868852459017"/>
    <n v="0.11693989071038401"/>
    <n v="20.812482583987499"/>
    <n v="10.8728644635677"/>
    <n v="0.602110639113551"/>
    <n v="15.210413591823601"/>
    <n v="130.775709790251"/>
    <n v="-11.078127332128201"/>
    <n v="-11.7555063208654"/>
    <n v="1.0946291560102399"/>
    <x v="0"/>
    <x v="0"/>
    <x v="0"/>
    <x v="0"/>
    <x v="0"/>
    <x v="0"/>
    <x v="0"/>
  </r>
  <r>
    <d v="2019-06-20T00:00:00"/>
    <n v="0"/>
    <x v="1"/>
    <s v="June"/>
    <s v="Thursday"/>
    <x v="0"/>
    <x v="1"/>
    <n v="1"/>
    <n v="1"/>
    <n v="3"/>
    <n v="5"/>
    <n v="1"/>
    <n v="1"/>
    <n v="1"/>
    <n v="225.28251366120199"/>
    <n v="49.072254098360602"/>
    <n v="-16.977595628415301"/>
    <n v="13.603699033207199"/>
    <n v="200.76393442622901"/>
    <n v="-3.6502732240437101"/>
    <n v="-0.97868852459016298"/>
    <n v="2.3169398907103802"/>
    <n v="20.849501883078698"/>
    <n v="10.8728644635677"/>
    <n v="-5.3175029694768599"/>
    <n v="14.365607625980701"/>
    <n v="143.26357287413899"/>
    <n v="-11.078127332128201"/>
    <n v="-7.7805291281115601"/>
    <n v="21.687979539641901"/>
    <x v="0"/>
    <x v="0"/>
    <x v="0"/>
    <x v="0"/>
    <x v="0"/>
    <x v="0"/>
    <x v="0"/>
  </r>
  <r>
    <d v="2019-09-17T00:00:00"/>
    <n v="0"/>
    <x v="0"/>
    <s v="September"/>
    <s v="Tuesday"/>
    <x v="0"/>
    <x v="1"/>
    <n v="1"/>
    <n v="6"/>
    <n v="2"/>
    <n v="2"/>
    <n v="2"/>
    <n v="1"/>
    <n v="0"/>
    <n v="234.98251366120201"/>
    <n v="8.1722540983606695"/>
    <n v="40.1224043715847"/>
    <n v="3.1036990332072198"/>
    <n v="198.06393442622999"/>
    <n v="4.54972677595629"/>
    <n v="-1.5786885245901601"/>
    <n v="1.4169398907103801"/>
    <n v="21.747219886039201"/>
    <n v="1.8107138709220201"/>
    <n v="12.5666206839895"/>
    <n v="3.2775293242928201"/>
    <n v="141.336873998339"/>
    <n v="13.8078575100748"/>
    <n v="-12.5505017594161"/>
    <n v="13.263427109974399"/>
    <x v="0"/>
    <x v="1"/>
    <x v="0"/>
    <x v="0"/>
    <x v="0"/>
    <x v="0"/>
    <x v="0"/>
  </r>
  <r>
    <d v="2019-06-24T00:00:00"/>
    <n v="0"/>
    <x v="1"/>
    <s v="June"/>
    <s v="Monday"/>
    <x v="0"/>
    <x v="1"/>
    <n v="2"/>
    <n v="8"/>
    <n v="4"/>
    <n v="7"/>
    <n v="1"/>
    <n v="1"/>
    <n v="2"/>
    <n v="337.77021276595701"/>
    <n v="60.940425531914897"/>
    <n v="38.7340425531915"/>
    <n v="16.251063829787199"/>
    <n v="234.52127659574501"/>
    <n v="-5.3255319148936104"/>
    <n v="-2.0702127659574501"/>
    <n v="0.45531914893616998"/>
    <n v="48.935907869103097"/>
    <n v="17.299863495246498"/>
    <n v="102.835677568774"/>
    <n v="16.866884550834701"/>
    <n v="150.6443985841"/>
    <n v="-18.867782300618099"/>
    <n v="-19.585346215781001"/>
    <n v="12.492702860478699"/>
    <x v="0"/>
    <x v="1"/>
    <x v="0"/>
    <x v="1"/>
    <x v="0"/>
    <x v="0"/>
    <x v="0"/>
  </r>
  <r>
    <d v="2019-09-16T00:00:00"/>
    <n v="0"/>
    <x v="0"/>
    <s v="September"/>
    <s v="Monday"/>
    <x v="0"/>
    <x v="1"/>
    <n v="4"/>
    <n v="1"/>
    <n v="2"/>
    <n v="3"/>
    <n v="1"/>
    <n v="1"/>
    <n v="0"/>
    <n v="244.98251366120201"/>
    <n v="61.872254098360699"/>
    <n v="-6.1775956284153004"/>
    <n v="4.4036990332072197"/>
    <n v="201.66393442623001"/>
    <n v="4.6497267759562897"/>
    <n v="-2.47868852459017"/>
    <n v="-0.183060109289617"/>
    <n v="22.672702363318098"/>
    <n v="13.7089409326598"/>
    <n v="-1.9348666217109001"/>
    <n v="4.65033901878751"/>
    <n v="143.90580583273899"/>
    <n v="14.1113451301017"/>
    <n v="-19.705460706373"/>
    <n v="-1.71355498721227"/>
    <x v="0"/>
    <x v="0"/>
    <x v="0"/>
    <x v="0"/>
    <x v="0"/>
    <x v="0"/>
    <x v="0"/>
  </r>
  <r>
    <d v="2019-08-02T00:00:00"/>
    <n v="0"/>
    <x v="1"/>
    <s v="August"/>
    <s v="Friday"/>
    <x v="3"/>
    <x v="1"/>
    <n v="5"/>
    <n v="2"/>
    <n v="0"/>
    <n v="7"/>
    <n v="2"/>
    <n v="1"/>
    <n v="8"/>
    <n v="172.05231481481499"/>
    <n v="83.123148148148204"/>
    <n v="-17.7361111111111"/>
    <n v="-0.931944444444468"/>
    <n v="98.65"/>
    <n v="8.9428240740740694"/>
    <n v="-3.56018518518519"/>
    <n v="5.3930555555555602"/>
    <n v="1204.366203703705"/>
    <n v="415.61574074074099"/>
    <n v="35.4722222222222"/>
    <n v="0"/>
    <n v="690.55000000000007"/>
    <n v="17.885648148148139"/>
    <n v="3.56018518518519"/>
    <n v="43.144444444444481"/>
    <x v="0"/>
    <x v="0"/>
    <x v="0"/>
    <x v="1"/>
    <x v="0"/>
    <x v="0"/>
    <x v="1"/>
  </r>
  <r>
    <d v="2019-11-08T00:00:00"/>
    <n v="0"/>
    <x v="0"/>
    <s v="November"/>
    <s v="Friday"/>
    <x v="4"/>
    <x v="1"/>
    <n v="7"/>
    <n v="0"/>
    <n v="2"/>
    <n v="0"/>
    <n v="1"/>
    <n v="1"/>
    <n v="0"/>
    <n v="205.647540983607"/>
    <n v="219.297267759563"/>
    <n v="-7.1426229508196704"/>
    <n v="5.3650273224043596"/>
    <n v="-28.5491803278689"/>
    <n v="3.4508196721311499"/>
    <n v="3.4508196721311499"/>
    <n v="0.106010928961749"/>
    <n v="22.346861338834302"/>
    <n v="41.842420248814499"/>
    <n v="-10.139632301605801"/>
    <n v="3.0356342274097599"/>
    <n v="-55.061970405969397"/>
    <n v="6.0172083583454699"/>
    <n v="6.0172083583454699"/>
    <n v="3.9350912778904701"/>
    <x v="1"/>
    <x v="0"/>
    <x v="0"/>
    <x v="0"/>
    <x v="0"/>
    <x v="0"/>
    <x v="0"/>
  </r>
  <r>
    <d v="2019-04-08T00:00:00"/>
    <n v="0"/>
    <x v="0"/>
    <s v="April"/>
    <s v="Monday"/>
    <x v="3"/>
    <x v="1"/>
    <n v="8"/>
    <n v="4"/>
    <n v="2"/>
    <n v="0"/>
    <n v="1"/>
    <n v="1"/>
    <n v="0"/>
    <n v="215.234990622135"/>
    <n v="193.07796448087399"/>
    <n v="45.158469945355201"/>
    <n v="8.1214796132828706"/>
    <n v="-5.4010928961748697"/>
    <n v="-2.88907103825137"/>
    <n v="-4.5628415300546399"/>
    <n v="-0.24699453551912601"/>
    <n v="1506.644934354945"/>
    <n v="1544.6237158469919"/>
    <n v="180.6338797814208"/>
    <n v="16.242959226565741"/>
    <n v="0"/>
    <n v="2.88907103825137"/>
    <n v="4.5628415300546399"/>
    <n v="0"/>
    <x v="1"/>
    <x v="0"/>
    <x v="0"/>
    <x v="0"/>
    <x v="0"/>
    <x v="0"/>
    <x v="0"/>
  </r>
  <r>
    <d v="2019-07-13T00:00:00"/>
    <n v="0"/>
    <x v="1"/>
    <s v="July"/>
    <s v="Saturday"/>
    <x v="3"/>
    <x v="1"/>
    <n v="8"/>
    <n v="0"/>
    <n v="0"/>
    <n v="5"/>
    <n v="3"/>
    <n v="1"/>
    <n v="0"/>
    <n v="365.05531914893601"/>
    <n v="247.16170212765999"/>
    <n v="-1.10851063829787"/>
    <n v="3.3276595744680701"/>
    <n v="121.423404255319"/>
    <n v="9.0255319148936195"/>
    <n v="-1.5531914893617"/>
    <n v="5.1063829787234102E-2"/>
    <n v="2555.3872340425519"/>
    <n v="1977.2936170212799"/>
    <n v="0"/>
    <n v="0"/>
    <n v="607.11702127659498"/>
    <n v="27.076595744680859"/>
    <n v="1.5531914893617"/>
    <n v="0"/>
    <x v="1"/>
    <x v="0"/>
    <x v="0"/>
    <x v="0"/>
    <x v="0"/>
    <x v="0"/>
    <x v="0"/>
  </r>
  <r>
    <d v="2019-07-13T00:00:00"/>
    <n v="0"/>
    <x v="1"/>
    <s v="July"/>
    <s v="Saturday"/>
    <x v="4"/>
    <x v="1"/>
    <n v="8"/>
    <n v="1"/>
    <n v="2"/>
    <n v="0"/>
    <n v="1"/>
    <n v="1"/>
    <n v="0"/>
    <n v="223.45829787234001"/>
    <n v="208.591170212766"/>
    <n v="9.2723404255319206"/>
    <n v="19.403868471953601"/>
    <n v="-4.3042553191489299"/>
    <n v="0.572340425531912"/>
    <n v="0.572340425531912"/>
    <n v="1.9148936170212599E-2"/>
    <n v="31.925272803874801"/>
    <n v="58.460204120270603"/>
    <n v="15.4210898796886"/>
    <n v="10.6792964213211"/>
    <n v="-20.789230294933699"/>
    <n v="1.1129038930950199"/>
    <n v="1.1129038930950199"/>
    <n v="0.96670247046186697"/>
    <x v="1"/>
    <x v="0"/>
    <x v="0"/>
    <x v="0"/>
    <x v="0"/>
    <x v="0"/>
    <x v="0"/>
  </r>
  <r>
    <d v="2019-07-06T00:00:00"/>
    <n v="1"/>
    <x v="1"/>
    <s v="July"/>
    <s v="Saturday"/>
    <x v="2"/>
    <x v="2"/>
    <n v="0"/>
    <n v="2"/>
    <n v="0"/>
    <n v="8"/>
    <n v="1"/>
    <n v="1"/>
    <n v="1"/>
    <n v="345.01489361702102"/>
    <n v="-14.134042553191501"/>
    <n v="10.795744680851101"/>
    <n v="-1.5702127659574501"/>
    <n v="360.42765957446801"/>
    <n v="-0.78297872340425601"/>
    <n v="-1.60851063829787"/>
    <n v="4.46808510638299E-2"/>
    <n v="64.744705656881806"/>
    <n v="-5.2732266463453401"/>
    <n v="22.967590077856201"/>
    <n v="-1.12989160389492"/>
    <n v="1889.79250334672"/>
    <n v="-2.1228728006922402"/>
    <n v="-12.177835051546399"/>
    <n v="2.8727770177838599"/>
    <x v="0"/>
    <x v="0"/>
    <x v="0"/>
    <x v="1"/>
    <x v="0"/>
    <x v="0"/>
    <x v="0"/>
  </r>
  <r>
    <d v="2019-07-06T00:00:00"/>
    <n v="1"/>
    <x v="1"/>
    <s v="July"/>
    <s v="Saturday"/>
    <x v="4"/>
    <x v="2"/>
    <n v="0"/>
    <n v="3"/>
    <n v="1"/>
    <n v="8"/>
    <n v="1"/>
    <n v="1"/>
    <n v="0"/>
    <n v="279.95829787233998"/>
    <n v="9.7911702127659606"/>
    <n v="12.1723404255319"/>
    <n v="-0.19613152804643599"/>
    <n v="273.595744680851"/>
    <n v="-3.12765957446809"/>
    <n v="-3.12765957446809"/>
    <n v="1.9148936170212599E-2"/>
    <n v="39.997373641452199"/>
    <n v="2.7440941466063"/>
    <n v="20.244161358810999"/>
    <n v="-0.107944801244253"/>
    <n v="1321.4469222073801"/>
    <n v="-6.0816681146828904"/>
    <n v="-6.0816681146828904"/>
    <n v="0.96670247046186697"/>
    <x v="0"/>
    <x v="0"/>
    <x v="0"/>
    <x v="1"/>
    <x v="0"/>
    <x v="0"/>
    <x v="0"/>
  </r>
  <r>
    <d v="2019-07-15T00:00:00"/>
    <n v="1"/>
    <x v="1"/>
    <s v="July"/>
    <s v="Monday"/>
    <x v="4"/>
    <x v="2"/>
    <n v="0"/>
    <n v="0"/>
    <n v="2"/>
    <n v="8"/>
    <n v="1"/>
    <n v="1"/>
    <n v="1"/>
    <n v="342.64754098360697"/>
    <n v="11.0972677595629"/>
    <n v="-1.74262295081967"/>
    <n v="-9.0349726775956505"/>
    <n v="350.45081967213099"/>
    <n v="6.75081967213114"/>
    <n v="6.75081967213114"/>
    <n v="0.60601092896174902"/>
    <n v="37.234080455470199"/>
    <n v="2.1173840693644599"/>
    <n v="-2.4738189434489102"/>
    <n v="-5.1121589240164003"/>
    <n v="675.90426204628795"/>
    <n v="11.771431838321501"/>
    <n v="11.771431838321501"/>
    <n v="22.494929006085201"/>
    <x v="0"/>
    <x v="0"/>
    <x v="0"/>
    <x v="1"/>
    <x v="0"/>
    <x v="0"/>
    <x v="0"/>
  </r>
  <r>
    <d v="2019-07-16T00:00:00"/>
    <n v="0"/>
    <x v="1"/>
    <s v="July"/>
    <s v="Tuesday"/>
    <x v="3"/>
    <x v="2"/>
    <n v="0"/>
    <n v="2"/>
    <n v="2"/>
    <n v="8"/>
    <n v="1"/>
    <n v="1"/>
    <n v="0"/>
    <n v="241.334990622135"/>
    <n v="12.777964480874299"/>
    <n v="-7.8415300546448101"/>
    <n v="-16.278520386717101"/>
    <n v="264.298907103825"/>
    <n v="6.5109289617486299"/>
    <n v="0.83715846994535403"/>
    <n v="-0.146994535519126"/>
    <n v="1930.67992497708"/>
    <n v="0"/>
    <n v="15.68306010928962"/>
    <n v="32.557040773434203"/>
    <n v="2114.3912568306"/>
    <n v="6.5109289617486299"/>
    <n v="0.83715846994535403"/>
    <n v="0"/>
    <x v="0"/>
    <x v="0"/>
    <x v="0"/>
    <x v="1"/>
    <x v="0"/>
    <x v="0"/>
    <x v="0"/>
  </r>
  <r>
    <d v="2019-07-27T00:00:00"/>
    <n v="0"/>
    <x v="1"/>
    <s v="July"/>
    <s v="Saturday"/>
    <x v="3"/>
    <x v="2"/>
    <n v="0"/>
    <n v="0"/>
    <n v="0"/>
    <n v="8"/>
    <n v="3"/>
    <n v="1"/>
    <n v="8"/>
    <n v="409.45531914893598"/>
    <n v="-15.2382978723404"/>
    <n v="1.89148936170213"/>
    <n v="10.0276595744681"/>
    <n v="419.32340425531902"/>
    <n v="6.7255319148936099"/>
    <n v="-5.2531914893616998"/>
    <n v="5.2510638297872303"/>
    <n v="3275.6425531914879"/>
    <n v="0"/>
    <n v="0"/>
    <n v="0"/>
    <n v="3354.5872340425522"/>
    <n v="20.176595744680832"/>
    <n v="5.2531914893616998"/>
    <n v="42.008510638297842"/>
    <x v="0"/>
    <x v="0"/>
    <x v="0"/>
    <x v="1"/>
    <x v="0"/>
    <x v="0"/>
    <x v="1"/>
  </r>
  <r>
    <d v="2019-07-06T00:00:00"/>
    <n v="1"/>
    <x v="1"/>
    <s v="July"/>
    <s v="Saturday"/>
    <x v="1"/>
    <x v="2"/>
    <n v="1"/>
    <n v="0"/>
    <n v="1"/>
    <n v="8"/>
    <n v="0"/>
    <n v="1"/>
    <n v="0"/>
    <n v="895.92765957446795"/>
    <n v="140.16595744680799"/>
    <n v="1.2191489361702099"/>
    <n v="-1.7255319148936501"/>
    <n v="774.11489361702104"/>
    <n v="3.7617021276595799"/>
    <n v="-5.5638297872340399"/>
    <n v="0.67021276595744605"/>
    <n v="48.947836447647603"/>
    <n v="13.8966118069941"/>
    <n v="1.17700223897459"/>
    <n v="-0.67317988262931605"/>
    <n v="231.158352181758"/>
    <n v="5.1432727272727297"/>
    <n v="-21.265349272180199"/>
    <n v="6.1319836480435903"/>
    <x v="0"/>
    <x v="0"/>
    <x v="0"/>
    <x v="1"/>
    <x v="0"/>
    <x v="0"/>
    <x v="0"/>
  </r>
  <r>
    <d v="2019-08-12T00:00:00"/>
    <n v="1"/>
    <x v="1"/>
    <s v="August"/>
    <s v="Monday"/>
    <x v="0"/>
    <x v="2"/>
    <n v="2"/>
    <n v="2"/>
    <n v="8"/>
    <n v="8"/>
    <n v="2"/>
    <n v="1"/>
    <n v="7"/>
    <n v="304.464333333333"/>
    <n v="59.700333333333298"/>
    <n v="25.065333333333299"/>
    <n v="19.325333333333301"/>
    <n v="202.226666666667"/>
    <n v="4.7826666666666604"/>
    <n v="-3.3506666666666698"/>
    <n v="1.5960000000000001"/>
    <n v="79.611908582445693"/>
    <n v="34.932972367802499"/>
    <n v="50.806734953109398"/>
    <n v="20.3051232120592"/>
    <n v="822.95170916983204"/>
    <n v="17.380560131795701"/>
    <n v="-37.857788490509201"/>
    <n v="132.55813953488399"/>
    <x v="0"/>
    <x v="0"/>
    <x v="1"/>
    <x v="1"/>
    <x v="0"/>
    <x v="0"/>
    <x v="1"/>
  </r>
  <r>
    <d v="2019-08-07T00:00:00"/>
    <n v="0"/>
    <x v="1"/>
    <s v="August"/>
    <s v="Wednesday"/>
    <x v="0"/>
    <x v="2"/>
    <n v="2"/>
    <n v="0"/>
    <n v="0"/>
    <n v="4"/>
    <n v="2"/>
    <n v="1"/>
    <n v="1"/>
    <n v="355.95555555555597"/>
    <n v="34.336111111111101"/>
    <n v="41.591666666666697"/>
    <n v="5.3333333333333304"/>
    <n v="276.61666666666702"/>
    <n v="3.6638888888888901"/>
    <n v="-0.844444444444445"/>
    <n v="-2.6444444444444399"/>
    <n v="43.449248630174203"/>
    <n v="10.598746430929401"/>
    <n v="18.249296135142099"/>
    <n v="5.4329371816638199"/>
    <n v="231.31707317073199"/>
    <n v="11.9204699502937"/>
    <n v="-8.0851063829787204"/>
    <n v="-41.681260945709298"/>
    <x v="0"/>
    <x v="0"/>
    <x v="0"/>
    <x v="0"/>
    <x v="0"/>
    <x v="0"/>
    <x v="0"/>
  </r>
  <r>
    <d v="2019-07-13T00:00:00"/>
    <n v="0"/>
    <x v="1"/>
    <s v="July"/>
    <s v="Saturday"/>
    <x v="1"/>
    <x v="2"/>
    <n v="4"/>
    <n v="2"/>
    <n v="2"/>
    <n v="5"/>
    <n v="0"/>
    <n v="1"/>
    <n v="0"/>
    <n v="856.127659574468"/>
    <n v="374.66595744680802"/>
    <n v="7.7191489361702104"/>
    <n v="25.474468085106398"/>
    <n v="465.41489361702099"/>
    <n v="0.66170212765956604"/>
    <n v="-1.8638297872340399"/>
    <n v="0.77021276595744603"/>
    <n v="46.7734154776089"/>
    <n v="37.145876664880703"/>
    <n v="7.4522934083766303"/>
    <n v="9.9383264299884608"/>
    <n v="138.97748354468999"/>
    <n v="0.90472727272725695"/>
    <n v="-7.12368870456209"/>
    <n v="7.0469145415612102"/>
    <x v="0"/>
    <x v="0"/>
    <x v="0"/>
    <x v="0"/>
    <x v="0"/>
    <x v="0"/>
    <x v="0"/>
  </r>
  <r>
    <d v="2019-07-29T00:00:00"/>
    <n v="0"/>
    <x v="1"/>
    <s v="July"/>
    <s v="Monday"/>
    <x v="4"/>
    <x v="2"/>
    <n v="4"/>
    <n v="8"/>
    <n v="2"/>
    <n v="6"/>
    <n v="1"/>
    <n v="1"/>
    <n v="8"/>
    <n v="282.247540983607"/>
    <n v="-113.302732240437"/>
    <n v="252.55737704917999"/>
    <n v="15.6650273224044"/>
    <n v="140.95081967213099"/>
    <n v="4.9508196721311499"/>
    <n v="4.9508196721311499"/>
    <n v="3.1060109289617501"/>
    <n v="30.670664144194198"/>
    <n v="-21.618420449000499"/>
    <n v="358.52920642308601"/>
    <n v="8.8635696065548295"/>
    <n v="271.84772985961803"/>
    <n v="8.6327644856073"/>
    <n v="8.6327644856073"/>
    <n v="115.294117647059"/>
    <x v="0"/>
    <x v="1"/>
    <x v="0"/>
    <x v="1"/>
    <x v="0"/>
    <x v="0"/>
    <x v="1"/>
  </r>
  <r>
    <d v="2019-07-30T00:00:00"/>
    <n v="0"/>
    <x v="1"/>
    <s v="July"/>
    <s v="Tuesday"/>
    <x v="4"/>
    <x v="2"/>
    <n v="4"/>
    <n v="8"/>
    <n v="2"/>
    <n v="5"/>
    <n v="1"/>
    <n v="1"/>
    <n v="8"/>
    <n v="310.347540983606"/>
    <n v="-117.502732240437"/>
    <n v="309.95737704918002"/>
    <n v="11.2650273224044"/>
    <n v="118.450819672131"/>
    <n v="7.0508196721311496"/>
    <n v="7.0508196721311496"/>
    <n v="3.00601092896175"/>
    <n v="33.724174050599103"/>
    <n v="-22.419790054926001"/>
    <n v="440.01396323016098"/>
    <n v="6.3739661436190698"/>
    <n v="228.45263690400901"/>
    <n v="12.2945430637738"/>
    <n v="12.2945430637738"/>
    <n v="111.58215010142"/>
    <x v="0"/>
    <x v="1"/>
    <x v="0"/>
    <x v="0"/>
    <x v="0"/>
    <x v="0"/>
    <x v="1"/>
  </r>
  <r>
    <d v="2019-08-08T00:00:00"/>
    <n v="0"/>
    <x v="1"/>
    <s v="August"/>
    <s v="Thursday"/>
    <x v="3"/>
    <x v="2"/>
    <n v="7"/>
    <n v="2"/>
    <n v="1"/>
    <n v="7"/>
    <n v="2"/>
    <n v="1"/>
    <n v="0"/>
    <n v="200.65231481481501"/>
    <n v="99.223148148148098"/>
    <n v="-18.336111111111101"/>
    <n v="12.768055555555501"/>
    <n v="96.65"/>
    <n v="10.8428240740741"/>
    <n v="1.93981481481482"/>
    <n v="-0.60694444444444495"/>
    <n v="1605.2185185185201"/>
    <n v="694.5620370370367"/>
    <n v="36.672222222222203"/>
    <n v="12.768055555555501"/>
    <n v="676.55000000000007"/>
    <n v="21.6856481481482"/>
    <n v="1.93981481481482"/>
    <n v="0"/>
    <x v="1"/>
    <x v="0"/>
    <x v="0"/>
    <x v="1"/>
    <x v="0"/>
    <x v="0"/>
    <x v="0"/>
  </r>
  <r>
    <d v="2019-07-06T00:00:00"/>
    <n v="1"/>
    <x v="1"/>
    <s v="July"/>
    <s v="Saturday"/>
    <x v="3"/>
    <x v="2"/>
    <n v="8"/>
    <n v="0"/>
    <n v="0"/>
    <n v="8"/>
    <n v="1"/>
    <n v="1"/>
    <n v="1"/>
    <n v="537.45531914893604"/>
    <n v="330.36170212766001"/>
    <n v="3.59148936170212"/>
    <n v="3.9276595744680698"/>
    <n v="220.92340425531901"/>
    <n v="-2.4744680851063801"/>
    <n v="-5.7531914893616998"/>
    <n v="0.15106382978723401"/>
    <n v="4299.6425531914883"/>
    <n v="2642.8936170212801"/>
    <n v="0"/>
    <n v="0"/>
    <n v="1767.3872340425521"/>
    <n v="2.4744680851063801"/>
    <n v="5.7531914893616998"/>
    <n v="0.15106382978723401"/>
    <x v="1"/>
    <x v="0"/>
    <x v="0"/>
    <x v="1"/>
    <x v="0"/>
    <x v="0"/>
    <x v="0"/>
  </r>
  <r>
    <d v="2019-07-06T00:00:00"/>
    <n v="1"/>
    <x v="1"/>
    <s v="July"/>
    <s v="Saturday"/>
    <x v="0"/>
    <x v="2"/>
    <n v="8"/>
    <n v="0"/>
    <n v="1"/>
    <n v="8"/>
    <n v="0"/>
    <n v="2"/>
    <n v="0"/>
    <n v="408.97021276595802"/>
    <n v="134.940425531915"/>
    <n v="0.73404255319148604"/>
    <n v="1.5510638297872399"/>
    <n v="280.42127659574498"/>
    <n v="-0.52553191489361595"/>
    <n v="-2.6702127659574502"/>
    <n v="0.35531914893617"/>
    <n v="59.251313161204401"/>
    <n v="38.307099455188997"/>
    <n v="1.9488222335197301"/>
    <n v="1.60984012013075"/>
    <n v="180.12819636731399"/>
    <n v="-1.86190260817126"/>
    <n v="-25.261674718196499"/>
    <n v="9.7489784004670206"/>
    <x v="1"/>
    <x v="0"/>
    <x v="0"/>
    <x v="1"/>
    <x v="0"/>
    <x v="0"/>
    <x v="0"/>
  </r>
  <r>
    <d v="2019-07-15T00:00:00"/>
    <n v="1"/>
    <x v="1"/>
    <s v="July"/>
    <s v="Monday"/>
    <x v="3"/>
    <x v="2"/>
    <n v="8"/>
    <n v="2"/>
    <n v="2"/>
    <n v="8"/>
    <n v="1"/>
    <n v="1"/>
    <n v="7"/>
    <n v="458.43499062213499"/>
    <n v="246.877964480874"/>
    <n v="-2.5415300546448099"/>
    <n v="-9.7785203867171298"/>
    <n v="237.798907103825"/>
    <n v="4.9109289617486196"/>
    <n v="-3.2628415300546401"/>
    <n v="3.2530054644808701"/>
    <n v="3667.4799249770799"/>
    <n v="1975.023715846992"/>
    <n v="5.0830601092896197"/>
    <n v="19.55704077343426"/>
    <n v="1902.3912568306"/>
    <n v="4.9109289617486196"/>
    <n v="3.2628415300546401"/>
    <n v="22.77103825136609"/>
    <x v="1"/>
    <x v="0"/>
    <x v="0"/>
    <x v="1"/>
    <x v="0"/>
    <x v="0"/>
    <x v="1"/>
  </r>
  <r>
    <d v="2019-11-10T00:00:00"/>
    <n v="1"/>
    <x v="0"/>
    <s v="November"/>
    <s v="Sunday"/>
    <x v="1"/>
    <x v="2"/>
    <n v="8"/>
    <n v="1"/>
    <n v="0"/>
    <n v="4"/>
    <n v="1"/>
    <n v="1"/>
    <n v="0"/>
    <n v="670.14200000000005"/>
    <n v="543.37400000000002"/>
    <n v="0.83466666666669198"/>
    <n v="1.9826666666666599"/>
    <n v="16.665333333333301"/>
    <n v="7.78666666666666"/>
    <n v="0.81599999999999895"/>
    <n v="-0.70799999999999996"/>
    <n v="71.561351390024996"/>
    <n v="141.93759044578999"/>
    <n v="0.64720234895168105"/>
    <n v="0.78953795835148299"/>
    <n v="25.3139176928062"/>
    <n v="11.4825009830908"/>
    <n v="3.6292474648639099"/>
    <n v="-20.774647887324001"/>
    <x v="1"/>
    <x v="0"/>
    <x v="0"/>
    <x v="0"/>
    <x v="0"/>
    <x v="0"/>
    <x v="0"/>
  </r>
  <r>
    <d v="2019-11-10T00:00:00"/>
    <n v="1"/>
    <x v="0"/>
    <s v="November"/>
    <s v="Sunday"/>
    <x v="2"/>
    <x v="2"/>
    <n v="8"/>
    <n v="2"/>
    <n v="1"/>
    <n v="4"/>
    <n v="1"/>
    <n v="1"/>
    <n v="0"/>
    <n v="545.22666666666703"/>
    <n v="454.68"/>
    <n v="-16.977333333333299"/>
    <n v="1.38133333333334"/>
    <n v="66.094666666666697"/>
    <n v="3.3253333333333299"/>
    <n v="0.77200000000000002"/>
    <n v="8.0000000000000106E-3"/>
    <n v="111.322244303487"/>
    <n v="217.11393372170801"/>
    <n v="-29.032331615668699"/>
    <n v="1.0155468857215899"/>
    <n v="226.31026296566799"/>
    <n v="9.2179183914843392"/>
    <n v="6.4721663313212598"/>
    <n v="0.53619302949061698"/>
    <x v="1"/>
    <x v="0"/>
    <x v="0"/>
    <x v="0"/>
    <x v="0"/>
    <x v="0"/>
    <x v="0"/>
  </r>
  <r>
    <d v="2019-11-10T00:00:00"/>
    <n v="1"/>
    <x v="0"/>
    <s v="November"/>
    <s v="Sunday"/>
    <x v="4"/>
    <x v="2"/>
    <n v="8"/>
    <n v="1"/>
    <n v="1"/>
    <n v="8"/>
    <n v="1"/>
    <n v="1"/>
    <n v="0"/>
    <n v="425.94266666666698"/>
    <n v="343.98666666666702"/>
    <n v="-20.297333333333299"/>
    <n v="2.68933333333334"/>
    <n v="77.121333333333297"/>
    <n v="3.1586666666666701"/>
    <n v="3.1586666666666701"/>
    <n v="5.8666666666666603E-2"/>
    <n v="64.123141031688505"/>
    <n v="110.42437990883199"/>
    <n v="-27.245717967533501"/>
    <n v="1.5082290833227301"/>
    <n v="354.11411779111103"/>
    <n v="6.0695344725986997"/>
    <n v="6.0695344725986997"/>
    <n v="3.1860970311368599"/>
    <x v="1"/>
    <x v="0"/>
    <x v="0"/>
    <x v="1"/>
    <x v="0"/>
    <x v="0"/>
    <x v="0"/>
  </r>
  <r>
    <d v="2019-12-27T00:00:00"/>
    <n v="1"/>
    <x v="0"/>
    <s v="December"/>
    <s v="Friday"/>
    <x v="0"/>
    <x v="2"/>
    <n v="8"/>
    <n v="2"/>
    <n v="2"/>
    <n v="7"/>
    <n v="2"/>
    <n v="1"/>
    <n v="8"/>
    <n v="260.76433333333301"/>
    <n v="142.000333333333"/>
    <n v="14.765333333333301"/>
    <n v="-8.3746666666666698"/>
    <n v="100.526666666667"/>
    <n v="4.2826666666666702"/>
    <n v="-0.95066666666666799"/>
    <n v="2.2959999999999998"/>
    <n v="68.1851500949615"/>
    <n v="83.089883147811904"/>
    <n v="29.928920839977302"/>
    <n v="-8.79926030736471"/>
    <n v="409.088442756375"/>
    <n v="15.5635235972478"/>
    <n v="-10.741187104549599"/>
    <n v="190.697674418605"/>
    <x v="1"/>
    <x v="0"/>
    <x v="0"/>
    <x v="1"/>
    <x v="0"/>
    <x v="0"/>
    <x v="1"/>
  </r>
  <r>
    <d v="2019-06-16T00:00:00"/>
    <n v="0"/>
    <x v="1"/>
    <s v="June"/>
    <s v="Sunday"/>
    <x v="4"/>
    <x v="2"/>
    <n v="8"/>
    <n v="1"/>
    <n v="3"/>
    <n v="0"/>
    <n v="1"/>
    <n v="1"/>
    <n v="0"/>
    <n v="245.94266666666701"/>
    <n v="255.886666666667"/>
    <n v="-12.4973333333333"/>
    <n v="22.389333333333301"/>
    <n v="-4.7786666666666697"/>
    <n v="-6.3413333333333401"/>
    <n v="-6.3413333333333401"/>
    <n v="0.15866666666666701"/>
    <n v="37.025209105708001"/>
    <n v="82.143086438247707"/>
    <n v="-16.775544538506999"/>
    <n v="12.556362303993801"/>
    <n v="-21.941961552589699"/>
    <n v="-12.185186134098499"/>
    <n v="-12.185186134098499"/>
    <n v="8.6169442433019494"/>
    <x v="1"/>
    <x v="0"/>
    <x v="0"/>
    <x v="0"/>
    <x v="0"/>
    <x v="0"/>
    <x v="0"/>
  </r>
  <r>
    <d v="2019-07-14T00:00:00"/>
    <n v="0"/>
    <x v="1"/>
    <s v="July"/>
    <s v="Sunday"/>
    <x v="3"/>
    <x v="2"/>
    <n v="8"/>
    <n v="1"/>
    <n v="1"/>
    <n v="0"/>
    <n v="2"/>
    <n v="1"/>
    <n v="0"/>
    <n v="272.16060606060603"/>
    <n v="282.96600000000001"/>
    <n v="-12.592000000000001"/>
    <n v="5.3709090909090902"/>
    <n v="-2.2266666666666701"/>
    <n v="8.3279999999999994"/>
    <n v="1.2303636363636401"/>
    <n v="0.289333333333333"/>
    <n v="2177.2848484848482"/>
    <n v="2263.7280000000001"/>
    <n v="12.592000000000001"/>
    <n v="5.3709090909090902"/>
    <n v="0"/>
    <n v="16.655999999999999"/>
    <n v="1.2303636363636401"/>
    <n v="0"/>
    <x v="1"/>
    <x v="0"/>
    <x v="0"/>
    <x v="0"/>
    <x v="0"/>
    <x v="0"/>
    <x v="0"/>
  </r>
  <r>
    <d v="2019-08-07T00:00:00"/>
    <n v="0"/>
    <x v="1"/>
    <s v="August"/>
    <s v="Wednesday"/>
    <x v="3"/>
    <x v="2"/>
    <n v="8"/>
    <n v="2"/>
    <n v="4"/>
    <n v="6"/>
    <n v="3"/>
    <n v="1"/>
    <n v="0"/>
    <n v="229.952314814815"/>
    <n v="116.523148148148"/>
    <n v="-10.436111111111099"/>
    <n v="24.6680555555556"/>
    <n v="93.95"/>
    <n v="12.142824074074101"/>
    <n v="-4.4601851851851899"/>
    <n v="-0.60694444444444495"/>
    <n v="1839.61851851852"/>
    <n v="932.18518518518397"/>
    <n v="20.872222222222199"/>
    <n v="98.672222222222402"/>
    <n v="563.70000000000005"/>
    <n v="36.428472222222304"/>
    <n v="4.4601851851851899"/>
    <n v="0"/>
    <x v="1"/>
    <x v="0"/>
    <x v="0"/>
    <x v="1"/>
    <x v="0"/>
    <x v="0"/>
    <x v="0"/>
  </r>
  <r>
    <d v="2019-11-07T00:00:00"/>
    <n v="0"/>
    <x v="0"/>
    <s v="November"/>
    <s v="Thursday"/>
    <x v="4"/>
    <x v="2"/>
    <n v="8"/>
    <n v="0"/>
    <n v="2"/>
    <n v="0"/>
    <n v="1"/>
    <n v="1"/>
    <n v="1"/>
    <n v="263.04754098360598"/>
    <n v="280.797267759563"/>
    <n v="-7.5426229508196698"/>
    <n v="1.3650273224043601"/>
    <n v="-29.249180327868899"/>
    <n v="3.55081967213115"/>
    <n v="3.55081967213115"/>
    <n v="0.30601092896174897"/>
    <n v="28.5842801512058"/>
    <n v="53.576760907009401"/>
    <n v="-10.7074703281359"/>
    <n v="0.77235835201359104"/>
    <n v="-56.412039964588303"/>
    <n v="6.1915787668296103"/>
    <n v="6.1915787668296103"/>
    <n v="11.3590263691683"/>
    <x v="1"/>
    <x v="0"/>
    <x v="0"/>
    <x v="0"/>
    <x v="0"/>
    <x v="0"/>
    <x v="0"/>
  </r>
  <r>
    <d v="2019-11-09T00:00:00"/>
    <n v="0"/>
    <x v="0"/>
    <s v="November"/>
    <s v="Saturday"/>
    <x v="2"/>
    <x v="2"/>
    <n v="8"/>
    <n v="1"/>
    <n v="0"/>
    <n v="0"/>
    <n v="1"/>
    <n v="1"/>
    <n v="0"/>
    <n v="384.41489361702099"/>
    <n v="363.76595744680799"/>
    <n v="-1.70425531914894"/>
    <n v="-1.5702127659574501"/>
    <n v="-9.0723404255319195"/>
    <n v="4.21702127659574"/>
    <n v="0.19148936170212799"/>
    <n v="-0.15531914893616999"/>
    <n v="72.1384195227904"/>
    <n v="135.71632691941301"/>
    <n v="-3.6257468766974599"/>
    <n v="-1.12989160389492"/>
    <n v="-47.568049977688503"/>
    <n v="11.433516008076101"/>
    <n v="1.44974226804124"/>
    <n v="-9.9863201094391201"/>
    <x v="1"/>
    <x v="0"/>
    <x v="0"/>
    <x v="0"/>
    <x v="0"/>
    <x v="0"/>
    <x v="0"/>
  </r>
  <r>
    <d v="2019-11-09T00:00:00"/>
    <n v="0"/>
    <x v="0"/>
    <s v="November"/>
    <s v="Saturday"/>
    <x v="4"/>
    <x v="2"/>
    <n v="8"/>
    <n v="1"/>
    <n v="1"/>
    <n v="0"/>
    <n v="1"/>
    <n v="1"/>
    <n v="0"/>
    <n v="299.75829787233999"/>
    <n v="289.79117021276602"/>
    <n v="-2.3276595744680901"/>
    <n v="-0.89613152804642504"/>
    <n v="-7.6042553191489404"/>
    <n v="2.2723404255319202"/>
    <n v="2.2723404255319202"/>
    <n v="1.9148936170212599E-2"/>
    <n v="42.826180660638599"/>
    <n v="81.217488475710994"/>
    <n v="-3.8711960368011402"/>
    <n v="-0.49320341633586301"/>
    <n v="-36.727982735587297"/>
    <n v="4.4185180588308199"/>
    <n v="4.4185180588308199"/>
    <n v="0.96670247046186697"/>
    <x v="1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29EA98-528D-E443-A09E-234351C10FCF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3:J4" firstHeaderRow="1" firstDataRow="1" firstDataCol="0"/>
  <pivotFields count="37">
    <pivotField numFmtId="165" showAll="0"/>
    <pivotField numFmtId="1"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</pivotFields>
  <rowItems count="1">
    <i/>
  </rowItems>
  <colItems count="1">
    <i/>
  </colItems>
  <dataFields count="1">
    <dataField name="Count of Column1" fld="3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E0FAD-F8EE-AE44-A374-F5B33D231EC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37">
    <pivotField numFmtId="165" showAll="0"/>
    <pivotField numFmtId="1" showAll="0"/>
    <pivotField showAll="0"/>
    <pivotField showAll="0"/>
    <pivotField showAll="0"/>
    <pivotField numFmtId="1" showAll="0"/>
    <pivotField axis="axisRow" dataField="1" numFmtId="1" showAll="0">
      <items count="4">
        <item x="0"/>
        <item x="1"/>
        <item x="2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otal_Powe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BE6CF-B698-5949-9AA6-D1CCBC098C9A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:H6" firstHeaderRow="1" firstDataRow="1" firstDataCol="1"/>
  <pivotFields count="37">
    <pivotField numFmtId="165" showAll="0"/>
    <pivotField numFmtId="1" showAll="0"/>
    <pivotField axis="axisRow" showAll="0">
      <items count="3">
        <item x="0"/>
        <item x="1"/>
        <item t="default"/>
      </items>
    </pivotField>
    <pivotField showAll="0"/>
    <pivotField showAll="0"/>
    <pivotField numFmtId="1" showAll="0"/>
    <pivotField dataField="1"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Total_Powe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AF66B-A0AC-DC47-8005-BE564E91736B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E9" firstHeaderRow="1" firstDataRow="1" firstDataCol="1"/>
  <pivotFields count="37">
    <pivotField numFmtId="165" showAll="0"/>
    <pivotField numFmtId="1" showAll="0"/>
    <pivotField showAll="0"/>
    <pivotField showAll="0"/>
    <pivotField showAll="0"/>
    <pivotField axis="axisRow" numFmtId="1" showAll="0">
      <items count="6">
        <item x="3"/>
        <item x="0"/>
        <item x="1"/>
        <item x="2"/>
        <item x="4"/>
        <item t="default"/>
      </items>
    </pivotField>
    <pivotField dataField="1"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otal_Powe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AL68" totalsRowCount="1" headerRowDxfId="75" dataDxfId="74">
  <autoFilter ref="B3:AL67" xr:uid="{00000000-000C-0000-FFFF-FFFF00000000}">
    <filterColumn colId="0">
      <filters>
        <dateGroupItem year="2019" month="7" day="30" dateTimeGrouping="day"/>
      </filters>
    </filterColumn>
  </autoFilter>
  <sortState xmlns:xlrd2="http://schemas.microsoft.com/office/spreadsheetml/2017/richdata2" ref="B4:AL67">
    <sortCondition ref="J3:J67"/>
  </sortState>
  <tableColumns count="37">
    <tableColumn id="1" xr3:uid="{00000000-0010-0000-0000-000001000000}" name="Date" dataDxfId="73" totalsRowDxfId="72"/>
    <tableColumn id="30" xr3:uid="{DB9B5C0E-0B66-614F-99D3-A7825704F785}" name="selected" dataDxfId="71" totalsRowDxfId="70"/>
    <tableColumn id="27" xr3:uid="{D17B4794-B08E-4348-95AB-64C04FFE53F6}" name="season" dataDxfId="69" totalsRowDxfId="68"/>
    <tableColumn id="29" xr3:uid="{AE76F307-9066-8746-9653-79950B663566}" name="Month" dataDxfId="67" totalsRowDxfId="66">
      <calculatedColumnFormula>TEXT(Table1[[#This Row],[Date]], "mmmm")</calculatedColumnFormula>
    </tableColumn>
    <tableColumn id="28" xr3:uid="{C3FFEEF1-FE0A-6B4E-9EA4-8D7FFA46317A}" name="Day" dataDxfId="65" totalsRowDxfId="64">
      <calculatedColumnFormula>TEXT(Table1[[#This Row],[Date]], "dddd")</calculatedColumnFormula>
    </tableColumn>
    <tableColumn id="2" xr3:uid="{00000000-0010-0000-0000-000002000000}" name="context" dataDxfId="63" totalsRowDxfId="62"/>
    <tableColumn id="3" xr3:uid="{00000000-0010-0000-0000-000003000000}" name="Total_Power" dataDxfId="61" totalsRowDxfId="60"/>
    <tableColumn id="4" xr3:uid="{00000000-0010-0000-0000-000004000000}" name="Not_allocated" totalsRowFunction="custom" dataDxfId="59" totalsRowDxfId="58">
      <totalsRowFormula>COUNTIF(Table1[Not_allocated],"&gt;=6")</totalsRowFormula>
    </tableColumn>
    <tableColumn id="5" xr3:uid="{00000000-0010-0000-0000-000005000000}" name="Canteen" totalsRowFunction="custom" dataDxfId="57" totalsRowDxfId="56">
      <totalsRowFormula>COUNTIF(Table1[Canteen],"&gt;=6")</totalsRowFormula>
    </tableColumn>
    <tableColumn id="6" xr3:uid="{00000000-0010-0000-0000-000006000000}" name="Data_centre" totalsRowFunction="custom" dataDxfId="55" totalsRowDxfId="54">
      <totalsRowFormula>COUNTIF(Table1[Data_centre],"&gt;=6")</totalsRowFormula>
    </tableColumn>
    <tableColumn id="7" xr3:uid="{00000000-0010-0000-0000-000007000000}" name="Refrigeration_unit2" totalsRowFunction="custom" dataDxfId="53" totalsRowDxfId="52">
      <totalsRowFormula>COUNTIF(Table1[Refrigeration_unit2],"&gt;=6")</totalsRowFormula>
    </tableColumn>
    <tableColumn id="8" xr3:uid="{00000000-0010-0000-0000-000008000000}" name="Rectory" totalsRowFunction="custom" dataDxfId="51" totalsRowDxfId="50">
      <totalsRowFormula>COUNTIF(Table1[Rectory],"&gt;=6")</totalsRowFormula>
    </tableColumn>
    <tableColumn id="9" xr3:uid="{00000000-0010-0000-0000-000009000000}" name="DIMAT" totalsRowFunction="custom" dataDxfId="49" totalsRowDxfId="48">
      <totalsRowFormula>COUNTIF(Table1[DIMAT],"&gt;=6")</totalsRowFormula>
    </tableColumn>
    <tableColumn id="10" xr3:uid="{00000000-0010-0000-0000-00000A000000}" name="Print_shop" totalsRowFunction="custom" dataDxfId="47" totalsRowDxfId="46">
      <totalsRowFormula>COUNTIF(Table1[Print_shop],"&gt;=6")</totalsRowFormula>
    </tableColumn>
    <tableColumn id="11" xr3:uid="{00000000-0010-0000-0000-00000B000000}" name="Total_Power_energy_absolute" totalsRowFunction="custom" dataDxfId="45" totalsRowDxfId="44">
      <totalsRowFormula>SUM(Table1[Total_Power_energy_absolute])</totalsRowFormula>
    </tableColumn>
    <tableColumn id="12" xr3:uid="{00000000-0010-0000-0000-00000C000000}" name="Not_allocated_energy_absolute" dataDxfId="43" totalsRowDxfId="42"/>
    <tableColumn id="13" xr3:uid="{00000000-0010-0000-0000-00000D000000}" name="Canteen_energy_absolute" dataDxfId="41" totalsRowDxfId="40"/>
    <tableColumn id="14" xr3:uid="{00000000-0010-0000-0000-00000E000000}" name="Data_centre_energy_absolute" dataDxfId="39" totalsRowDxfId="38"/>
    <tableColumn id="15" xr3:uid="{00000000-0010-0000-0000-00000F000000}" name="Refrigeration_unit2_energy_absolute" dataDxfId="37" totalsRowDxfId="36"/>
    <tableColumn id="16" xr3:uid="{00000000-0010-0000-0000-000010000000}" name="Rectory_energy_absolute" dataDxfId="35" totalsRowDxfId="34"/>
    <tableColumn id="17" xr3:uid="{00000000-0010-0000-0000-000011000000}" name="DIMAT_energy_absolute" dataDxfId="33" totalsRowDxfId="32"/>
    <tableColumn id="18" xr3:uid="{00000000-0010-0000-0000-000012000000}" name="Print_shop_energy_absolute" dataDxfId="31" totalsRowDxfId="30"/>
    <tableColumn id="19" xr3:uid="{00000000-0010-0000-0000-000013000000}" name="Total_Power_energy_relative" dataDxfId="29" totalsRowDxfId="28" dataCellStyle="Percent"/>
    <tableColumn id="20" xr3:uid="{00000000-0010-0000-0000-000014000000}" name="Not_allocated_energy_relative" dataDxfId="27" totalsRowDxfId="26" dataCellStyle="Percent"/>
    <tableColumn id="21" xr3:uid="{00000000-0010-0000-0000-000015000000}" name="Canteen_energy_relative" dataDxfId="25" totalsRowDxfId="24" dataCellStyle="Percent"/>
    <tableColumn id="22" xr3:uid="{00000000-0010-0000-0000-000016000000}" name="Data_centre_energy_relative" dataDxfId="23" totalsRowDxfId="22" dataCellStyle="Percent"/>
    <tableColumn id="23" xr3:uid="{00000000-0010-0000-0000-000017000000}" name="Refrigeration_unit2_energy_relative" dataDxfId="21" totalsRowDxfId="20" dataCellStyle="Percent"/>
    <tableColumn id="24" xr3:uid="{00000000-0010-0000-0000-000018000000}" name="Rectory_energy_relative" dataDxfId="19" totalsRowDxfId="18" dataCellStyle="Percent"/>
    <tableColumn id="25" xr3:uid="{00000000-0010-0000-0000-000019000000}" name="DIMAT_energy_relative" dataDxfId="17" totalsRowDxfId="16" dataCellStyle="Percent"/>
    <tableColumn id="26" xr3:uid="{00000000-0010-0000-0000-00001A000000}" name="Print_shop_energy_relative" dataDxfId="15" totalsRowDxfId="14" dataCellStyle="Percent"/>
    <tableColumn id="31" xr3:uid="{3029FAFE-4CD3-9846-8D6B-80C806D356CA}" name="Column1" dataDxfId="13" totalsRowDxfId="12" dataCellStyle="Percent">
      <calculatedColumnFormula>IF(Table1[[#This Row],[Not_allocated]]&gt;=6,Table1[[#Headers],[Not_allocated]],"")</calculatedColumnFormula>
    </tableColumn>
    <tableColumn id="32" xr3:uid="{C92A4E39-04A4-2447-870B-3C83F78D0057}" name="Column2" dataDxfId="11" totalsRowDxfId="10" dataCellStyle="Percent">
      <calculatedColumnFormula>IF(Table1[[#This Row],[Canteen]]&gt;=6,Table1[[#Headers],[Canteen]],"")</calculatedColumnFormula>
    </tableColumn>
    <tableColumn id="33" xr3:uid="{4778FF5C-B5C0-324D-899C-108B780F4295}" name="Column3" dataDxfId="9" totalsRowDxfId="8" dataCellStyle="Percent">
      <calculatedColumnFormula>IF(Table1[[#This Row],[Data_centre]]&gt;=6,Table1[[#Headers],[Data_centre]],"")</calculatedColumnFormula>
    </tableColumn>
    <tableColumn id="34" xr3:uid="{3C0EBBC2-0591-2E49-A433-CE1E232BB5D6}" name="Column4" dataDxfId="7" totalsRowDxfId="6" dataCellStyle="Percent">
      <calculatedColumnFormula>IF(Table1[[#This Row],[Refrigeration_unit2]]&gt;=6,Table1[[#Headers],[Refrigeration_unit2]],"")</calculatedColumnFormula>
    </tableColumn>
    <tableColumn id="35" xr3:uid="{64477FF2-9A96-9949-B40D-0BED20DCE583}" name="Column5" dataDxfId="5" totalsRowDxfId="4" dataCellStyle="Percent">
      <calculatedColumnFormula>IF(Table1[[#This Row],[Rectory]]&gt;=6,Table1[[#Headers],[Rectory]],"")</calculatedColumnFormula>
    </tableColumn>
    <tableColumn id="36" xr3:uid="{8DBD5B95-B2EB-5E46-BAD2-7B747369644F}" name="Column6" dataDxfId="3" totalsRowDxfId="2" dataCellStyle="Percent">
      <calculatedColumnFormula>IF(Table1[[#This Row],[DIMAT]]&gt;=6,Table1[[#Headers],[DIMAT]],"")</calculatedColumnFormula>
    </tableColumn>
    <tableColumn id="37" xr3:uid="{9D5FB3A2-CF47-BE41-83A3-EC9922C7ED1C}" name="Column7" dataDxfId="1" totalsRowDxfId="0" dataCellStyle="Percent">
      <calculatedColumnFormula>IF(Table1[[#This Row],[Print_shop]]&gt;=6,Table1[[#Headers],[Print_shop]],"")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2F150-D246-194C-90BA-F535995F35E6}">
  <dimension ref="A3:J9"/>
  <sheetViews>
    <sheetView topLeftCell="H1" zoomScale="161" workbookViewId="0">
      <selection activeCell="J3" sqref="J3"/>
    </sheetView>
  </sheetViews>
  <sheetFormatPr baseColWidth="10" defaultRowHeight="15"/>
  <cols>
    <col min="1" max="1" width="12.1640625" bestFit="1" customWidth="1"/>
    <col min="2" max="2" width="18.1640625" bestFit="1" customWidth="1"/>
    <col min="4" max="4" width="12.1640625" bestFit="1" customWidth="1"/>
    <col min="5" max="5" width="18.1640625" bestFit="1" customWidth="1"/>
    <col min="7" max="7" width="12.1640625" bestFit="1" customWidth="1"/>
    <col min="8" max="8" width="18.1640625" bestFit="1" customWidth="1"/>
    <col min="10" max="16" width="15.33203125" bestFit="1" customWidth="1"/>
    <col min="17" max="21" width="16.5" bestFit="1" customWidth="1"/>
    <col min="22" max="27" width="19.83203125" bestFit="1" customWidth="1"/>
    <col min="28" max="34" width="16.5" bestFit="1" customWidth="1"/>
    <col min="35" max="39" width="27" bestFit="1" customWidth="1"/>
    <col min="40" max="44" width="19.83203125" bestFit="1" customWidth="1"/>
    <col min="45" max="45" width="16.5" bestFit="1" customWidth="1"/>
    <col min="46" max="49" width="15.83203125" bestFit="1" customWidth="1"/>
    <col min="50" max="53" width="27" bestFit="1" customWidth="1"/>
    <col min="54" max="57" width="19.83203125" bestFit="1" customWidth="1"/>
    <col min="58" max="63" width="15.83203125" bestFit="1" customWidth="1"/>
    <col min="64" max="66" width="27" bestFit="1" customWidth="1"/>
    <col min="67" max="69" width="19.83203125" bestFit="1" customWidth="1"/>
    <col min="70" max="70" width="2.1640625" bestFit="1" customWidth="1"/>
    <col min="71" max="72" width="6.33203125" bestFit="1" customWidth="1"/>
    <col min="73" max="73" width="10" bestFit="1" customWidth="1"/>
    <col min="74" max="75" width="2.1640625" bestFit="1" customWidth="1"/>
    <col min="76" max="78" width="6.33203125" bestFit="1" customWidth="1"/>
    <col min="79" max="79" width="2.1640625" bestFit="1" customWidth="1"/>
    <col min="80" max="81" width="6.33203125" bestFit="1" customWidth="1"/>
    <col min="82" max="82" width="2.1640625" bestFit="1" customWidth="1"/>
    <col min="83" max="84" width="6.33203125" bestFit="1" customWidth="1"/>
    <col min="85" max="85" width="2.1640625" bestFit="1" customWidth="1"/>
    <col min="86" max="88" width="6.33203125" bestFit="1" customWidth="1"/>
    <col min="89" max="89" width="2.1640625" bestFit="1" customWidth="1"/>
    <col min="90" max="91" width="6.33203125" bestFit="1" customWidth="1"/>
    <col min="92" max="92" width="2.1640625" bestFit="1" customWidth="1"/>
    <col min="93" max="95" width="6.33203125" bestFit="1" customWidth="1"/>
    <col min="96" max="96" width="2.1640625" bestFit="1" customWidth="1"/>
    <col min="97" max="98" width="6.33203125" bestFit="1" customWidth="1"/>
    <col min="99" max="99" width="2.1640625" bestFit="1" customWidth="1"/>
    <col min="100" max="102" width="6.33203125" bestFit="1" customWidth="1"/>
    <col min="103" max="103" width="2.1640625" bestFit="1" customWidth="1"/>
    <col min="104" max="104" width="6.33203125" bestFit="1" customWidth="1"/>
    <col min="105" max="105" width="2.1640625" bestFit="1" customWidth="1"/>
    <col min="106" max="107" width="6.33203125" bestFit="1" customWidth="1"/>
    <col min="108" max="108" width="2.1640625" bestFit="1" customWidth="1"/>
    <col min="109" max="109" width="6.33203125" bestFit="1" customWidth="1"/>
    <col min="110" max="111" width="2.1640625" bestFit="1" customWidth="1"/>
    <col min="112" max="112" width="6.33203125" bestFit="1" customWidth="1"/>
    <col min="113" max="113" width="2.1640625" bestFit="1" customWidth="1"/>
    <col min="114" max="115" width="6.33203125" bestFit="1" customWidth="1"/>
    <col min="116" max="118" width="2.1640625" bestFit="1" customWidth="1"/>
    <col min="119" max="119" width="6.33203125" bestFit="1" customWidth="1"/>
    <col min="120" max="120" width="2.1640625" bestFit="1" customWidth="1"/>
    <col min="121" max="122" width="6.33203125" bestFit="1" customWidth="1"/>
    <col min="123" max="123" width="2.1640625" bestFit="1" customWidth="1"/>
    <col min="124" max="125" width="6.33203125" bestFit="1" customWidth="1"/>
    <col min="126" max="126" width="2.1640625" bestFit="1" customWidth="1"/>
    <col min="127" max="129" width="6.33203125" bestFit="1" customWidth="1"/>
    <col min="130" max="130" width="10" bestFit="1" customWidth="1"/>
    <col min="131" max="132" width="6.33203125" bestFit="1" customWidth="1"/>
    <col min="133" max="134" width="2.1640625" bestFit="1" customWidth="1"/>
    <col min="135" max="136" width="6.33203125" bestFit="1" customWidth="1"/>
    <col min="137" max="137" width="2.1640625" bestFit="1" customWidth="1"/>
    <col min="138" max="140" width="6.33203125" bestFit="1" customWidth="1"/>
    <col min="141" max="141" width="2.1640625" bestFit="1" customWidth="1"/>
    <col min="142" max="143" width="6.33203125" bestFit="1" customWidth="1"/>
    <col min="144" max="144" width="2.1640625" bestFit="1" customWidth="1"/>
    <col min="145" max="146" width="6.33203125" bestFit="1" customWidth="1"/>
    <col min="147" max="147" width="2.1640625" bestFit="1" customWidth="1"/>
    <col min="148" max="150" width="6.33203125" bestFit="1" customWidth="1"/>
    <col min="151" max="153" width="2.1640625" bestFit="1" customWidth="1"/>
    <col min="154" max="155" width="6.33203125" bestFit="1" customWidth="1"/>
    <col min="156" max="156" width="2.1640625" bestFit="1" customWidth="1"/>
    <col min="157" max="159" width="6.33203125" bestFit="1" customWidth="1"/>
    <col min="160" max="160" width="2.1640625" bestFit="1" customWidth="1"/>
    <col min="161" max="163" width="6.33203125" bestFit="1" customWidth="1"/>
    <col min="164" max="164" width="2.1640625" bestFit="1" customWidth="1"/>
    <col min="165" max="168" width="6.33203125" bestFit="1" customWidth="1"/>
    <col min="169" max="169" width="10" bestFit="1" customWidth="1"/>
    <col min="170" max="170" width="6.33203125" bestFit="1" customWidth="1"/>
    <col min="171" max="171" width="2.1640625" bestFit="1" customWidth="1"/>
    <col min="172" max="172" width="6.33203125" bestFit="1" customWidth="1"/>
    <col min="173" max="173" width="2.1640625" bestFit="1" customWidth="1"/>
    <col min="174" max="176" width="6.33203125" bestFit="1" customWidth="1"/>
    <col min="177" max="177" width="2.1640625" bestFit="1" customWidth="1"/>
    <col min="178" max="181" width="6.33203125" bestFit="1" customWidth="1"/>
    <col min="182" max="182" width="2.1640625" bestFit="1" customWidth="1"/>
    <col min="183" max="185" width="6.33203125" bestFit="1" customWidth="1"/>
    <col min="186" max="187" width="2.1640625" bestFit="1" customWidth="1"/>
    <col min="188" max="190" width="6.33203125" bestFit="1" customWidth="1"/>
    <col min="191" max="191" width="2.1640625" bestFit="1" customWidth="1"/>
    <col min="192" max="195" width="6.33203125" bestFit="1" customWidth="1"/>
    <col min="196" max="197" width="2.1640625" bestFit="1" customWidth="1"/>
    <col min="198" max="198" width="6.33203125" bestFit="1" customWidth="1"/>
    <col min="199" max="199" width="2.1640625" bestFit="1" customWidth="1"/>
    <col min="200" max="200" width="6.33203125" bestFit="1" customWidth="1"/>
    <col min="201" max="201" width="2.1640625" bestFit="1" customWidth="1"/>
    <col min="202" max="204" width="6.33203125" bestFit="1" customWidth="1"/>
    <col min="205" max="205" width="2.1640625" bestFit="1" customWidth="1"/>
    <col min="206" max="209" width="6.33203125" bestFit="1" customWidth="1"/>
    <col min="210" max="210" width="2.1640625" bestFit="1" customWidth="1"/>
    <col min="211" max="214" width="6.33203125" bestFit="1" customWidth="1"/>
    <col min="215" max="215" width="2.1640625" bestFit="1" customWidth="1"/>
    <col min="216" max="220" width="6.33203125" bestFit="1" customWidth="1"/>
    <col min="221" max="221" width="10" bestFit="1" customWidth="1"/>
    <col min="222" max="226" width="6.33203125" bestFit="1" customWidth="1"/>
    <col min="227" max="227" width="2.1640625" bestFit="1" customWidth="1"/>
    <col min="228" max="233" width="6.33203125" bestFit="1" customWidth="1"/>
    <col min="234" max="234" width="2.1640625" bestFit="1" customWidth="1"/>
    <col min="235" max="237" width="6.33203125" bestFit="1" customWidth="1"/>
    <col min="238" max="238" width="2.1640625" bestFit="1" customWidth="1"/>
    <col min="239" max="241" width="6.33203125" bestFit="1" customWidth="1"/>
    <col min="242" max="242" width="2.1640625" bestFit="1" customWidth="1"/>
    <col min="243" max="246" width="6.33203125" bestFit="1" customWidth="1"/>
    <col min="247" max="247" width="2.1640625" bestFit="1" customWidth="1"/>
    <col min="248" max="252" width="6.33203125" bestFit="1" customWidth="1"/>
    <col min="253" max="253" width="2.1640625" bestFit="1" customWidth="1"/>
    <col min="254" max="257" width="6.33203125" bestFit="1" customWidth="1"/>
    <col min="258" max="259" width="2.1640625" bestFit="1" customWidth="1"/>
    <col min="260" max="262" width="6.33203125" bestFit="1" customWidth="1"/>
    <col min="263" max="263" width="2.1640625" bestFit="1" customWidth="1"/>
    <col min="264" max="266" width="6.33203125" bestFit="1" customWidth="1"/>
    <col min="267" max="267" width="2.1640625" bestFit="1" customWidth="1"/>
    <col min="268" max="271" width="6.33203125" bestFit="1" customWidth="1"/>
    <col min="272" max="272" width="2.1640625" bestFit="1" customWidth="1"/>
    <col min="273" max="277" width="6.33203125" bestFit="1" customWidth="1"/>
    <col min="278" max="279" width="2.1640625" bestFit="1" customWidth="1"/>
    <col min="280" max="280" width="6.33203125" bestFit="1" customWidth="1"/>
    <col min="281" max="281" width="2.1640625" bestFit="1" customWidth="1"/>
    <col min="282" max="284" width="6.33203125" bestFit="1" customWidth="1"/>
    <col min="285" max="285" width="2.1640625" bestFit="1" customWidth="1"/>
    <col min="286" max="289" width="6.33203125" bestFit="1" customWidth="1"/>
    <col min="290" max="290" width="2.1640625" bestFit="1" customWidth="1"/>
    <col min="291" max="295" width="6.33203125" bestFit="1" customWidth="1"/>
    <col min="296" max="296" width="2.1640625" bestFit="1" customWidth="1"/>
    <col min="297" max="301" width="6.33203125" bestFit="1" customWidth="1"/>
    <col min="302" max="302" width="2.1640625" bestFit="1" customWidth="1"/>
    <col min="303" max="308" width="6.33203125" bestFit="1" customWidth="1"/>
    <col min="309" max="309" width="10" bestFit="1" customWidth="1"/>
    <col min="310" max="311" width="2.1640625" bestFit="1" customWidth="1"/>
    <col min="312" max="314" width="6.33203125" bestFit="1" customWidth="1"/>
    <col min="315" max="315" width="2.1640625" bestFit="1" customWidth="1"/>
    <col min="316" max="319" width="6.33203125" bestFit="1" customWidth="1"/>
    <col min="320" max="320" width="2.1640625" bestFit="1" customWidth="1"/>
    <col min="321" max="325" width="6.33203125" bestFit="1" customWidth="1"/>
    <col min="326" max="326" width="2.1640625" bestFit="1" customWidth="1"/>
    <col min="327" max="331" width="6.33203125" bestFit="1" customWidth="1"/>
    <col min="332" max="332" width="2.1640625" bestFit="1" customWidth="1"/>
    <col min="333" max="338" width="6.33203125" bestFit="1" customWidth="1"/>
    <col min="339" max="339" width="2.1640625" bestFit="1" customWidth="1"/>
    <col min="340" max="344" width="6.33203125" bestFit="1" customWidth="1"/>
    <col min="345" max="345" width="2.1640625" bestFit="1" customWidth="1"/>
    <col min="346" max="348" width="6.33203125" bestFit="1" customWidth="1"/>
    <col min="349" max="349" width="2.1640625" bestFit="1" customWidth="1"/>
    <col min="350" max="353" width="6.33203125" bestFit="1" customWidth="1"/>
    <col min="354" max="354" width="2.1640625" bestFit="1" customWidth="1"/>
    <col min="355" max="359" width="6.33203125" bestFit="1" customWidth="1"/>
    <col min="360" max="360" width="2.1640625" bestFit="1" customWidth="1"/>
    <col min="361" max="366" width="6.33203125" bestFit="1" customWidth="1"/>
    <col min="367" max="367" width="2.1640625" bestFit="1" customWidth="1"/>
    <col min="368" max="374" width="6.33203125" bestFit="1" customWidth="1"/>
    <col min="375" max="375" width="10" bestFit="1" customWidth="1"/>
    <col min="376" max="377" width="6.33203125" bestFit="1" customWidth="1"/>
    <col min="378" max="378" width="2.1640625" bestFit="1" customWidth="1"/>
    <col min="379" max="382" width="6.33203125" bestFit="1" customWidth="1"/>
    <col min="383" max="383" width="2.1640625" bestFit="1" customWidth="1"/>
    <col min="384" max="384" width="6.33203125" bestFit="1" customWidth="1"/>
    <col min="385" max="385" width="2.1640625" bestFit="1" customWidth="1"/>
    <col min="386" max="390" width="6.33203125" bestFit="1" customWidth="1"/>
    <col min="391" max="391" width="2.1640625" bestFit="1" customWidth="1"/>
    <col min="392" max="394" width="6.33203125" bestFit="1" customWidth="1"/>
    <col min="395" max="395" width="2.1640625" bestFit="1" customWidth="1"/>
    <col min="396" max="399" width="6.33203125" bestFit="1" customWidth="1"/>
    <col min="400" max="400" width="2.1640625" bestFit="1" customWidth="1"/>
    <col min="401" max="405" width="6.33203125" bestFit="1" customWidth="1"/>
    <col min="406" max="406" width="2.1640625" bestFit="1" customWidth="1"/>
    <col min="407" max="409" width="6.33203125" bestFit="1" customWidth="1"/>
    <col min="410" max="410" width="2.1640625" bestFit="1" customWidth="1"/>
    <col min="411" max="415" width="6.33203125" bestFit="1" customWidth="1"/>
    <col min="416" max="416" width="2.1640625" bestFit="1" customWidth="1"/>
    <col min="417" max="420" width="6.33203125" bestFit="1" customWidth="1"/>
    <col min="421" max="421" width="2.1640625" bestFit="1" customWidth="1"/>
    <col min="422" max="426" width="6.33203125" bestFit="1" customWidth="1"/>
    <col min="427" max="427" width="2.1640625" bestFit="1" customWidth="1"/>
    <col min="428" max="429" width="6.33203125" bestFit="1" customWidth="1"/>
    <col min="430" max="430" width="2.1640625" bestFit="1" customWidth="1"/>
    <col min="431" max="433" width="6.33203125" bestFit="1" customWidth="1"/>
    <col min="434" max="434" width="2.1640625" bestFit="1" customWidth="1"/>
    <col min="435" max="437" width="6.33203125" bestFit="1" customWidth="1"/>
    <col min="438" max="438" width="2.1640625" bestFit="1" customWidth="1"/>
    <col min="439" max="442" width="6.33203125" bestFit="1" customWidth="1"/>
    <col min="443" max="443" width="2.1640625" bestFit="1" customWidth="1"/>
    <col min="444" max="444" width="6.33203125" bestFit="1" customWidth="1"/>
    <col min="445" max="445" width="2.1640625" bestFit="1" customWidth="1"/>
    <col min="446" max="448" width="6.33203125" bestFit="1" customWidth="1"/>
    <col min="449" max="449" width="2.1640625" bestFit="1" customWidth="1"/>
    <col min="450" max="450" width="6.33203125" bestFit="1" customWidth="1"/>
    <col min="451" max="451" width="2.1640625" bestFit="1" customWidth="1"/>
    <col min="452" max="453" width="6.33203125" bestFit="1" customWidth="1"/>
    <col min="454" max="454" width="2.1640625" bestFit="1" customWidth="1"/>
    <col min="455" max="457" width="6.33203125" bestFit="1" customWidth="1"/>
    <col min="458" max="458" width="2.1640625" bestFit="1" customWidth="1"/>
    <col min="459" max="461" width="6.33203125" bestFit="1" customWidth="1"/>
    <col min="462" max="462" width="2.1640625" bestFit="1" customWidth="1"/>
    <col min="463" max="466" width="6.33203125" bestFit="1" customWidth="1"/>
    <col min="467" max="467" width="2.1640625" bestFit="1" customWidth="1"/>
    <col min="468" max="470" width="6.33203125" bestFit="1" customWidth="1"/>
    <col min="471" max="471" width="2.1640625" bestFit="1" customWidth="1"/>
    <col min="472" max="472" width="6.33203125" bestFit="1" customWidth="1"/>
    <col min="473" max="473" width="2.1640625" bestFit="1" customWidth="1"/>
    <col min="474" max="475" width="6.33203125" bestFit="1" customWidth="1"/>
    <col min="476" max="476" width="2.1640625" bestFit="1" customWidth="1"/>
    <col min="477" max="479" width="6.33203125" bestFit="1" customWidth="1"/>
    <col min="480" max="480" width="2.1640625" bestFit="1" customWidth="1"/>
    <col min="481" max="484" width="6.33203125" bestFit="1" customWidth="1"/>
    <col min="485" max="485" width="2.1640625" bestFit="1" customWidth="1"/>
    <col min="486" max="490" width="6.33203125" bestFit="1" customWidth="1"/>
    <col min="491" max="491" width="22.1640625" bestFit="1" customWidth="1"/>
    <col min="492" max="492" width="20.6640625" bestFit="1" customWidth="1"/>
    <col min="493" max="493" width="2.1640625" bestFit="1" customWidth="1"/>
    <col min="494" max="497" width="6.33203125" bestFit="1" customWidth="1"/>
    <col min="498" max="498" width="2.1640625" bestFit="1" customWidth="1"/>
    <col min="499" max="501" width="6.33203125" bestFit="1" customWidth="1"/>
    <col min="502" max="502" width="2.1640625" bestFit="1" customWidth="1"/>
    <col min="503" max="506" width="6.33203125" bestFit="1" customWidth="1"/>
    <col min="507" max="507" width="2.1640625" bestFit="1" customWidth="1"/>
    <col min="508" max="508" width="6.33203125" bestFit="1" customWidth="1"/>
    <col min="509" max="509" width="2.1640625" bestFit="1" customWidth="1"/>
    <col min="510" max="511" width="6.33203125" bestFit="1" customWidth="1"/>
    <col min="512" max="512" width="2.1640625" bestFit="1" customWidth="1"/>
    <col min="513" max="514" width="6.33203125" bestFit="1" customWidth="1"/>
    <col min="515" max="515" width="2.1640625" bestFit="1" customWidth="1"/>
    <col min="516" max="518" width="6.33203125" bestFit="1" customWidth="1"/>
    <col min="519" max="520" width="2.1640625" bestFit="1" customWidth="1"/>
    <col min="521" max="522" width="6.33203125" bestFit="1" customWidth="1"/>
    <col min="523" max="524" width="2.1640625" bestFit="1" customWidth="1"/>
    <col min="525" max="525" width="6.33203125" bestFit="1" customWidth="1"/>
    <col min="526" max="526" width="2.1640625" bestFit="1" customWidth="1"/>
    <col min="527" max="528" width="6.33203125" bestFit="1" customWidth="1"/>
    <col min="529" max="529" width="2.1640625" bestFit="1" customWidth="1"/>
    <col min="530" max="531" width="6.33203125" bestFit="1" customWidth="1"/>
    <col min="532" max="532" width="2.1640625" bestFit="1" customWidth="1"/>
    <col min="533" max="535" width="6.33203125" bestFit="1" customWidth="1"/>
    <col min="536" max="536" width="2.1640625" bestFit="1" customWidth="1"/>
    <col min="537" max="538" width="6.33203125" bestFit="1" customWidth="1"/>
    <col min="539" max="540" width="2.1640625" bestFit="1" customWidth="1"/>
    <col min="541" max="541" width="6.33203125" bestFit="1" customWidth="1"/>
    <col min="542" max="542" width="2.1640625" bestFit="1" customWidth="1"/>
    <col min="543" max="544" width="6.33203125" bestFit="1" customWidth="1"/>
    <col min="545" max="545" width="2.1640625" bestFit="1" customWidth="1"/>
    <col min="546" max="548" width="6.33203125" bestFit="1" customWidth="1"/>
    <col min="549" max="549" width="2.1640625" bestFit="1" customWidth="1"/>
    <col min="550" max="553" width="6.33203125" bestFit="1" customWidth="1"/>
    <col min="554" max="554" width="22.1640625" bestFit="1" customWidth="1"/>
    <col min="555" max="555" width="17.6640625" bestFit="1" customWidth="1"/>
    <col min="556" max="556" width="20.6640625" bestFit="1" customWidth="1"/>
  </cols>
  <sheetData>
    <row r="3" spans="1:10">
      <c r="A3" s="12" t="s">
        <v>29</v>
      </c>
      <c r="B3" t="s">
        <v>31</v>
      </c>
      <c r="D3" s="12" t="s">
        <v>29</v>
      </c>
      <c r="E3" t="s">
        <v>31</v>
      </c>
      <c r="G3" s="12" t="s">
        <v>29</v>
      </c>
      <c r="H3" t="s">
        <v>31</v>
      </c>
      <c r="J3" t="s">
        <v>45</v>
      </c>
    </row>
    <row r="4" spans="1:10">
      <c r="A4" s="13">
        <v>6</v>
      </c>
      <c r="B4" s="14">
        <v>25</v>
      </c>
      <c r="D4" s="13">
        <v>1</v>
      </c>
      <c r="E4" s="14">
        <v>12</v>
      </c>
      <c r="G4" s="15" t="s">
        <v>32</v>
      </c>
      <c r="H4" s="14">
        <v>13</v>
      </c>
      <c r="J4" s="14">
        <v>64</v>
      </c>
    </row>
    <row r="5" spans="1:10">
      <c r="A5" s="13">
        <v>7</v>
      </c>
      <c r="B5" s="14">
        <v>14</v>
      </c>
      <c r="D5" s="13">
        <v>2</v>
      </c>
      <c r="E5" s="14">
        <v>18</v>
      </c>
      <c r="G5" s="15" t="s">
        <v>34</v>
      </c>
      <c r="H5" s="14">
        <v>51</v>
      </c>
    </row>
    <row r="6" spans="1:10">
      <c r="A6" s="13">
        <v>8</v>
      </c>
      <c r="B6" s="14">
        <v>25</v>
      </c>
      <c r="D6" s="13">
        <v>3</v>
      </c>
      <c r="E6" s="14">
        <v>8</v>
      </c>
      <c r="G6" s="15" t="s">
        <v>30</v>
      </c>
      <c r="H6" s="14">
        <v>64</v>
      </c>
    </row>
    <row r="7" spans="1:10">
      <c r="A7" s="13" t="s">
        <v>30</v>
      </c>
      <c r="B7" s="14">
        <v>64</v>
      </c>
      <c r="D7" s="13">
        <v>4</v>
      </c>
      <c r="E7" s="14">
        <v>14</v>
      </c>
    </row>
    <row r="8" spans="1:10">
      <c r="D8" s="13">
        <v>5</v>
      </c>
      <c r="E8" s="14">
        <v>12</v>
      </c>
    </row>
    <row r="9" spans="1:10">
      <c r="D9" s="13" t="s">
        <v>30</v>
      </c>
      <c r="E9" s="14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69"/>
  <sheetViews>
    <sheetView showGridLines="0" tabSelected="1" topLeftCell="A3" zoomScaleNormal="120" workbookViewId="0">
      <pane xSplit="2" topLeftCell="F1" activePane="topRight" state="frozen"/>
      <selection pane="topRight" activeCell="L43" sqref="L43"/>
    </sheetView>
  </sheetViews>
  <sheetFormatPr baseColWidth="10" defaultColWidth="8.83203125" defaultRowHeight="18"/>
  <cols>
    <col min="1" max="1" width="8.83203125" style="10"/>
    <col min="2" max="2" width="19.1640625" style="10" customWidth="1"/>
    <col min="3" max="3" width="6.1640625" style="18" customWidth="1"/>
    <col min="4" max="6" width="19.1640625" style="10" customWidth="1"/>
    <col min="7" max="15" width="8.6640625" style="1" customWidth="1"/>
    <col min="16" max="23" width="8.6640625" style="2" customWidth="1"/>
    <col min="24" max="31" width="8.6640625" style="3" hidden="1" customWidth="1"/>
    <col min="32" max="32" width="20.33203125" style="10" customWidth="1"/>
    <col min="33" max="16384" width="8.83203125" style="10"/>
  </cols>
  <sheetData>
    <row r="2" spans="2:38">
      <c r="H2" s="21" t="s">
        <v>26</v>
      </c>
      <c r="I2" s="21"/>
      <c r="J2" s="21"/>
      <c r="K2" s="21"/>
      <c r="L2" s="21"/>
      <c r="M2" s="21"/>
      <c r="N2" s="21"/>
      <c r="O2" s="21"/>
      <c r="P2" s="22" t="s">
        <v>27</v>
      </c>
      <c r="Q2" s="22"/>
      <c r="R2" s="22"/>
      <c r="S2" s="22"/>
      <c r="T2" s="22"/>
      <c r="U2" s="22"/>
      <c r="V2" s="22"/>
      <c r="W2" s="22"/>
      <c r="X2" s="23" t="s">
        <v>28</v>
      </c>
      <c r="Y2" s="23"/>
      <c r="Z2" s="23"/>
      <c r="AA2" s="23"/>
      <c r="AB2" s="23"/>
      <c r="AC2" s="23"/>
      <c r="AD2" s="23"/>
      <c r="AE2" s="23"/>
    </row>
    <row r="3" spans="2:38" s="6" customFormat="1" ht="173" customHeight="1">
      <c r="B3" s="6" t="s">
        <v>0</v>
      </c>
      <c r="C3" s="19" t="s">
        <v>37</v>
      </c>
      <c r="D3" s="6" t="s">
        <v>33</v>
      </c>
      <c r="E3" s="6" t="s">
        <v>36</v>
      </c>
      <c r="F3" s="6" t="s">
        <v>35</v>
      </c>
      <c r="G3" s="7" t="s">
        <v>1</v>
      </c>
      <c r="H3" s="7" t="s">
        <v>2</v>
      </c>
      <c r="I3" s="7" t="s">
        <v>3</v>
      </c>
      <c r="J3" s="7" t="s">
        <v>4</v>
      </c>
      <c r="K3" s="7" t="s">
        <v>5</v>
      </c>
      <c r="L3" s="7" t="s">
        <v>6</v>
      </c>
      <c r="M3" s="7" t="s">
        <v>7</v>
      </c>
      <c r="N3" s="7" t="s">
        <v>8</v>
      </c>
      <c r="O3" s="7" t="s">
        <v>9</v>
      </c>
      <c r="P3" s="8" t="s">
        <v>10</v>
      </c>
      <c r="Q3" s="8" t="s">
        <v>11</v>
      </c>
      <c r="R3" s="8" t="s">
        <v>12</v>
      </c>
      <c r="S3" s="8" t="s">
        <v>13</v>
      </c>
      <c r="T3" s="8" t="s">
        <v>14</v>
      </c>
      <c r="U3" s="8" t="s">
        <v>15</v>
      </c>
      <c r="V3" s="8" t="s">
        <v>16</v>
      </c>
      <c r="W3" s="8" t="s">
        <v>17</v>
      </c>
      <c r="X3" s="9" t="s">
        <v>18</v>
      </c>
      <c r="Y3" s="9" t="s">
        <v>19</v>
      </c>
      <c r="Z3" s="9" t="s">
        <v>20</v>
      </c>
      <c r="AA3" s="9" t="s">
        <v>21</v>
      </c>
      <c r="AB3" s="9" t="s">
        <v>22</v>
      </c>
      <c r="AC3" s="9" t="s">
        <v>23</v>
      </c>
      <c r="AD3" s="9" t="s">
        <v>24</v>
      </c>
      <c r="AE3" s="9" t="s">
        <v>25</v>
      </c>
      <c r="AF3" s="6" t="s">
        <v>38</v>
      </c>
      <c r="AG3" s="6" t="s">
        <v>39</v>
      </c>
      <c r="AH3" s="6" t="s">
        <v>40</v>
      </c>
      <c r="AI3" s="6" t="s">
        <v>41</v>
      </c>
      <c r="AJ3" s="6" t="s">
        <v>42</v>
      </c>
      <c r="AK3" s="6" t="s">
        <v>43</v>
      </c>
      <c r="AL3" s="6" t="s">
        <v>44</v>
      </c>
    </row>
    <row r="4" spans="2:38" s="4" customFormat="1" hidden="1">
      <c r="B4" s="5">
        <v>43619</v>
      </c>
      <c r="C4" s="11">
        <v>0</v>
      </c>
      <c r="D4" s="5" t="s">
        <v>34</v>
      </c>
      <c r="E4" s="5" t="str">
        <f>TEXT(Table1[[#This Row],[Date]], "mmmm")</f>
        <v>June</v>
      </c>
      <c r="F4" s="5" t="str">
        <f>TEXT(Table1[[#This Row],[Date]], "dddd")</f>
        <v>Monday</v>
      </c>
      <c r="G4" s="1">
        <v>3</v>
      </c>
      <c r="H4" s="1">
        <v>6</v>
      </c>
      <c r="I4" s="1">
        <v>0</v>
      </c>
      <c r="J4" s="1">
        <v>0</v>
      </c>
      <c r="K4" s="1">
        <v>4</v>
      </c>
      <c r="L4" s="1">
        <v>7</v>
      </c>
      <c r="M4" s="1">
        <v>1</v>
      </c>
      <c r="N4" s="1">
        <v>2</v>
      </c>
      <c r="O4" s="1">
        <v>0</v>
      </c>
      <c r="P4" s="2">
        <v>644.58633879781405</v>
      </c>
      <c r="Q4" s="2">
        <v>53.7508196721312</v>
      </c>
      <c r="R4" s="2">
        <v>-16.2901639344262</v>
      </c>
      <c r="S4" s="2">
        <v>34.505464480874302</v>
      </c>
      <c r="T4" s="2">
        <v>661.77322404371603</v>
      </c>
      <c r="U4" s="2">
        <v>-14.720218579235</v>
      </c>
      <c r="V4" s="2">
        <v>-8.7819672131147506</v>
      </c>
      <c r="W4" s="2">
        <v>4.7229508196721204</v>
      </c>
      <c r="X4" s="3">
        <v>16.579661346179201</v>
      </c>
      <c r="Y4" s="3">
        <v>2.8550629736959499</v>
      </c>
      <c r="Z4" s="3">
        <v>-1.5944328828315599</v>
      </c>
      <c r="AA4" s="3">
        <v>13.709262463607301</v>
      </c>
      <c r="AB4" s="3">
        <v>156.068734704608</v>
      </c>
      <c r="AC4" s="3">
        <v>-11.736718964443</v>
      </c>
      <c r="AD4" s="3">
        <v>-19.351226384423601</v>
      </c>
      <c r="AE4" s="3">
        <v>7.0939623756524997</v>
      </c>
      <c r="AF4" s="20" t="str">
        <f>IF(Table1[[#This Row],[Not_allocated]]&gt;=6,Table1[[#Headers],[Not_allocated]],"")</f>
        <v/>
      </c>
      <c r="AG4" s="20" t="str">
        <f>IF(Table1[[#This Row],[Canteen]]&gt;=6,Table1[[#Headers],[Canteen]],"")</f>
        <v/>
      </c>
      <c r="AH4" s="20" t="str">
        <f>IF(Table1[[#This Row],[Data_centre]]&gt;=6,Table1[[#Headers],[Data_centre]],"")</f>
        <v/>
      </c>
      <c r="AI4" s="20" t="str">
        <f>IF(Table1[[#This Row],[Refrigeration_unit2]]&gt;=6,Table1[[#Headers],[Refrigeration_unit2]],"")</f>
        <v>Refrigeration_unit2</v>
      </c>
      <c r="AJ4" s="20" t="str">
        <f>IF(Table1[[#This Row],[Rectory]]&gt;=6,Table1[[#Headers],[Rectory]],"")</f>
        <v/>
      </c>
      <c r="AK4" s="20" t="str">
        <f>IF(Table1[[#This Row],[DIMAT]]&gt;=6,Table1[[#Headers],[DIMAT]],"")</f>
        <v/>
      </c>
      <c r="AL4" s="20" t="str">
        <f>IF(Table1[[#This Row],[Print_shop]]&gt;=6,Table1[[#Headers],[Print_shop]],"")</f>
        <v/>
      </c>
    </row>
    <row r="5" spans="2:38" s="4" customFormat="1" hidden="1">
      <c r="B5" s="5">
        <v>43620</v>
      </c>
      <c r="C5" s="11">
        <v>0</v>
      </c>
      <c r="D5" s="5" t="s">
        <v>34</v>
      </c>
      <c r="E5" s="5" t="str">
        <f>TEXT(Table1[[#This Row],[Date]], "mmmm")</f>
        <v>June</v>
      </c>
      <c r="F5" s="5" t="str">
        <f>TEXT(Table1[[#This Row],[Date]], "dddd")</f>
        <v>Tuesday</v>
      </c>
      <c r="G5" s="1">
        <v>3</v>
      </c>
      <c r="H5" s="1">
        <v>6</v>
      </c>
      <c r="I5" s="1">
        <v>0</v>
      </c>
      <c r="J5" s="1">
        <v>0</v>
      </c>
      <c r="K5" s="1">
        <v>4</v>
      </c>
      <c r="L5" s="1">
        <v>5</v>
      </c>
      <c r="M5" s="1">
        <v>1</v>
      </c>
      <c r="N5" s="1">
        <v>2</v>
      </c>
      <c r="O5" s="1">
        <v>0</v>
      </c>
      <c r="P5" s="2">
        <v>569.78633879781501</v>
      </c>
      <c r="Q5" s="2">
        <v>69.850819672131095</v>
      </c>
      <c r="R5" s="2">
        <v>-45.990163934426199</v>
      </c>
      <c r="S5" s="2">
        <v>33.105464480874303</v>
      </c>
      <c r="T5" s="2">
        <v>587.673224043716</v>
      </c>
      <c r="U5" s="2">
        <v>-1.1202185792349699</v>
      </c>
      <c r="V5" s="2">
        <v>-9.1819672131147492</v>
      </c>
      <c r="W5" s="2">
        <v>5.4229508196721197</v>
      </c>
      <c r="X5" s="3">
        <v>14.6557008244481</v>
      </c>
      <c r="Y5" s="3">
        <v>3.7102408883192202</v>
      </c>
      <c r="Z5" s="3">
        <v>-4.5013807079557902</v>
      </c>
      <c r="AA5" s="3">
        <v>13.153032668187899</v>
      </c>
      <c r="AB5" s="3">
        <v>138.593423190875</v>
      </c>
      <c r="AC5" s="3">
        <v>-0.89317224282086105</v>
      </c>
      <c r="AD5" s="3">
        <v>-20.232633746342501</v>
      </c>
      <c r="AE5" s="3">
        <v>8.1453757510095297</v>
      </c>
      <c r="AF5" s="20" t="str">
        <f>IF(Table1[[#This Row],[Not_allocated]]&gt;=6,Table1[[#Headers],[Not_allocated]],"")</f>
        <v/>
      </c>
      <c r="AG5" s="20" t="str">
        <f>IF(Table1[[#This Row],[Canteen]]&gt;=6,Table1[[#Headers],[Canteen]],"")</f>
        <v/>
      </c>
      <c r="AH5" s="20" t="str">
        <f>IF(Table1[[#This Row],[Data_centre]]&gt;=6,Table1[[#Headers],[Data_centre]],"")</f>
        <v/>
      </c>
      <c r="AI5" s="20" t="str">
        <f>IF(Table1[[#This Row],[Refrigeration_unit2]]&gt;=6,Table1[[#Headers],[Refrigeration_unit2]],"")</f>
        <v/>
      </c>
      <c r="AJ5" s="20" t="str">
        <f>IF(Table1[[#This Row],[Rectory]]&gt;=6,Table1[[#Headers],[Rectory]],"")</f>
        <v/>
      </c>
      <c r="AK5" s="20" t="str">
        <f>IF(Table1[[#This Row],[DIMAT]]&gt;=6,Table1[[#Headers],[DIMAT]],"")</f>
        <v/>
      </c>
      <c r="AL5" s="20" t="str">
        <f>IF(Table1[[#This Row],[Print_shop]]&gt;=6,Table1[[#Headers],[Print_shop]],"")</f>
        <v/>
      </c>
    </row>
    <row r="6" spans="2:38" hidden="1">
      <c r="B6" s="5">
        <v>43620</v>
      </c>
      <c r="C6" s="11">
        <v>0</v>
      </c>
      <c r="D6" s="5" t="s">
        <v>34</v>
      </c>
      <c r="E6" s="5" t="str">
        <f>TEXT(Table1[[#This Row],[Date]], "mmmm")</f>
        <v>June</v>
      </c>
      <c r="F6" s="5" t="str">
        <f>TEXT(Table1[[#This Row],[Date]], "dddd")</f>
        <v>Tuesday</v>
      </c>
      <c r="G6" s="1">
        <v>4</v>
      </c>
      <c r="H6" s="1">
        <v>6</v>
      </c>
      <c r="I6" s="1">
        <v>0</v>
      </c>
      <c r="J6" s="1">
        <v>0</v>
      </c>
      <c r="K6" s="1">
        <v>2</v>
      </c>
      <c r="L6" s="1">
        <v>6</v>
      </c>
      <c r="M6" s="1">
        <v>1</v>
      </c>
      <c r="N6" s="1">
        <v>2</v>
      </c>
      <c r="O6" s="1">
        <v>0</v>
      </c>
      <c r="P6" s="2">
        <v>323.99289617486301</v>
      </c>
      <c r="Q6" s="2">
        <v>19.005464480874299</v>
      </c>
      <c r="R6" s="2">
        <v>-16.8404371584699</v>
      </c>
      <c r="S6" s="2">
        <v>18.0251366120219</v>
      </c>
      <c r="T6" s="2">
        <v>329.66612021857901</v>
      </c>
      <c r="U6" s="2">
        <v>-0.80928961748634298</v>
      </c>
      <c r="V6" s="2">
        <v>-6.3464480874316997</v>
      </c>
      <c r="W6" s="2">
        <v>0.948633879781418</v>
      </c>
      <c r="X6" s="3">
        <v>19.6955317348771</v>
      </c>
      <c r="Y6" s="3">
        <v>1.8585532995466301</v>
      </c>
      <c r="Z6" s="3">
        <v>-14.1230924338939</v>
      </c>
      <c r="AA6" s="3">
        <v>13.265983245593199</v>
      </c>
      <c r="AB6" s="3">
        <v>143.125327690143</v>
      </c>
      <c r="AC6" s="3">
        <v>-1.32433157471162</v>
      </c>
      <c r="AD6" s="3">
        <v>-24.649800492401699</v>
      </c>
      <c r="AE6" s="3">
        <v>3.1152424362057101</v>
      </c>
      <c r="AF6" s="20" t="str">
        <f>IF(Table1[[#This Row],[Not_allocated]]&gt;=6,Table1[[#Headers],[Not_allocated]],"")</f>
        <v/>
      </c>
      <c r="AG6" s="20" t="str">
        <f>IF(Table1[[#This Row],[Canteen]]&gt;=6,Table1[[#Headers],[Canteen]],"")</f>
        <v/>
      </c>
      <c r="AH6" s="20" t="str">
        <f>IF(Table1[[#This Row],[Data_centre]]&gt;=6,Table1[[#Headers],[Data_centre]],"")</f>
        <v/>
      </c>
      <c r="AI6" s="20" t="str">
        <f>IF(Table1[[#This Row],[Refrigeration_unit2]]&gt;=6,Table1[[#Headers],[Refrigeration_unit2]],"")</f>
        <v>Refrigeration_unit2</v>
      </c>
      <c r="AJ6" s="20" t="str">
        <f>IF(Table1[[#This Row],[Rectory]]&gt;=6,Table1[[#Headers],[Rectory]],"")</f>
        <v/>
      </c>
      <c r="AK6" s="20" t="str">
        <f>IF(Table1[[#This Row],[DIMAT]]&gt;=6,Table1[[#Headers],[DIMAT]],"")</f>
        <v/>
      </c>
      <c r="AL6" s="20" t="str">
        <f>IF(Table1[[#This Row],[Print_shop]]&gt;=6,Table1[[#Headers],[Print_shop]],"")</f>
        <v/>
      </c>
    </row>
    <row r="7" spans="2:38" s="4" customFormat="1" hidden="1">
      <c r="B7" s="5">
        <v>43633</v>
      </c>
      <c r="C7" s="11">
        <v>0</v>
      </c>
      <c r="D7" s="5" t="s">
        <v>34</v>
      </c>
      <c r="E7" s="5" t="str">
        <f>TEXT(Table1[[#This Row],[Date]], "mmmm")</f>
        <v>June</v>
      </c>
      <c r="F7" s="5" t="str">
        <f>TEXT(Table1[[#This Row],[Date]], "dddd")</f>
        <v>Monday</v>
      </c>
      <c r="G7" s="1">
        <v>3</v>
      </c>
      <c r="H7" s="1">
        <v>6</v>
      </c>
      <c r="I7" s="1">
        <v>0</v>
      </c>
      <c r="J7" s="1">
        <v>0</v>
      </c>
      <c r="K7" s="1">
        <v>4</v>
      </c>
      <c r="L7" s="1">
        <v>6</v>
      </c>
      <c r="M7" s="1">
        <v>1</v>
      </c>
      <c r="N7" s="1">
        <v>2</v>
      </c>
      <c r="O7" s="1">
        <v>0</v>
      </c>
      <c r="P7" s="2">
        <v>532.68633879781396</v>
      </c>
      <c r="Q7" s="2">
        <v>30.2508196721312</v>
      </c>
      <c r="R7" s="2">
        <v>-55.390163934426297</v>
      </c>
      <c r="S7" s="2">
        <v>32.305464480874299</v>
      </c>
      <c r="T7" s="2">
        <v>620.27322404371603</v>
      </c>
      <c r="U7" s="2">
        <v>-13.220218579235</v>
      </c>
      <c r="V7" s="2">
        <v>-9.3819672131147591</v>
      </c>
      <c r="W7" s="2">
        <v>-1.7770491803278801</v>
      </c>
      <c r="X7" s="3">
        <v>13.7014369827873</v>
      </c>
      <c r="Y7" s="3">
        <v>1.6068219181899299</v>
      </c>
      <c r="Z7" s="3">
        <v>-5.4214248007560597</v>
      </c>
      <c r="AA7" s="3">
        <v>12.835187070805301</v>
      </c>
      <c r="AB7" s="3">
        <v>146.28161692026401</v>
      </c>
      <c r="AC7" s="3">
        <v>-10.5407395466171</v>
      </c>
      <c r="AD7" s="3">
        <v>-20.673337427301998</v>
      </c>
      <c r="AE7" s="3">
        <v>-2.6691618240914199</v>
      </c>
      <c r="AF7" s="20" t="str">
        <f>IF(Table1[[#This Row],[Not_allocated]]&gt;=6,Table1[[#Headers],[Not_allocated]],"")</f>
        <v/>
      </c>
      <c r="AG7" s="20" t="str">
        <f>IF(Table1[[#This Row],[Canteen]]&gt;=6,Table1[[#Headers],[Canteen]],"")</f>
        <v/>
      </c>
      <c r="AH7" s="20" t="str">
        <f>IF(Table1[[#This Row],[Data_centre]]&gt;=6,Table1[[#Headers],[Data_centre]],"")</f>
        <v/>
      </c>
      <c r="AI7" s="20" t="str">
        <f>IF(Table1[[#This Row],[Refrigeration_unit2]]&gt;=6,Table1[[#Headers],[Refrigeration_unit2]],"")</f>
        <v>Refrigeration_unit2</v>
      </c>
      <c r="AJ7" s="20" t="str">
        <f>IF(Table1[[#This Row],[Rectory]]&gt;=6,Table1[[#Headers],[Rectory]],"")</f>
        <v/>
      </c>
      <c r="AK7" s="20" t="str">
        <f>IF(Table1[[#This Row],[DIMAT]]&gt;=6,Table1[[#Headers],[DIMAT]],"")</f>
        <v/>
      </c>
      <c r="AL7" s="20" t="str">
        <f>IF(Table1[[#This Row],[Print_shop]]&gt;=6,Table1[[#Headers],[Print_shop]],"")</f>
        <v/>
      </c>
    </row>
    <row r="8" spans="2:38" s="4" customFormat="1" hidden="1">
      <c r="B8" s="5">
        <v>43633</v>
      </c>
      <c r="C8" s="11">
        <v>0</v>
      </c>
      <c r="D8" s="5" t="s">
        <v>34</v>
      </c>
      <c r="E8" s="5" t="str">
        <f>TEXT(Table1[[#This Row],[Date]], "mmmm")</f>
        <v>June</v>
      </c>
      <c r="F8" s="5" t="str">
        <f>TEXT(Table1[[#This Row],[Date]], "dddd")</f>
        <v>Monday</v>
      </c>
      <c r="G8" s="1">
        <v>4</v>
      </c>
      <c r="H8" s="1">
        <v>6</v>
      </c>
      <c r="I8" s="1">
        <v>0</v>
      </c>
      <c r="J8" s="1">
        <v>0</v>
      </c>
      <c r="K8" s="1">
        <v>2</v>
      </c>
      <c r="L8" s="1">
        <v>3</v>
      </c>
      <c r="M8" s="1">
        <v>1</v>
      </c>
      <c r="N8" s="1">
        <v>2</v>
      </c>
      <c r="O8" s="1">
        <v>0</v>
      </c>
      <c r="P8" s="2">
        <v>283.99289617486301</v>
      </c>
      <c r="Q8" s="2">
        <v>-5.0945355191256603</v>
      </c>
      <c r="R8" s="2">
        <v>4.4595628415300599</v>
      </c>
      <c r="S8" s="2">
        <v>17.225136612021899</v>
      </c>
      <c r="T8" s="2">
        <v>303.366120218579</v>
      </c>
      <c r="U8" s="2">
        <v>-8.9092896174863405</v>
      </c>
      <c r="V8" s="2">
        <v>-6.7464480874316903</v>
      </c>
      <c r="W8" s="2">
        <v>-0.65136612021857898</v>
      </c>
      <c r="X8" s="3">
        <v>17.263931293335698</v>
      </c>
      <c r="Y8" s="3">
        <v>-0.49819702161222301</v>
      </c>
      <c r="Z8" s="3">
        <v>3.7399752531964698</v>
      </c>
      <c r="AA8" s="3">
        <v>12.677206204680401</v>
      </c>
      <c r="AB8" s="3">
        <v>131.70712033612401</v>
      </c>
      <c r="AC8" s="3">
        <v>-14.5792721094518</v>
      </c>
      <c r="AD8" s="3">
        <v>-26.203412853383099</v>
      </c>
      <c r="AE8" s="3">
        <v>-2.1390374331550799</v>
      </c>
      <c r="AF8" s="20" t="str">
        <f>IF(Table1[[#This Row],[Not_allocated]]&gt;=6,Table1[[#Headers],[Not_allocated]],"")</f>
        <v/>
      </c>
      <c r="AG8" s="20" t="str">
        <f>IF(Table1[[#This Row],[Canteen]]&gt;=6,Table1[[#Headers],[Canteen]],"")</f>
        <v/>
      </c>
      <c r="AH8" s="20" t="str">
        <f>IF(Table1[[#This Row],[Data_centre]]&gt;=6,Table1[[#Headers],[Data_centre]],"")</f>
        <v/>
      </c>
      <c r="AI8" s="20" t="str">
        <f>IF(Table1[[#This Row],[Refrigeration_unit2]]&gt;=6,Table1[[#Headers],[Refrigeration_unit2]],"")</f>
        <v/>
      </c>
      <c r="AJ8" s="20" t="str">
        <f>IF(Table1[[#This Row],[Rectory]]&gt;=6,Table1[[#Headers],[Rectory]],"")</f>
        <v/>
      </c>
      <c r="AK8" s="20" t="str">
        <f>IF(Table1[[#This Row],[DIMAT]]&gt;=6,Table1[[#Headers],[DIMAT]],"")</f>
        <v/>
      </c>
      <c r="AL8" s="20" t="str">
        <f>IF(Table1[[#This Row],[Print_shop]]&gt;=6,Table1[[#Headers],[Print_shop]],"")</f>
        <v/>
      </c>
    </row>
    <row r="9" spans="2:38" s="4" customFormat="1" hidden="1">
      <c r="B9" s="5">
        <v>43637</v>
      </c>
      <c r="C9" s="11">
        <v>0</v>
      </c>
      <c r="D9" s="5" t="s">
        <v>34</v>
      </c>
      <c r="E9" s="5" t="str">
        <f>TEXT(Table1[[#This Row],[Date]], "mmmm")</f>
        <v>June</v>
      </c>
      <c r="F9" s="5" t="str">
        <f>TEXT(Table1[[#This Row],[Date]], "dddd")</f>
        <v>Friday</v>
      </c>
      <c r="G9" s="1">
        <v>4</v>
      </c>
      <c r="H9" s="1">
        <v>6</v>
      </c>
      <c r="I9" s="1">
        <v>0</v>
      </c>
      <c r="J9" s="1">
        <v>0</v>
      </c>
      <c r="K9" s="1">
        <v>2</v>
      </c>
      <c r="L9" s="1">
        <v>2</v>
      </c>
      <c r="M9" s="1">
        <v>1</v>
      </c>
      <c r="N9" s="1">
        <v>2</v>
      </c>
      <c r="O9" s="1">
        <v>0</v>
      </c>
      <c r="P9" s="2">
        <v>280.29289617486302</v>
      </c>
      <c r="Q9" s="2">
        <v>125.505464480874</v>
      </c>
      <c r="R9" s="2">
        <v>22.35956284153</v>
      </c>
      <c r="S9" s="2">
        <v>6.5251366120218703</v>
      </c>
      <c r="T9" s="2">
        <v>149.06612021857899</v>
      </c>
      <c r="U9" s="2">
        <v>-1.60928961748634</v>
      </c>
      <c r="V9" s="2">
        <v>-0.34644808743169597</v>
      </c>
      <c r="W9" s="2">
        <v>-1.55136612021858</v>
      </c>
      <c r="X9" s="3">
        <v>17.039008252493101</v>
      </c>
      <c r="Y9" s="3">
        <v>12.2732383287341</v>
      </c>
      <c r="Z9" s="3">
        <v>18.751661243756001</v>
      </c>
      <c r="AA9" s="3">
        <v>4.8023132824722303</v>
      </c>
      <c r="AB9" s="3">
        <v>64.717409510072102</v>
      </c>
      <c r="AC9" s="3">
        <v>-2.6334615040686802</v>
      </c>
      <c r="AD9" s="3">
        <v>-1.3456150776806299</v>
      </c>
      <c r="AE9" s="3">
        <v>-5.0945698596705302</v>
      </c>
      <c r="AF9" s="20" t="str">
        <f>IF(Table1[[#This Row],[Not_allocated]]&gt;=6,Table1[[#Headers],[Not_allocated]],"")</f>
        <v/>
      </c>
      <c r="AG9" s="20" t="str">
        <f>IF(Table1[[#This Row],[Canteen]]&gt;=6,Table1[[#Headers],[Canteen]],"")</f>
        <v/>
      </c>
      <c r="AH9" s="20" t="str">
        <f>IF(Table1[[#This Row],[Data_centre]]&gt;=6,Table1[[#Headers],[Data_centre]],"")</f>
        <v/>
      </c>
      <c r="AI9" s="20" t="str">
        <f>IF(Table1[[#This Row],[Refrigeration_unit2]]&gt;=6,Table1[[#Headers],[Refrigeration_unit2]],"")</f>
        <v/>
      </c>
      <c r="AJ9" s="20" t="str">
        <f>IF(Table1[[#This Row],[Rectory]]&gt;=6,Table1[[#Headers],[Rectory]],"")</f>
        <v/>
      </c>
      <c r="AK9" s="20" t="str">
        <f>IF(Table1[[#This Row],[DIMAT]]&gt;=6,Table1[[#Headers],[DIMAT]],"")</f>
        <v/>
      </c>
      <c r="AL9" s="20" t="str">
        <f>IF(Table1[[#This Row],[Print_shop]]&gt;=6,Table1[[#Headers],[Print_shop]],"")</f>
        <v/>
      </c>
    </row>
    <row r="10" spans="2:38" s="4" customFormat="1" hidden="1">
      <c r="B10" s="5">
        <v>43619</v>
      </c>
      <c r="C10" s="11">
        <v>0</v>
      </c>
      <c r="D10" s="5" t="s">
        <v>34</v>
      </c>
      <c r="E10" s="5" t="str">
        <f>TEXT(Table1[[#This Row],[Date]], "mmmm")</f>
        <v>June</v>
      </c>
      <c r="F10" s="5" t="str">
        <f>TEXT(Table1[[#This Row],[Date]], "dddd")</f>
        <v>Monday</v>
      </c>
      <c r="G10" s="1">
        <v>4</v>
      </c>
      <c r="H10" s="1">
        <v>7</v>
      </c>
      <c r="I10" s="1">
        <v>0</v>
      </c>
      <c r="J10" s="1">
        <v>0</v>
      </c>
      <c r="K10" s="1">
        <v>2</v>
      </c>
      <c r="L10" s="1">
        <v>4</v>
      </c>
      <c r="M10" s="1">
        <v>1</v>
      </c>
      <c r="N10" s="1">
        <v>2</v>
      </c>
      <c r="O10" s="1">
        <v>0</v>
      </c>
      <c r="P10" s="2">
        <v>351.89289617486298</v>
      </c>
      <c r="Q10" s="2">
        <v>43.205464480874298</v>
      </c>
      <c r="R10" s="2">
        <v>5.7595628415300597</v>
      </c>
      <c r="S10" s="2">
        <v>17.5251366120219</v>
      </c>
      <c r="T10" s="2">
        <v>314.366120218579</v>
      </c>
      <c r="U10" s="2">
        <v>-5.9092896174863396</v>
      </c>
      <c r="V10" s="2">
        <v>-5.8464480874316997</v>
      </c>
      <c r="W10" s="2">
        <v>2.3486338797814201</v>
      </c>
      <c r="X10" s="3">
        <v>21.391573042852301</v>
      </c>
      <c r="Y10" s="3">
        <v>4.2250826676812698</v>
      </c>
      <c r="Z10" s="3">
        <v>4.83020943128178</v>
      </c>
      <c r="AA10" s="3">
        <v>12.8979975950227</v>
      </c>
      <c r="AB10" s="3">
        <v>136.48279641575201</v>
      </c>
      <c r="AC10" s="3">
        <v>-9.6700348743628695</v>
      </c>
      <c r="AD10" s="3">
        <v>-22.707785041175001</v>
      </c>
      <c r="AE10" s="3">
        <v>7.7127373218964097</v>
      </c>
      <c r="AF10" s="20" t="str">
        <f>IF(Table1[[#This Row],[Not_allocated]]&gt;=6,Table1[[#Headers],[Not_allocated]],"")</f>
        <v/>
      </c>
      <c r="AG10" s="20" t="str">
        <f>IF(Table1[[#This Row],[Canteen]]&gt;=6,Table1[[#Headers],[Canteen]],"")</f>
        <v/>
      </c>
      <c r="AH10" s="20" t="str">
        <f>IF(Table1[[#This Row],[Data_centre]]&gt;=6,Table1[[#Headers],[Data_centre]],"")</f>
        <v/>
      </c>
      <c r="AI10" s="20" t="str">
        <f>IF(Table1[[#This Row],[Refrigeration_unit2]]&gt;=6,Table1[[#Headers],[Refrigeration_unit2]],"")</f>
        <v/>
      </c>
      <c r="AJ10" s="20" t="str">
        <f>IF(Table1[[#This Row],[Rectory]]&gt;=6,Table1[[#Headers],[Rectory]],"")</f>
        <v/>
      </c>
      <c r="AK10" s="20" t="str">
        <f>IF(Table1[[#This Row],[DIMAT]]&gt;=6,Table1[[#Headers],[DIMAT]],"")</f>
        <v/>
      </c>
      <c r="AL10" s="20" t="str">
        <f>IF(Table1[[#This Row],[Print_shop]]&gt;=6,Table1[[#Headers],[Print_shop]],"")</f>
        <v/>
      </c>
    </row>
    <row r="11" spans="2:38" s="4" customFormat="1" hidden="1">
      <c r="B11" s="5">
        <v>43662</v>
      </c>
      <c r="C11" s="11">
        <v>0</v>
      </c>
      <c r="D11" s="5" t="s">
        <v>34</v>
      </c>
      <c r="E11" s="5" t="str">
        <f>TEXT(Table1[[#This Row],[Date]], "mmmm")</f>
        <v>July</v>
      </c>
      <c r="F11" s="5" t="str">
        <f>TEXT(Table1[[#This Row],[Date]], "dddd")</f>
        <v>Tuesday</v>
      </c>
      <c r="G11" s="1">
        <v>4</v>
      </c>
      <c r="H11" s="1">
        <v>7</v>
      </c>
      <c r="I11" s="1">
        <v>0</v>
      </c>
      <c r="J11" s="1">
        <v>0</v>
      </c>
      <c r="K11" s="1">
        <v>2</v>
      </c>
      <c r="L11" s="1">
        <v>5</v>
      </c>
      <c r="M11" s="1">
        <v>1</v>
      </c>
      <c r="N11" s="1">
        <v>2</v>
      </c>
      <c r="O11" s="1">
        <v>0</v>
      </c>
      <c r="P11" s="2">
        <v>358.89289617486298</v>
      </c>
      <c r="Q11" s="2">
        <v>46.505464480874302</v>
      </c>
      <c r="R11" s="2">
        <v>14.0595628415301</v>
      </c>
      <c r="S11" s="2">
        <v>9.2251366120218599</v>
      </c>
      <c r="T11" s="2">
        <v>314.366120218579</v>
      </c>
      <c r="U11" s="2">
        <v>4.3907103825136602</v>
      </c>
      <c r="V11" s="2">
        <v>-9.5464480874317008</v>
      </c>
      <c r="W11" s="2">
        <v>-0.45136612021858002</v>
      </c>
      <c r="X11" s="3">
        <v>21.817103120122098</v>
      </c>
      <c r="Y11" s="3">
        <v>4.5477912178814304</v>
      </c>
      <c r="Z11" s="3">
        <v>11.790935337518899</v>
      </c>
      <c r="AA11" s="3">
        <v>6.7894357955527997</v>
      </c>
      <c r="AB11" s="3">
        <v>136.48279641575201</v>
      </c>
      <c r="AC11" s="3">
        <v>7.1850129661092703</v>
      </c>
      <c r="AD11" s="3">
        <v>-37.078699380252999</v>
      </c>
      <c r="AE11" s="3">
        <v>-1.48225244948498</v>
      </c>
      <c r="AF11" s="20" t="str">
        <f>IF(Table1[[#This Row],[Not_allocated]]&gt;=6,Table1[[#Headers],[Not_allocated]],"")</f>
        <v/>
      </c>
      <c r="AG11" s="20" t="str">
        <f>IF(Table1[[#This Row],[Canteen]]&gt;=6,Table1[[#Headers],[Canteen]],"")</f>
        <v/>
      </c>
      <c r="AH11" s="20" t="str">
        <f>IF(Table1[[#This Row],[Data_centre]]&gt;=6,Table1[[#Headers],[Data_centre]],"")</f>
        <v/>
      </c>
      <c r="AI11" s="20" t="str">
        <f>IF(Table1[[#This Row],[Refrigeration_unit2]]&gt;=6,Table1[[#Headers],[Refrigeration_unit2]],"")</f>
        <v/>
      </c>
      <c r="AJ11" s="20" t="str">
        <f>IF(Table1[[#This Row],[Rectory]]&gt;=6,Table1[[#Headers],[Rectory]],"")</f>
        <v/>
      </c>
      <c r="AK11" s="20" t="str">
        <f>IF(Table1[[#This Row],[DIMAT]]&gt;=6,Table1[[#Headers],[DIMAT]],"")</f>
        <v/>
      </c>
      <c r="AL11" s="20" t="str">
        <f>IF(Table1[[#This Row],[Print_shop]]&gt;=6,Table1[[#Headers],[Print_shop]],"")</f>
        <v/>
      </c>
    </row>
    <row r="12" spans="2:38" s="4" customFormat="1" hidden="1">
      <c r="B12" s="5">
        <v>43661</v>
      </c>
      <c r="C12" s="11">
        <v>1</v>
      </c>
      <c r="D12" s="5" t="s">
        <v>34</v>
      </c>
      <c r="E12" s="5" t="str">
        <f>TEXT(Table1[[#This Row],[Date]], "mmmm")</f>
        <v>July</v>
      </c>
      <c r="F12" s="5" t="str">
        <f>TEXT(Table1[[#This Row],[Date]], "dddd")</f>
        <v>Monday</v>
      </c>
      <c r="G12" s="1">
        <v>5</v>
      </c>
      <c r="H12" s="1">
        <v>8</v>
      </c>
      <c r="I12" s="1">
        <v>0</v>
      </c>
      <c r="J12" s="1">
        <v>0</v>
      </c>
      <c r="K12" s="1">
        <v>2</v>
      </c>
      <c r="L12" s="1">
        <v>8</v>
      </c>
      <c r="M12" s="1">
        <v>1</v>
      </c>
      <c r="N12" s="1">
        <v>1</v>
      </c>
      <c r="O12" s="1">
        <v>1</v>
      </c>
      <c r="P12" s="2">
        <v>342.64754098360697</v>
      </c>
      <c r="Q12" s="2">
        <v>11.0972677595629</v>
      </c>
      <c r="R12" s="2">
        <v>-1.74262295081967</v>
      </c>
      <c r="S12" s="2">
        <v>-9.0349726775956505</v>
      </c>
      <c r="T12" s="2">
        <v>350.45081967213099</v>
      </c>
      <c r="U12" s="2">
        <v>6.75081967213114</v>
      </c>
      <c r="V12" s="2">
        <v>6.75081967213114</v>
      </c>
      <c r="W12" s="2">
        <v>0.60601092896174902</v>
      </c>
      <c r="X12" s="3">
        <v>37.234080455470199</v>
      </c>
      <c r="Y12" s="3">
        <v>2.1173840693644599</v>
      </c>
      <c r="Z12" s="3">
        <v>-2.4738189434489102</v>
      </c>
      <c r="AA12" s="3">
        <v>-5.1121589240164003</v>
      </c>
      <c r="AB12" s="3">
        <v>675.90426204628795</v>
      </c>
      <c r="AC12" s="3">
        <v>11.771431838321501</v>
      </c>
      <c r="AD12" s="3">
        <v>11.771431838321501</v>
      </c>
      <c r="AE12" s="3">
        <v>22.494929006085201</v>
      </c>
      <c r="AF12" s="20" t="str">
        <f>IF(Table1[[#This Row],[Not_allocated]]&gt;=6,Table1[[#Headers],[Not_allocated]],"")</f>
        <v/>
      </c>
      <c r="AG12" s="20" t="str">
        <f>IF(Table1[[#This Row],[Canteen]]&gt;=6,Table1[[#Headers],[Canteen]],"")</f>
        <v/>
      </c>
      <c r="AH12" s="20" t="str">
        <f>IF(Table1[[#This Row],[Data_centre]]&gt;=6,Table1[[#Headers],[Data_centre]],"")</f>
        <v/>
      </c>
      <c r="AI12" s="20" t="str">
        <f>IF(Table1[[#This Row],[Refrigeration_unit2]]&gt;=6,Table1[[#Headers],[Refrigeration_unit2]],"")</f>
        <v>Refrigeration_unit2</v>
      </c>
      <c r="AJ12" s="20" t="str">
        <f>IF(Table1[[#This Row],[Rectory]]&gt;=6,Table1[[#Headers],[Rectory]],"")</f>
        <v/>
      </c>
      <c r="AK12" s="20" t="str">
        <f>IF(Table1[[#This Row],[DIMAT]]&gt;=6,Table1[[#Headers],[DIMAT]],"")</f>
        <v/>
      </c>
      <c r="AL12" s="20" t="str">
        <f>IF(Table1[[#This Row],[Print_shop]]&gt;=6,Table1[[#Headers],[Print_shop]],"")</f>
        <v/>
      </c>
    </row>
    <row r="13" spans="2:38" s="4" customFormat="1" hidden="1">
      <c r="B13" s="5">
        <v>43673</v>
      </c>
      <c r="C13" s="11">
        <v>0</v>
      </c>
      <c r="D13" s="5" t="s">
        <v>34</v>
      </c>
      <c r="E13" s="5" t="str">
        <f>TEXT(Table1[[#This Row],[Date]], "mmmm")</f>
        <v>July</v>
      </c>
      <c r="F13" s="5" t="str">
        <f>TEXT(Table1[[#This Row],[Date]], "dddd")</f>
        <v>Saturday</v>
      </c>
      <c r="G13" s="1">
        <v>1</v>
      </c>
      <c r="H13" s="1">
        <v>8</v>
      </c>
      <c r="I13" s="1">
        <v>0</v>
      </c>
      <c r="J13" s="1">
        <v>0</v>
      </c>
      <c r="K13" s="1">
        <v>0</v>
      </c>
      <c r="L13" s="1">
        <v>8</v>
      </c>
      <c r="M13" s="1">
        <v>3</v>
      </c>
      <c r="N13" s="1">
        <v>1</v>
      </c>
      <c r="O13" s="1">
        <v>8</v>
      </c>
      <c r="P13" s="2">
        <v>409.45531914893598</v>
      </c>
      <c r="Q13" s="2">
        <v>-15.2382978723404</v>
      </c>
      <c r="R13" s="2">
        <v>1.89148936170213</v>
      </c>
      <c r="S13" s="2">
        <v>10.0276595744681</v>
      </c>
      <c r="T13" s="2">
        <v>419.32340425531902</v>
      </c>
      <c r="U13" s="2">
        <v>6.7255319148936099</v>
      </c>
      <c r="V13" s="2">
        <v>-5.2531914893616998</v>
      </c>
      <c r="W13" s="2">
        <v>5.2510638297872303</v>
      </c>
      <c r="X13" s="3">
        <f>ABS(Table1[[#This Row],[Total_Power]]*Table1[[#This Row],[Total_Power_energy_absolute]])</f>
        <v>3275.6425531914879</v>
      </c>
      <c r="Y13" s="3">
        <f>ABS(Table1[[#This Row],[Not_allocated]]*Table1[[#This Row],[Not_allocated_energy_absolute]])</f>
        <v>0</v>
      </c>
      <c r="Z13" s="3">
        <f>ABS(Table1[[#This Row],[Canteen]]*Table1[[#This Row],[Canteen_energy_absolute]])</f>
        <v>0</v>
      </c>
      <c r="AA13" s="3">
        <f>ABS(Table1[[#This Row],[Data_centre]]*Table1[[#This Row],[Data_centre_energy_absolute]])</f>
        <v>0</v>
      </c>
      <c r="AB13" s="3">
        <f>ABS(Table1[[#This Row],[Refrigeration_unit2]]*Table1[[#This Row],[Refrigeration_unit2_energy_absolute]])</f>
        <v>3354.5872340425522</v>
      </c>
      <c r="AC13" s="3">
        <f>ABS(Table1[[#This Row],[Rectory]]*Table1[[#This Row],[Rectory_energy_absolute]])</f>
        <v>20.176595744680832</v>
      </c>
      <c r="AD13" s="3">
        <f>ABS(Table1[[#This Row],[DIMAT]]*Table1[[#This Row],[DIMAT_energy_absolute]])</f>
        <v>5.2531914893616998</v>
      </c>
      <c r="AE13" s="3">
        <f>ABS(Table1[[#This Row],[Print_shop]]*Table1[[#This Row],[Print_shop_energy_absolute]])</f>
        <v>42.008510638297842</v>
      </c>
      <c r="AF13" s="20" t="str">
        <f>IF(Table1[[#This Row],[Not_allocated]]&gt;=6,Table1[[#Headers],[Not_allocated]],"")</f>
        <v/>
      </c>
      <c r="AG13" s="20" t="str">
        <f>IF(Table1[[#This Row],[Canteen]]&gt;=6,Table1[[#Headers],[Canteen]],"")</f>
        <v/>
      </c>
      <c r="AH13" s="20" t="str">
        <f>IF(Table1[[#This Row],[Data_centre]]&gt;=6,Table1[[#Headers],[Data_centre]],"")</f>
        <v/>
      </c>
      <c r="AI13" s="20" t="str">
        <f>IF(Table1[[#This Row],[Refrigeration_unit2]]&gt;=6,Table1[[#Headers],[Refrigeration_unit2]],"")</f>
        <v>Refrigeration_unit2</v>
      </c>
      <c r="AJ13" s="20" t="str">
        <f>IF(Table1[[#This Row],[Rectory]]&gt;=6,Table1[[#Headers],[Rectory]],"")</f>
        <v/>
      </c>
      <c r="AK13" s="20" t="str">
        <f>IF(Table1[[#This Row],[DIMAT]]&gt;=6,Table1[[#Headers],[DIMAT]],"")</f>
        <v/>
      </c>
      <c r="AL13" s="20" t="str">
        <f>IF(Table1[[#This Row],[Print_shop]]&gt;=6,Table1[[#Headers],[Print_shop]],"")</f>
        <v>Print_shop</v>
      </c>
    </row>
    <row r="14" spans="2:38" s="4" customFormat="1" hidden="1">
      <c r="B14" s="5">
        <v>43645</v>
      </c>
      <c r="C14" s="11">
        <v>0</v>
      </c>
      <c r="D14" s="5" t="s">
        <v>34</v>
      </c>
      <c r="E14" s="5" t="str">
        <f>TEXT(Table1[[#This Row],[Date]], "mmmm")</f>
        <v>June</v>
      </c>
      <c r="F14" s="5" t="str">
        <f>TEXT(Table1[[#This Row],[Date]], "dddd")</f>
        <v>Saturday</v>
      </c>
      <c r="G14" s="1">
        <v>3</v>
      </c>
      <c r="H14" s="1">
        <v>6</v>
      </c>
      <c r="I14" s="1">
        <v>1</v>
      </c>
      <c r="J14" s="1">
        <v>0</v>
      </c>
      <c r="K14" s="1">
        <v>1</v>
      </c>
      <c r="L14" s="1">
        <v>8</v>
      </c>
      <c r="M14" s="1">
        <v>0</v>
      </c>
      <c r="N14" s="1">
        <v>1</v>
      </c>
      <c r="O14" s="1">
        <v>0</v>
      </c>
      <c r="P14" s="2">
        <v>636.52765957446798</v>
      </c>
      <c r="Q14" s="2">
        <v>36.365957446808501</v>
      </c>
      <c r="R14" s="2">
        <v>-3.7808510638297901</v>
      </c>
      <c r="S14" s="2">
        <v>11.174468085106399</v>
      </c>
      <c r="T14" s="2">
        <v>618.51489361702102</v>
      </c>
      <c r="U14" s="2">
        <v>-4.1382978723404298</v>
      </c>
      <c r="V14" s="2">
        <v>-5.6638297872340404</v>
      </c>
      <c r="W14" s="2">
        <v>0.77021276595744603</v>
      </c>
      <c r="X14" s="3">
        <v>34.775856557496198</v>
      </c>
      <c r="Y14" s="3">
        <v>3.60546599783149</v>
      </c>
      <c r="Z14" s="3">
        <v>-3.6501448144116</v>
      </c>
      <c r="AA14" s="3">
        <v>4.3594830376930904</v>
      </c>
      <c r="AB14" s="3">
        <v>184.69465551856501</v>
      </c>
      <c r="AC14" s="3">
        <v>-5.6581818181818297</v>
      </c>
      <c r="AD14" s="3">
        <v>-21.6475563145483</v>
      </c>
      <c r="AE14" s="3">
        <v>7.0469145415612102</v>
      </c>
      <c r="AF14" s="20" t="str">
        <f>IF(Table1[[#This Row],[Not_allocated]]&gt;=6,Table1[[#Headers],[Not_allocated]],"")</f>
        <v/>
      </c>
      <c r="AG14" s="20" t="str">
        <f>IF(Table1[[#This Row],[Canteen]]&gt;=6,Table1[[#Headers],[Canteen]],"")</f>
        <v/>
      </c>
      <c r="AH14" s="20" t="str">
        <f>IF(Table1[[#This Row],[Data_centre]]&gt;=6,Table1[[#Headers],[Data_centre]],"")</f>
        <v/>
      </c>
      <c r="AI14" s="20" t="str">
        <f>IF(Table1[[#This Row],[Refrigeration_unit2]]&gt;=6,Table1[[#Headers],[Refrigeration_unit2]],"")</f>
        <v>Refrigeration_unit2</v>
      </c>
      <c r="AJ14" s="20" t="str">
        <f>IF(Table1[[#This Row],[Rectory]]&gt;=6,Table1[[#Headers],[Rectory]],"")</f>
        <v/>
      </c>
      <c r="AK14" s="20" t="str">
        <f>IF(Table1[[#This Row],[DIMAT]]&gt;=6,Table1[[#Headers],[DIMAT]],"")</f>
        <v/>
      </c>
      <c r="AL14" s="20" t="str">
        <f>IF(Table1[[#This Row],[Print_shop]]&gt;=6,Table1[[#Headers],[Print_shop]],"")</f>
        <v/>
      </c>
    </row>
    <row r="15" spans="2:38" s="4" customFormat="1" hidden="1">
      <c r="B15" s="5">
        <v>43679</v>
      </c>
      <c r="C15" s="11">
        <v>0</v>
      </c>
      <c r="D15" s="5" t="s">
        <v>34</v>
      </c>
      <c r="E15" s="5" t="str">
        <f>TEXT(Table1[[#This Row],[Date]], "mmmm")</f>
        <v>August</v>
      </c>
      <c r="F15" s="5" t="str">
        <f>TEXT(Table1[[#This Row],[Date]], "dddd")</f>
        <v>Friday</v>
      </c>
      <c r="G15" s="1">
        <v>2</v>
      </c>
      <c r="H15" s="1">
        <v>6</v>
      </c>
      <c r="I15" s="1">
        <v>1</v>
      </c>
      <c r="J15" s="1">
        <v>0</v>
      </c>
      <c r="K15" s="1">
        <v>0</v>
      </c>
      <c r="L15" s="1">
        <v>3</v>
      </c>
      <c r="M15" s="1">
        <v>2</v>
      </c>
      <c r="N15" s="1">
        <v>1</v>
      </c>
      <c r="O15" s="1">
        <v>5</v>
      </c>
      <c r="P15" s="2">
        <v>281.95555555555597</v>
      </c>
      <c r="Q15" s="2">
        <v>7.7361111111110903</v>
      </c>
      <c r="R15" s="2">
        <v>24.491666666666699</v>
      </c>
      <c r="S15" s="2">
        <v>-6.6666666666677102E-2</v>
      </c>
      <c r="T15" s="2">
        <v>251.71666666666701</v>
      </c>
      <c r="U15" s="2">
        <v>0.96388888888888902</v>
      </c>
      <c r="V15" s="2">
        <v>-1.1444444444444399</v>
      </c>
      <c r="W15" s="2">
        <v>0.35555555555555601</v>
      </c>
      <c r="X15" s="3">
        <v>34.4165355612217</v>
      </c>
      <c r="Y15" s="3">
        <v>2.3879547617618599</v>
      </c>
      <c r="Z15" s="3">
        <v>10.7462795714651</v>
      </c>
      <c r="AA15" s="3">
        <v>-6.7911714770807499E-2</v>
      </c>
      <c r="AB15" s="3">
        <v>210.494773519164</v>
      </c>
      <c r="AC15" s="3">
        <v>3.1360144600090401</v>
      </c>
      <c r="AD15" s="3">
        <v>-10.9574468085106</v>
      </c>
      <c r="AE15" s="3">
        <v>5.6042031523642697</v>
      </c>
      <c r="AF15" s="20" t="str">
        <f>IF(Table1[[#This Row],[Not_allocated]]&gt;=6,Table1[[#Headers],[Not_allocated]],"")</f>
        <v/>
      </c>
      <c r="AG15" s="20" t="str">
        <f>IF(Table1[[#This Row],[Canteen]]&gt;=6,Table1[[#Headers],[Canteen]],"")</f>
        <v/>
      </c>
      <c r="AH15" s="20" t="str">
        <f>IF(Table1[[#This Row],[Data_centre]]&gt;=6,Table1[[#Headers],[Data_centre]],"")</f>
        <v/>
      </c>
      <c r="AI15" s="20" t="str">
        <f>IF(Table1[[#This Row],[Refrigeration_unit2]]&gt;=6,Table1[[#Headers],[Refrigeration_unit2]],"")</f>
        <v/>
      </c>
      <c r="AJ15" s="20" t="str">
        <f>IF(Table1[[#This Row],[Rectory]]&gt;=6,Table1[[#Headers],[Rectory]],"")</f>
        <v/>
      </c>
      <c r="AK15" s="20" t="str">
        <f>IF(Table1[[#This Row],[DIMAT]]&gt;=6,Table1[[#Headers],[DIMAT]],"")</f>
        <v/>
      </c>
      <c r="AL15" s="20" t="str">
        <f>IF(Table1[[#This Row],[Print_shop]]&gt;=6,Table1[[#Headers],[Print_shop]],"")</f>
        <v/>
      </c>
    </row>
    <row r="16" spans="2:38" s="4" customFormat="1" hidden="1">
      <c r="B16" s="5">
        <v>43652</v>
      </c>
      <c r="C16" s="11">
        <v>1</v>
      </c>
      <c r="D16" s="5" t="s">
        <v>34</v>
      </c>
      <c r="E16" s="5" t="str">
        <f>TEXT(Table1[[#This Row],[Date]], "mmmm")</f>
        <v>July</v>
      </c>
      <c r="F16" s="5" t="str">
        <f>TEXT(Table1[[#This Row],[Date]], "dddd")</f>
        <v>Saturday</v>
      </c>
      <c r="G16" s="1">
        <v>3</v>
      </c>
      <c r="H16" s="1">
        <v>8</v>
      </c>
      <c r="I16" s="1">
        <v>1</v>
      </c>
      <c r="J16" s="1">
        <v>0</v>
      </c>
      <c r="K16" s="1">
        <v>1</v>
      </c>
      <c r="L16" s="1">
        <v>8</v>
      </c>
      <c r="M16" s="1">
        <v>0</v>
      </c>
      <c r="N16" s="1">
        <v>1</v>
      </c>
      <c r="O16" s="1">
        <v>0</v>
      </c>
      <c r="P16" s="2">
        <v>895.92765957446795</v>
      </c>
      <c r="Q16" s="2">
        <v>140.16595744680799</v>
      </c>
      <c r="R16" s="2">
        <v>1.2191489361702099</v>
      </c>
      <c r="S16" s="2">
        <v>-1.7255319148936501</v>
      </c>
      <c r="T16" s="2">
        <v>774.11489361702104</v>
      </c>
      <c r="U16" s="2">
        <v>3.7617021276595799</v>
      </c>
      <c r="V16" s="2">
        <v>-5.5638297872340399</v>
      </c>
      <c r="W16" s="2">
        <v>0.67021276595744605</v>
      </c>
      <c r="X16" s="3">
        <v>48.947836447647603</v>
      </c>
      <c r="Y16" s="3">
        <v>13.8966118069941</v>
      </c>
      <c r="Z16" s="3">
        <v>1.17700223897459</v>
      </c>
      <c r="AA16" s="3">
        <v>-0.67317988262931605</v>
      </c>
      <c r="AB16" s="3">
        <v>231.158352181758</v>
      </c>
      <c r="AC16" s="3">
        <v>5.1432727272727297</v>
      </c>
      <c r="AD16" s="3">
        <v>-21.265349272180199</v>
      </c>
      <c r="AE16" s="3">
        <v>6.1319836480435903</v>
      </c>
      <c r="AF16" s="20" t="str">
        <f>IF(Table1[[#This Row],[Not_allocated]]&gt;=6,Table1[[#Headers],[Not_allocated]],"")</f>
        <v/>
      </c>
      <c r="AG16" s="20" t="str">
        <f>IF(Table1[[#This Row],[Canteen]]&gt;=6,Table1[[#Headers],[Canteen]],"")</f>
        <v/>
      </c>
      <c r="AH16" s="20" t="str">
        <f>IF(Table1[[#This Row],[Data_centre]]&gt;=6,Table1[[#Headers],[Data_centre]],"")</f>
        <v/>
      </c>
      <c r="AI16" s="20" t="str">
        <f>IF(Table1[[#This Row],[Refrigeration_unit2]]&gt;=6,Table1[[#Headers],[Refrigeration_unit2]],"")</f>
        <v>Refrigeration_unit2</v>
      </c>
      <c r="AJ16" s="20" t="str">
        <f>IF(Table1[[#This Row],[Rectory]]&gt;=6,Table1[[#Headers],[Rectory]],"")</f>
        <v/>
      </c>
      <c r="AK16" s="20" t="str">
        <f>IF(Table1[[#This Row],[DIMAT]]&gt;=6,Table1[[#Headers],[DIMAT]],"")</f>
        <v/>
      </c>
      <c r="AL16" s="20" t="str">
        <f>IF(Table1[[#This Row],[Print_shop]]&gt;=6,Table1[[#Headers],[Print_shop]],"")</f>
        <v/>
      </c>
    </row>
    <row r="17" spans="2:38" s="4" customFormat="1" hidden="1">
      <c r="B17" s="5">
        <v>43684</v>
      </c>
      <c r="C17" s="11">
        <v>0</v>
      </c>
      <c r="D17" s="5" t="s">
        <v>34</v>
      </c>
      <c r="E17" s="5" t="str">
        <f>TEXT(Table1[[#This Row],[Date]], "mmmm")</f>
        <v>August</v>
      </c>
      <c r="F17" s="5" t="str">
        <f>TEXT(Table1[[#This Row],[Date]], "dddd")</f>
        <v>Wednesday</v>
      </c>
      <c r="G17" s="1">
        <v>2</v>
      </c>
      <c r="H17" s="1">
        <v>8</v>
      </c>
      <c r="I17" s="1">
        <v>2</v>
      </c>
      <c r="J17" s="1">
        <v>0</v>
      </c>
      <c r="K17" s="1">
        <v>0</v>
      </c>
      <c r="L17" s="1">
        <v>4</v>
      </c>
      <c r="M17" s="1">
        <v>2</v>
      </c>
      <c r="N17" s="1">
        <v>1</v>
      </c>
      <c r="O17" s="1">
        <v>1</v>
      </c>
      <c r="P17" s="2">
        <v>355.95555555555597</v>
      </c>
      <c r="Q17" s="2">
        <v>34.336111111111101</v>
      </c>
      <c r="R17" s="2">
        <v>41.591666666666697</v>
      </c>
      <c r="S17" s="2">
        <v>5.3333333333333304</v>
      </c>
      <c r="T17" s="2">
        <v>276.61666666666702</v>
      </c>
      <c r="U17" s="2">
        <v>3.6638888888888901</v>
      </c>
      <c r="V17" s="2">
        <v>-0.844444444444445</v>
      </c>
      <c r="W17" s="2">
        <v>-2.6444444444444399</v>
      </c>
      <c r="X17" s="3">
        <v>43.449248630174203</v>
      </c>
      <c r="Y17" s="3">
        <v>10.598746430929401</v>
      </c>
      <c r="Z17" s="3">
        <v>18.249296135142099</v>
      </c>
      <c r="AA17" s="3">
        <v>5.4329371816638199</v>
      </c>
      <c r="AB17" s="3">
        <v>231.31707317073199</v>
      </c>
      <c r="AC17" s="3">
        <v>11.9204699502937</v>
      </c>
      <c r="AD17" s="3">
        <v>-8.0851063829787204</v>
      </c>
      <c r="AE17" s="3">
        <v>-41.681260945709298</v>
      </c>
      <c r="AF17" s="20" t="str">
        <f>IF(Table1[[#This Row],[Not_allocated]]&gt;=6,Table1[[#Headers],[Not_allocated]],"")</f>
        <v/>
      </c>
      <c r="AG17" s="20" t="str">
        <f>IF(Table1[[#This Row],[Canteen]]&gt;=6,Table1[[#Headers],[Canteen]],"")</f>
        <v/>
      </c>
      <c r="AH17" s="20" t="str">
        <f>IF(Table1[[#This Row],[Data_centre]]&gt;=6,Table1[[#Headers],[Data_centre]],"")</f>
        <v/>
      </c>
      <c r="AI17" s="20" t="str">
        <f>IF(Table1[[#This Row],[Refrigeration_unit2]]&gt;=6,Table1[[#Headers],[Refrigeration_unit2]],"")</f>
        <v/>
      </c>
      <c r="AJ17" s="20" t="str">
        <f>IF(Table1[[#This Row],[Rectory]]&gt;=6,Table1[[#Headers],[Rectory]],"")</f>
        <v/>
      </c>
      <c r="AK17" s="20" t="str">
        <f>IF(Table1[[#This Row],[DIMAT]]&gt;=6,Table1[[#Headers],[DIMAT]],"")</f>
        <v/>
      </c>
      <c r="AL17" s="20" t="str">
        <f>IF(Table1[[#This Row],[Print_shop]]&gt;=6,Table1[[#Headers],[Print_shop]],"")</f>
        <v/>
      </c>
    </row>
    <row r="18" spans="2:38" s="4" customFormat="1" hidden="1">
      <c r="B18" s="5">
        <v>43777</v>
      </c>
      <c r="C18" s="11">
        <v>0</v>
      </c>
      <c r="D18" s="5" t="s">
        <v>32</v>
      </c>
      <c r="E18" s="5" t="str">
        <f>TEXT(Table1[[#This Row],[Date]], "mmmm")</f>
        <v>November</v>
      </c>
      <c r="F18" s="5" t="str">
        <f>TEXT(Table1[[#This Row],[Date]], "dddd")</f>
        <v>Friday</v>
      </c>
      <c r="G18" s="1">
        <v>5</v>
      </c>
      <c r="H18" s="1">
        <v>7</v>
      </c>
      <c r="I18" s="1">
        <v>7</v>
      </c>
      <c r="J18" s="1">
        <v>0</v>
      </c>
      <c r="K18" s="1">
        <v>2</v>
      </c>
      <c r="L18" s="1">
        <v>0</v>
      </c>
      <c r="M18" s="1">
        <v>1</v>
      </c>
      <c r="N18" s="1">
        <v>1</v>
      </c>
      <c r="O18" s="1">
        <v>0</v>
      </c>
      <c r="P18" s="2">
        <v>205.647540983607</v>
      </c>
      <c r="Q18" s="2">
        <v>219.297267759563</v>
      </c>
      <c r="R18" s="2">
        <v>-7.1426229508196704</v>
      </c>
      <c r="S18" s="2">
        <v>5.3650273224043596</v>
      </c>
      <c r="T18" s="2">
        <v>-28.5491803278689</v>
      </c>
      <c r="U18" s="2">
        <v>3.4508196721311499</v>
      </c>
      <c r="V18" s="2">
        <v>3.4508196721311499</v>
      </c>
      <c r="W18" s="2">
        <v>0.106010928961749</v>
      </c>
      <c r="X18" s="3">
        <v>22.346861338834302</v>
      </c>
      <c r="Y18" s="3">
        <v>41.842420248814499</v>
      </c>
      <c r="Z18" s="3">
        <v>-10.139632301605801</v>
      </c>
      <c r="AA18" s="3">
        <v>3.0356342274097599</v>
      </c>
      <c r="AB18" s="3">
        <v>-55.061970405969397</v>
      </c>
      <c r="AC18" s="3">
        <v>6.0172083583454699</v>
      </c>
      <c r="AD18" s="3">
        <v>6.0172083583454699</v>
      </c>
      <c r="AE18" s="3">
        <v>3.9350912778904701</v>
      </c>
      <c r="AF18" s="20" t="str">
        <f>IF(Table1[[#This Row],[Not_allocated]]&gt;=6,Table1[[#Headers],[Not_allocated]],"")</f>
        <v>Not_allocated</v>
      </c>
      <c r="AG18" s="20" t="str">
        <f>IF(Table1[[#This Row],[Canteen]]&gt;=6,Table1[[#Headers],[Canteen]],"")</f>
        <v/>
      </c>
      <c r="AH18" s="20" t="str">
        <f>IF(Table1[[#This Row],[Data_centre]]&gt;=6,Table1[[#Headers],[Data_centre]],"")</f>
        <v/>
      </c>
      <c r="AI18" s="20" t="str">
        <f>IF(Table1[[#This Row],[Refrigeration_unit2]]&gt;=6,Table1[[#Headers],[Refrigeration_unit2]],"")</f>
        <v/>
      </c>
      <c r="AJ18" s="20" t="str">
        <f>IF(Table1[[#This Row],[Rectory]]&gt;=6,Table1[[#Headers],[Rectory]],"")</f>
        <v/>
      </c>
      <c r="AK18" s="20" t="str">
        <f>IF(Table1[[#This Row],[DIMAT]]&gt;=6,Table1[[#Headers],[DIMAT]],"")</f>
        <v/>
      </c>
      <c r="AL18" s="20" t="str">
        <f>IF(Table1[[#This Row],[Print_shop]]&gt;=6,Table1[[#Headers],[Print_shop]],"")</f>
        <v/>
      </c>
    </row>
    <row r="19" spans="2:38" s="4" customFormat="1" hidden="1">
      <c r="B19" s="5">
        <v>43659</v>
      </c>
      <c r="C19" s="11">
        <v>0</v>
      </c>
      <c r="D19" s="5" t="s">
        <v>34</v>
      </c>
      <c r="E19" s="5" t="str">
        <f>TEXT(Table1[[#This Row],[Date]], "mmmm")</f>
        <v>July</v>
      </c>
      <c r="F19" s="5" t="str">
        <f>TEXT(Table1[[#This Row],[Date]], "dddd")</f>
        <v>Saturday</v>
      </c>
      <c r="G19" s="1">
        <v>1</v>
      </c>
      <c r="H19" s="1">
        <v>7</v>
      </c>
      <c r="I19" s="1">
        <v>8</v>
      </c>
      <c r="J19" s="1">
        <v>0</v>
      </c>
      <c r="K19" s="1">
        <v>0</v>
      </c>
      <c r="L19" s="1">
        <v>5</v>
      </c>
      <c r="M19" s="1">
        <v>3</v>
      </c>
      <c r="N19" s="1">
        <v>1</v>
      </c>
      <c r="O19" s="1">
        <v>0</v>
      </c>
      <c r="P19" s="2">
        <v>365.05531914893601</v>
      </c>
      <c r="Q19" s="2">
        <v>247.16170212765999</v>
      </c>
      <c r="R19" s="2">
        <v>-1.10851063829787</v>
      </c>
      <c r="S19" s="2">
        <v>3.3276595744680701</v>
      </c>
      <c r="T19" s="2">
        <v>121.423404255319</v>
      </c>
      <c r="U19" s="2">
        <v>9.0255319148936195</v>
      </c>
      <c r="V19" s="2">
        <v>-1.5531914893617</v>
      </c>
      <c r="W19" s="2">
        <v>5.1063829787234102E-2</v>
      </c>
      <c r="X19" s="3">
        <f>ABS(Table1[[#This Row],[Total_Power]]*Table1[[#This Row],[Total_Power_energy_absolute]])</f>
        <v>2555.3872340425519</v>
      </c>
      <c r="Y19" s="3">
        <f>ABS(Table1[[#This Row],[Not_allocated]]*Table1[[#This Row],[Not_allocated_energy_absolute]])</f>
        <v>1977.2936170212799</v>
      </c>
      <c r="Z19" s="3">
        <f>ABS(Table1[[#This Row],[Canteen]]*Table1[[#This Row],[Canteen_energy_absolute]])</f>
        <v>0</v>
      </c>
      <c r="AA19" s="3">
        <f>ABS(Table1[[#This Row],[Data_centre]]*Table1[[#This Row],[Data_centre_energy_absolute]])</f>
        <v>0</v>
      </c>
      <c r="AB19" s="3">
        <f>ABS(Table1[[#This Row],[Refrigeration_unit2]]*Table1[[#This Row],[Refrigeration_unit2_energy_absolute]])</f>
        <v>607.11702127659498</v>
      </c>
      <c r="AC19" s="3">
        <f>ABS(Table1[[#This Row],[Rectory]]*Table1[[#This Row],[Rectory_energy_absolute]])</f>
        <v>27.076595744680859</v>
      </c>
      <c r="AD19" s="3">
        <f>ABS(Table1[[#This Row],[DIMAT]]*Table1[[#This Row],[DIMAT_energy_absolute]])</f>
        <v>1.5531914893617</v>
      </c>
      <c r="AE19" s="3">
        <f>ABS(Table1[[#This Row],[Print_shop]]*Table1[[#This Row],[Print_shop_energy_absolute]])</f>
        <v>0</v>
      </c>
      <c r="AF19" s="20" t="str">
        <f>IF(Table1[[#This Row],[Not_allocated]]&gt;=6,Table1[[#Headers],[Not_allocated]],"")</f>
        <v>Not_allocated</v>
      </c>
      <c r="AG19" s="20" t="str">
        <f>IF(Table1[[#This Row],[Canteen]]&gt;=6,Table1[[#Headers],[Canteen]],"")</f>
        <v/>
      </c>
      <c r="AH19" s="20" t="str">
        <f>IF(Table1[[#This Row],[Data_centre]]&gt;=6,Table1[[#Headers],[Data_centre]],"")</f>
        <v/>
      </c>
      <c r="AI19" s="20" t="str">
        <f>IF(Table1[[#This Row],[Refrigeration_unit2]]&gt;=6,Table1[[#Headers],[Refrigeration_unit2]],"")</f>
        <v/>
      </c>
      <c r="AJ19" s="20" t="str">
        <f>IF(Table1[[#This Row],[Rectory]]&gt;=6,Table1[[#Headers],[Rectory]],"")</f>
        <v/>
      </c>
      <c r="AK19" s="20" t="str">
        <f>IF(Table1[[#This Row],[DIMAT]]&gt;=6,Table1[[#Headers],[DIMAT]],"")</f>
        <v/>
      </c>
      <c r="AL19" s="20" t="str">
        <f>IF(Table1[[#This Row],[Print_shop]]&gt;=6,Table1[[#Headers],[Print_shop]],"")</f>
        <v/>
      </c>
    </row>
    <row r="20" spans="2:38" s="4" customFormat="1" hidden="1">
      <c r="B20" s="5">
        <v>43652</v>
      </c>
      <c r="C20" s="11">
        <v>1</v>
      </c>
      <c r="D20" s="5" t="s">
        <v>34</v>
      </c>
      <c r="E20" s="5" t="str">
        <f>TEXT(Table1[[#This Row],[Date]], "mmmm")</f>
        <v>July</v>
      </c>
      <c r="F20" s="5" t="str">
        <f>TEXT(Table1[[#This Row],[Date]], "dddd")</f>
        <v>Saturday</v>
      </c>
      <c r="G20" s="1">
        <v>1</v>
      </c>
      <c r="H20" s="1">
        <v>8</v>
      </c>
      <c r="I20" s="1">
        <v>8</v>
      </c>
      <c r="J20" s="1">
        <v>0</v>
      </c>
      <c r="K20" s="1">
        <v>0</v>
      </c>
      <c r="L20" s="1">
        <v>8</v>
      </c>
      <c r="M20" s="1">
        <v>1</v>
      </c>
      <c r="N20" s="1">
        <v>1</v>
      </c>
      <c r="O20" s="1">
        <v>1</v>
      </c>
      <c r="P20" s="2">
        <v>537.45531914893604</v>
      </c>
      <c r="Q20" s="2">
        <v>330.36170212766001</v>
      </c>
      <c r="R20" s="2">
        <v>3.59148936170212</v>
      </c>
      <c r="S20" s="2">
        <v>3.9276595744680698</v>
      </c>
      <c r="T20" s="2">
        <v>220.92340425531901</v>
      </c>
      <c r="U20" s="2">
        <v>-2.4744680851063801</v>
      </c>
      <c r="V20" s="2">
        <v>-5.7531914893616998</v>
      </c>
      <c r="W20" s="2">
        <v>0.15106382978723401</v>
      </c>
      <c r="X20" s="3">
        <f>ABS(Table1[[#This Row],[Total_Power]]*Table1[[#This Row],[Total_Power_energy_absolute]])</f>
        <v>4299.6425531914883</v>
      </c>
      <c r="Y20" s="3">
        <f>ABS(Table1[[#This Row],[Not_allocated]]*Table1[[#This Row],[Not_allocated_energy_absolute]])</f>
        <v>2642.8936170212801</v>
      </c>
      <c r="Z20" s="3">
        <f>ABS(Table1[[#This Row],[Canteen]]*Table1[[#This Row],[Canteen_energy_absolute]])</f>
        <v>0</v>
      </c>
      <c r="AA20" s="3">
        <f>ABS(Table1[[#This Row],[Data_centre]]*Table1[[#This Row],[Data_centre_energy_absolute]])</f>
        <v>0</v>
      </c>
      <c r="AB20" s="3">
        <f>ABS(Table1[[#This Row],[Refrigeration_unit2]]*Table1[[#This Row],[Refrigeration_unit2_energy_absolute]])</f>
        <v>1767.3872340425521</v>
      </c>
      <c r="AC20" s="3">
        <f>ABS(Table1[[#This Row],[Rectory]]*Table1[[#This Row],[Rectory_energy_absolute]])</f>
        <v>2.4744680851063801</v>
      </c>
      <c r="AD20" s="3">
        <f>ABS(Table1[[#This Row],[DIMAT]]*Table1[[#This Row],[DIMAT_energy_absolute]])</f>
        <v>5.7531914893616998</v>
      </c>
      <c r="AE20" s="3">
        <f>ABS(Table1[[#This Row],[Print_shop]]*Table1[[#This Row],[Print_shop_energy_absolute]])</f>
        <v>0.15106382978723401</v>
      </c>
      <c r="AF20" s="20" t="str">
        <f>IF(Table1[[#This Row],[Not_allocated]]&gt;=6,Table1[[#Headers],[Not_allocated]],"")</f>
        <v>Not_allocated</v>
      </c>
      <c r="AG20" s="20" t="str">
        <f>IF(Table1[[#This Row],[Canteen]]&gt;=6,Table1[[#Headers],[Canteen]],"")</f>
        <v/>
      </c>
      <c r="AH20" s="20" t="str">
        <f>IF(Table1[[#This Row],[Data_centre]]&gt;=6,Table1[[#Headers],[Data_centre]],"")</f>
        <v/>
      </c>
      <c r="AI20" s="20" t="str">
        <f>IF(Table1[[#This Row],[Refrigeration_unit2]]&gt;=6,Table1[[#Headers],[Refrigeration_unit2]],"")</f>
        <v>Refrigeration_unit2</v>
      </c>
      <c r="AJ20" s="20" t="str">
        <f>IF(Table1[[#This Row],[Rectory]]&gt;=6,Table1[[#Headers],[Rectory]],"")</f>
        <v/>
      </c>
      <c r="AK20" s="20" t="str">
        <f>IF(Table1[[#This Row],[DIMAT]]&gt;=6,Table1[[#Headers],[DIMAT]],"")</f>
        <v/>
      </c>
      <c r="AL20" s="20" t="str">
        <f>IF(Table1[[#This Row],[Print_shop]]&gt;=6,Table1[[#Headers],[Print_shop]],"")</f>
        <v/>
      </c>
    </row>
    <row r="21" spans="2:38" s="4" customFormat="1" hidden="1">
      <c r="B21" s="5">
        <v>43652</v>
      </c>
      <c r="C21" s="11">
        <v>1</v>
      </c>
      <c r="D21" s="5" t="s">
        <v>34</v>
      </c>
      <c r="E21" s="5" t="str">
        <f>TEXT(Table1[[#This Row],[Date]], "mmmm")</f>
        <v>July</v>
      </c>
      <c r="F21" s="5" t="str">
        <f>TEXT(Table1[[#This Row],[Date]], "dddd")</f>
        <v>Saturday</v>
      </c>
      <c r="G21" s="1">
        <v>2</v>
      </c>
      <c r="H21" s="1">
        <v>8</v>
      </c>
      <c r="I21" s="1">
        <v>8</v>
      </c>
      <c r="J21" s="1">
        <v>0</v>
      </c>
      <c r="K21" s="1">
        <v>1</v>
      </c>
      <c r="L21" s="1">
        <v>8</v>
      </c>
      <c r="M21" s="1">
        <v>0</v>
      </c>
      <c r="N21" s="1">
        <v>2</v>
      </c>
      <c r="O21" s="1">
        <v>0</v>
      </c>
      <c r="P21" s="2">
        <v>408.97021276595802</v>
      </c>
      <c r="Q21" s="2">
        <v>134.940425531915</v>
      </c>
      <c r="R21" s="2">
        <v>0.73404255319148604</v>
      </c>
      <c r="S21" s="2">
        <v>1.5510638297872399</v>
      </c>
      <c r="T21" s="2">
        <v>280.42127659574498</v>
      </c>
      <c r="U21" s="2">
        <v>-0.52553191489361595</v>
      </c>
      <c r="V21" s="2">
        <v>-2.6702127659574502</v>
      </c>
      <c r="W21" s="2">
        <v>0.35531914893617</v>
      </c>
      <c r="X21" s="3">
        <v>59.251313161204401</v>
      </c>
      <c r="Y21" s="3">
        <v>38.307099455188997</v>
      </c>
      <c r="Z21" s="3">
        <v>1.9488222335197301</v>
      </c>
      <c r="AA21" s="3">
        <v>1.60984012013075</v>
      </c>
      <c r="AB21" s="3">
        <v>180.12819636731399</v>
      </c>
      <c r="AC21" s="3">
        <v>-1.86190260817126</v>
      </c>
      <c r="AD21" s="3">
        <v>-25.261674718196499</v>
      </c>
      <c r="AE21" s="3">
        <v>9.7489784004670206</v>
      </c>
      <c r="AF21" s="20" t="str">
        <f>IF(Table1[[#This Row],[Not_allocated]]&gt;=6,Table1[[#Headers],[Not_allocated]],"")</f>
        <v>Not_allocated</v>
      </c>
      <c r="AG21" s="20" t="str">
        <f>IF(Table1[[#This Row],[Canteen]]&gt;=6,Table1[[#Headers],[Canteen]],"")</f>
        <v/>
      </c>
      <c r="AH21" s="20" t="str">
        <f>IF(Table1[[#This Row],[Data_centre]]&gt;=6,Table1[[#Headers],[Data_centre]],"")</f>
        <v/>
      </c>
      <c r="AI21" s="20" t="str">
        <f>IF(Table1[[#This Row],[Refrigeration_unit2]]&gt;=6,Table1[[#Headers],[Refrigeration_unit2]],"")</f>
        <v>Refrigeration_unit2</v>
      </c>
      <c r="AJ21" s="20" t="str">
        <f>IF(Table1[[#This Row],[Rectory]]&gt;=6,Table1[[#Headers],[Rectory]],"")</f>
        <v/>
      </c>
      <c r="AK21" s="20" t="str">
        <f>IF(Table1[[#This Row],[DIMAT]]&gt;=6,Table1[[#Headers],[DIMAT]],"")</f>
        <v/>
      </c>
      <c r="AL21" s="20" t="str">
        <f>IF(Table1[[#This Row],[Print_shop]]&gt;=6,Table1[[#Headers],[Print_shop]],"")</f>
        <v/>
      </c>
    </row>
    <row r="22" spans="2:38" s="4" customFormat="1" hidden="1">
      <c r="B22" s="5">
        <v>43776</v>
      </c>
      <c r="C22" s="11">
        <v>0</v>
      </c>
      <c r="D22" s="5" t="s">
        <v>32</v>
      </c>
      <c r="E22" s="5" t="str">
        <f>TEXT(Table1[[#This Row],[Date]], "mmmm")</f>
        <v>November</v>
      </c>
      <c r="F22" s="5" t="str">
        <f>TEXT(Table1[[#This Row],[Date]], "dddd")</f>
        <v>Thursday</v>
      </c>
      <c r="G22" s="1">
        <v>5</v>
      </c>
      <c r="H22" s="1">
        <v>8</v>
      </c>
      <c r="I22" s="1">
        <v>8</v>
      </c>
      <c r="J22" s="1">
        <v>0</v>
      </c>
      <c r="K22" s="1">
        <v>2</v>
      </c>
      <c r="L22" s="1">
        <v>0</v>
      </c>
      <c r="M22" s="1">
        <v>1</v>
      </c>
      <c r="N22" s="1">
        <v>1</v>
      </c>
      <c r="O22" s="1">
        <v>1</v>
      </c>
      <c r="P22" s="2">
        <v>263.04754098360598</v>
      </c>
      <c r="Q22" s="2">
        <v>280.797267759563</v>
      </c>
      <c r="R22" s="2">
        <v>-7.5426229508196698</v>
      </c>
      <c r="S22" s="2">
        <v>1.3650273224043601</v>
      </c>
      <c r="T22" s="2">
        <v>-29.249180327868899</v>
      </c>
      <c r="U22" s="2">
        <v>3.55081967213115</v>
      </c>
      <c r="V22" s="2">
        <v>3.55081967213115</v>
      </c>
      <c r="W22" s="2">
        <v>0.30601092896174897</v>
      </c>
      <c r="X22" s="3">
        <v>28.5842801512058</v>
      </c>
      <c r="Y22" s="3">
        <v>53.576760907009401</v>
      </c>
      <c r="Z22" s="3">
        <v>-10.7074703281359</v>
      </c>
      <c r="AA22" s="3">
        <v>0.77235835201359104</v>
      </c>
      <c r="AB22" s="3">
        <v>-56.412039964588303</v>
      </c>
      <c r="AC22" s="3">
        <v>6.1915787668296103</v>
      </c>
      <c r="AD22" s="3">
        <v>6.1915787668296103</v>
      </c>
      <c r="AE22" s="3">
        <v>11.3590263691683</v>
      </c>
      <c r="AF22" s="20" t="str">
        <f>IF(Table1[[#This Row],[Not_allocated]]&gt;=6,Table1[[#Headers],[Not_allocated]],"")</f>
        <v>Not_allocated</v>
      </c>
      <c r="AG22" s="20" t="str">
        <f>IF(Table1[[#This Row],[Canteen]]&gt;=6,Table1[[#Headers],[Canteen]],"")</f>
        <v/>
      </c>
      <c r="AH22" s="20" t="str">
        <f>IF(Table1[[#This Row],[Data_centre]]&gt;=6,Table1[[#Headers],[Data_centre]],"")</f>
        <v/>
      </c>
      <c r="AI22" s="20" t="str">
        <f>IF(Table1[[#This Row],[Refrigeration_unit2]]&gt;=6,Table1[[#Headers],[Refrigeration_unit2]],"")</f>
        <v/>
      </c>
      <c r="AJ22" s="20" t="str">
        <f>IF(Table1[[#This Row],[Rectory]]&gt;=6,Table1[[#Headers],[Rectory]],"")</f>
        <v/>
      </c>
      <c r="AK22" s="20" t="str">
        <f>IF(Table1[[#This Row],[DIMAT]]&gt;=6,Table1[[#Headers],[DIMAT]],"")</f>
        <v/>
      </c>
      <c r="AL22" s="20" t="str">
        <f>IF(Table1[[#This Row],[Print_shop]]&gt;=6,Table1[[#Headers],[Print_shop]],"")</f>
        <v/>
      </c>
    </row>
    <row r="23" spans="2:38" s="4" customFormat="1" hidden="1">
      <c r="B23" s="5">
        <v>43689</v>
      </c>
      <c r="C23" s="11">
        <v>1</v>
      </c>
      <c r="D23" s="5" t="s">
        <v>34</v>
      </c>
      <c r="E23" s="5" t="str">
        <f>TEXT(Table1[[#This Row],[Date]], "mmmm")</f>
        <v>August</v>
      </c>
      <c r="F23" s="5" t="str">
        <f>TEXT(Table1[[#This Row],[Date]], "dddd")</f>
        <v>Monday</v>
      </c>
      <c r="G23" s="1">
        <v>3</v>
      </c>
      <c r="H23" s="1">
        <v>7</v>
      </c>
      <c r="I23" s="1">
        <v>0</v>
      </c>
      <c r="J23" s="1">
        <v>1</v>
      </c>
      <c r="K23" s="1">
        <v>5</v>
      </c>
      <c r="L23" s="1">
        <v>8</v>
      </c>
      <c r="M23" s="1">
        <v>5</v>
      </c>
      <c r="N23" s="1">
        <v>1</v>
      </c>
      <c r="O23" s="1">
        <v>0</v>
      </c>
      <c r="P23" s="2">
        <v>432.94200000000001</v>
      </c>
      <c r="Q23" s="2">
        <v>-44.526000000000003</v>
      </c>
      <c r="R23" s="2">
        <v>71.134666666666703</v>
      </c>
      <c r="S23" s="2">
        <v>56.382666666666701</v>
      </c>
      <c r="T23" s="2">
        <v>356.66533333333302</v>
      </c>
      <c r="U23" s="2">
        <v>17.386666666666699</v>
      </c>
      <c r="V23" s="2">
        <v>-8.484</v>
      </c>
      <c r="W23" s="2">
        <v>-1.6080000000000001</v>
      </c>
      <c r="X23" s="3">
        <v>46.231865177082199</v>
      </c>
      <c r="Y23" s="3">
        <v>-11.6308714664103</v>
      </c>
      <c r="Z23" s="3">
        <v>55.157975269840001</v>
      </c>
      <c r="AA23" s="3">
        <v>22.452717985749</v>
      </c>
      <c r="AB23" s="3">
        <v>541.75915424497703</v>
      </c>
      <c r="AC23" s="3">
        <v>25.639009044435699</v>
      </c>
      <c r="AD23" s="3">
        <v>-37.733499377335001</v>
      </c>
      <c r="AE23" s="3">
        <v>-47.183098591549303</v>
      </c>
      <c r="AF23" s="20" t="str">
        <f>IF(Table1[[#This Row],[Not_allocated]]&gt;=6,Table1[[#Headers],[Not_allocated]],"")</f>
        <v/>
      </c>
      <c r="AG23" s="20" t="str">
        <f>IF(Table1[[#This Row],[Canteen]]&gt;=6,Table1[[#Headers],[Canteen]],"")</f>
        <v/>
      </c>
      <c r="AH23" s="20" t="str">
        <f>IF(Table1[[#This Row],[Data_centre]]&gt;=6,Table1[[#Headers],[Data_centre]],"")</f>
        <v/>
      </c>
      <c r="AI23" s="20" t="str">
        <f>IF(Table1[[#This Row],[Refrigeration_unit2]]&gt;=6,Table1[[#Headers],[Refrigeration_unit2]],"")</f>
        <v>Refrigeration_unit2</v>
      </c>
      <c r="AJ23" s="20" t="str">
        <f>IF(Table1[[#This Row],[Rectory]]&gt;=6,Table1[[#Headers],[Rectory]],"")</f>
        <v/>
      </c>
      <c r="AK23" s="20" t="str">
        <f>IF(Table1[[#This Row],[DIMAT]]&gt;=6,Table1[[#Headers],[DIMAT]],"")</f>
        <v/>
      </c>
      <c r="AL23" s="20" t="str">
        <f>IF(Table1[[#This Row],[Print_shop]]&gt;=6,Table1[[#Headers],[Print_shop]],"")</f>
        <v/>
      </c>
    </row>
    <row r="24" spans="2:38" s="4" customFormat="1" hidden="1">
      <c r="B24" s="5">
        <v>43626</v>
      </c>
      <c r="C24" s="11">
        <v>0</v>
      </c>
      <c r="D24" s="5" t="s">
        <v>34</v>
      </c>
      <c r="E24" s="5" t="str">
        <f>TEXT(Table1[[#This Row],[Date]], "mmmm")</f>
        <v>June</v>
      </c>
      <c r="F24" s="5" t="str">
        <f>TEXT(Table1[[#This Row],[Date]], "dddd")</f>
        <v>Monday</v>
      </c>
      <c r="G24" s="1">
        <v>2</v>
      </c>
      <c r="H24" s="1">
        <v>6</v>
      </c>
      <c r="I24" s="1">
        <v>1</v>
      </c>
      <c r="J24" s="1">
        <v>1</v>
      </c>
      <c r="K24" s="1">
        <v>2</v>
      </c>
      <c r="L24" s="1">
        <v>5</v>
      </c>
      <c r="M24" s="1">
        <v>1</v>
      </c>
      <c r="N24" s="1">
        <v>4</v>
      </c>
      <c r="O24" s="1">
        <v>0</v>
      </c>
      <c r="P24" s="2">
        <v>130.18251366120199</v>
      </c>
      <c r="Q24" s="2">
        <v>-27.927745901639401</v>
      </c>
      <c r="R24" s="2">
        <v>-8.9775956284153207</v>
      </c>
      <c r="S24" s="2">
        <v>10.3036990332072</v>
      </c>
      <c r="T24" s="2">
        <v>181.96393442623</v>
      </c>
      <c r="U24" s="2">
        <v>-3.7502732240437102</v>
      </c>
      <c r="V24" s="2">
        <v>-2.8786885245901699</v>
      </c>
      <c r="W24" s="2">
        <v>0.31693989071038298</v>
      </c>
      <c r="X24" s="3">
        <v>12.048163524156401</v>
      </c>
      <c r="Y24" s="3">
        <v>-6.1879080458141802</v>
      </c>
      <c r="Z24" s="3">
        <v>-2.81184641557615</v>
      </c>
      <c r="AA24" s="3">
        <v>10.8807830168788</v>
      </c>
      <c r="AB24" s="3">
        <v>129.84803996116199</v>
      </c>
      <c r="AC24" s="3">
        <v>-11.3816149521551</v>
      </c>
      <c r="AD24" s="3">
        <v>-22.885442460576101</v>
      </c>
      <c r="AE24" s="3">
        <v>2.9667519181585802</v>
      </c>
      <c r="AF24" s="20" t="str">
        <f>IF(Table1[[#This Row],[Not_allocated]]&gt;=6,Table1[[#Headers],[Not_allocated]],"")</f>
        <v/>
      </c>
      <c r="AG24" s="20" t="str">
        <f>IF(Table1[[#This Row],[Canteen]]&gt;=6,Table1[[#Headers],[Canteen]],"")</f>
        <v/>
      </c>
      <c r="AH24" s="20" t="str">
        <f>IF(Table1[[#This Row],[Data_centre]]&gt;=6,Table1[[#Headers],[Data_centre]],"")</f>
        <v/>
      </c>
      <c r="AI24" s="20" t="str">
        <f>IF(Table1[[#This Row],[Refrigeration_unit2]]&gt;=6,Table1[[#Headers],[Refrigeration_unit2]],"")</f>
        <v/>
      </c>
      <c r="AJ24" s="20" t="str">
        <f>IF(Table1[[#This Row],[Rectory]]&gt;=6,Table1[[#Headers],[Rectory]],"")</f>
        <v/>
      </c>
      <c r="AK24" s="20" t="str">
        <f>IF(Table1[[#This Row],[DIMAT]]&gt;=6,Table1[[#Headers],[DIMAT]],"")</f>
        <v/>
      </c>
      <c r="AL24" s="20" t="str">
        <f>IF(Table1[[#This Row],[Print_shop]]&gt;=6,Table1[[#Headers],[Print_shop]],"")</f>
        <v/>
      </c>
    </row>
    <row r="25" spans="2:38" s="4" customFormat="1" hidden="1">
      <c r="B25" s="5">
        <v>43637</v>
      </c>
      <c r="C25" s="11">
        <v>0</v>
      </c>
      <c r="D25" s="5" t="s">
        <v>34</v>
      </c>
      <c r="E25" s="5" t="str">
        <f>TEXT(Table1[[#This Row],[Date]], "mmmm")</f>
        <v>June</v>
      </c>
      <c r="F25" s="5" t="str">
        <f>TEXT(Table1[[#This Row],[Date]], "dddd")</f>
        <v>Friday</v>
      </c>
      <c r="G25" s="1">
        <v>2</v>
      </c>
      <c r="H25" s="1">
        <v>6</v>
      </c>
      <c r="I25" s="1">
        <v>1</v>
      </c>
      <c r="J25" s="1">
        <v>1</v>
      </c>
      <c r="K25" s="1">
        <v>2</v>
      </c>
      <c r="L25" s="1">
        <v>5</v>
      </c>
      <c r="M25" s="1">
        <v>1</v>
      </c>
      <c r="N25" s="1">
        <v>1</v>
      </c>
      <c r="O25" s="1">
        <v>0</v>
      </c>
      <c r="P25" s="2">
        <v>157.88251366120201</v>
      </c>
      <c r="Q25" s="2">
        <v>27.572254098360599</v>
      </c>
      <c r="R25" s="2">
        <v>-29.277595628415298</v>
      </c>
      <c r="S25" s="2">
        <v>11.0036990332072</v>
      </c>
      <c r="T25" s="2">
        <v>172.66393442623001</v>
      </c>
      <c r="U25" s="2">
        <v>-3.3502732240437099</v>
      </c>
      <c r="V25" s="2">
        <v>-1.5786885245901601</v>
      </c>
      <c r="W25" s="2">
        <v>-0.283060109289616</v>
      </c>
      <c r="X25" s="3">
        <v>14.6117499862189</v>
      </c>
      <c r="Y25" s="3">
        <v>6.1091422693896797</v>
      </c>
      <c r="Z25" s="3">
        <v>-9.1699499210992101</v>
      </c>
      <c r="AA25" s="3">
        <v>11.619988236991301</v>
      </c>
      <c r="AB25" s="3">
        <v>123.211632722296</v>
      </c>
      <c r="AC25" s="3">
        <v>-10.167664472047599</v>
      </c>
      <c r="AD25" s="3">
        <v>-12.5505017594161</v>
      </c>
      <c r="AE25" s="3">
        <v>-2.6496163682864302</v>
      </c>
      <c r="AF25" s="20" t="str">
        <f>IF(Table1[[#This Row],[Not_allocated]]&gt;=6,Table1[[#Headers],[Not_allocated]],"")</f>
        <v/>
      </c>
      <c r="AG25" s="20" t="str">
        <f>IF(Table1[[#This Row],[Canteen]]&gt;=6,Table1[[#Headers],[Canteen]],"")</f>
        <v/>
      </c>
      <c r="AH25" s="20" t="str">
        <f>IF(Table1[[#This Row],[Data_centre]]&gt;=6,Table1[[#Headers],[Data_centre]],"")</f>
        <v/>
      </c>
      <c r="AI25" s="20" t="str">
        <f>IF(Table1[[#This Row],[Refrigeration_unit2]]&gt;=6,Table1[[#Headers],[Refrigeration_unit2]],"")</f>
        <v/>
      </c>
      <c r="AJ25" s="20" t="str">
        <f>IF(Table1[[#This Row],[Rectory]]&gt;=6,Table1[[#Headers],[Rectory]],"")</f>
        <v/>
      </c>
      <c r="AK25" s="20" t="str">
        <f>IF(Table1[[#This Row],[DIMAT]]&gt;=6,Table1[[#Headers],[DIMAT]],"")</f>
        <v/>
      </c>
      <c r="AL25" s="20" t="str">
        <f>IF(Table1[[#This Row],[Print_shop]]&gt;=6,Table1[[#Headers],[Print_shop]],"")</f>
        <v/>
      </c>
    </row>
    <row r="26" spans="2:38" s="4" customFormat="1" hidden="1">
      <c r="B26" s="5">
        <v>43634</v>
      </c>
      <c r="C26" s="11">
        <v>0</v>
      </c>
      <c r="D26" s="5" t="s">
        <v>34</v>
      </c>
      <c r="E26" s="5" t="str">
        <f>TEXT(Table1[[#This Row],[Date]], "mmmm")</f>
        <v>June</v>
      </c>
      <c r="F26" s="5" t="str">
        <f>TEXT(Table1[[#This Row],[Date]], "dddd")</f>
        <v>Tuesday</v>
      </c>
      <c r="G26" s="1">
        <v>2</v>
      </c>
      <c r="H26" s="1">
        <v>7</v>
      </c>
      <c r="I26" s="1">
        <v>1</v>
      </c>
      <c r="J26" s="1">
        <v>1</v>
      </c>
      <c r="K26" s="1">
        <v>3</v>
      </c>
      <c r="L26" s="1">
        <v>5</v>
      </c>
      <c r="M26" s="1">
        <v>1</v>
      </c>
      <c r="N26" s="1">
        <v>1</v>
      </c>
      <c r="O26" s="1">
        <v>0</v>
      </c>
      <c r="P26" s="2">
        <v>224.88251366120201</v>
      </c>
      <c r="Q26" s="2">
        <v>49.072254098360602</v>
      </c>
      <c r="R26" s="2">
        <v>1.9224043715846599</v>
      </c>
      <c r="S26" s="2">
        <v>14.4036990332072</v>
      </c>
      <c r="T26" s="2">
        <v>183.26393442622901</v>
      </c>
      <c r="U26" s="2">
        <v>-3.6502732240437101</v>
      </c>
      <c r="V26" s="2">
        <v>-1.47868852459017</v>
      </c>
      <c r="W26" s="2">
        <v>0.11693989071038401</v>
      </c>
      <c r="X26" s="3">
        <v>20.812482583987499</v>
      </c>
      <c r="Y26" s="3">
        <v>10.8728644635677</v>
      </c>
      <c r="Z26" s="3">
        <v>0.602110639113551</v>
      </c>
      <c r="AA26" s="3">
        <v>15.210413591823601</v>
      </c>
      <c r="AB26" s="3">
        <v>130.775709790251</v>
      </c>
      <c r="AC26" s="3">
        <v>-11.078127332128201</v>
      </c>
      <c r="AD26" s="3">
        <v>-11.7555063208654</v>
      </c>
      <c r="AE26" s="3">
        <v>1.0946291560102399</v>
      </c>
      <c r="AF26" s="20" t="str">
        <f>IF(Table1[[#This Row],[Not_allocated]]&gt;=6,Table1[[#Headers],[Not_allocated]],"")</f>
        <v/>
      </c>
      <c r="AG26" s="20" t="str">
        <f>IF(Table1[[#This Row],[Canteen]]&gt;=6,Table1[[#Headers],[Canteen]],"")</f>
        <v/>
      </c>
      <c r="AH26" s="20" t="str">
        <f>IF(Table1[[#This Row],[Data_centre]]&gt;=6,Table1[[#Headers],[Data_centre]],"")</f>
        <v/>
      </c>
      <c r="AI26" s="20" t="str">
        <f>IF(Table1[[#This Row],[Refrigeration_unit2]]&gt;=6,Table1[[#Headers],[Refrigeration_unit2]],"")</f>
        <v/>
      </c>
      <c r="AJ26" s="20" t="str">
        <f>IF(Table1[[#This Row],[Rectory]]&gt;=6,Table1[[#Headers],[Rectory]],"")</f>
        <v/>
      </c>
      <c r="AK26" s="20" t="str">
        <f>IF(Table1[[#This Row],[DIMAT]]&gt;=6,Table1[[#Headers],[DIMAT]],"")</f>
        <v/>
      </c>
      <c r="AL26" s="20" t="str">
        <f>IF(Table1[[#This Row],[Print_shop]]&gt;=6,Table1[[#Headers],[Print_shop]],"")</f>
        <v/>
      </c>
    </row>
    <row r="27" spans="2:38" hidden="1">
      <c r="B27" s="5">
        <v>43636</v>
      </c>
      <c r="C27" s="11">
        <v>0</v>
      </c>
      <c r="D27" s="5" t="s">
        <v>34</v>
      </c>
      <c r="E27" s="5" t="str">
        <f>TEXT(Table1[[#This Row],[Date]], "mmmm")</f>
        <v>June</v>
      </c>
      <c r="F27" s="5" t="str">
        <f>TEXT(Table1[[#This Row],[Date]], "dddd")</f>
        <v>Thursday</v>
      </c>
      <c r="G27" s="1">
        <v>2</v>
      </c>
      <c r="H27" s="1">
        <v>7</v>
      </c>
      <c r="I27" s="1">
        <v>1</v>
      </c>
      <c r="J27" s="1">
        <v>1</v>
      </c>
      <c r="K27" s="1">
        <v>3</v>
      </c>
      <c r="L27" s="1">
        <v>5</v>
      </c>
      <c r="M27" s="1">
        <v>1</v>
      </c>
      <c r="N27" s="1">
        <v>1</v>
      </c>
      <c r="O27" s="1">
        <v>1</v>
      </c>
      <c r="P27" s="2">
        <v>225.28251366120199</v>
      </c>
      <c r="Q27" s="2">
        <v>49.072254098360602</v>
      </c>
      <c r="R27" s="2">
        <v>-16.977595628415301</v>
      </c>
      <c r="S27" s="2">
        <v>13.603699033207199</v>
      </c>
      <c r="T27" s="2">
        <v>200.76393442622901</v>
      </c>
      <c r="U27" s="2">
        <v>-3.6502732240437101</v>
      </c>
      <c r="V27" s="2">
        <v>-0.97868852459016298</v>
      </c>
      <c r="W27" s="2">
        <v>2.3169398907103802</v>
      </c>
      <c r="X27" s="3">
        <v>20.849501883078698</v>
      </c>
      <c r="Y27" s="3">
        <v>10.8728644635677</v>
      </c>
      <c r="Z27" s="3">
        <v>-5.3175029694768599</v>
      </c>
      <c r="AA27" s="3">
        <v>14.365607625980701</v>
      </c>
      <c r="AB27" s="3">
        <v>143.26357287413899</v>
      </c>
      <c r="AC27" s="3">
        <v>-11.078127332128201</v>
      </c>
      <c r="AD27" s="3">
        <v>-7.7805291281115601</v>
      </c>
      <c r="AE27" s="3">
        <v>21.687979539641901</v>
      </c>
      <c r="AF27" s="20" t="str">
        <f>IF(Table1[[#This Row],[Not_allocated]]&gt;=6,Table1[[#Headers],[Not_allocated]],"")</f>
        <v/>
      </c>
      <c r="AG27" s="20" t="str">
        <f>IF(Table1[[#This Row],[Canteen]]&gt;=6,Table1[[#Headers],[Canteen]],"")</f>
        <v/>
      </c>
      <c r="AH27" s="20" t="str">
        <f>IF(Table1[[#This Row],[Data_centre]]&gt;=6,Table1[[#Headers],[Data_centre]],"")</f>
        <v/>
      </c>
      <c r="AI27" s="20" t="str">
        <f>IF(Table1[[#This Row],[Refrigeration_unit2]]&gt;=6,Table1[[#Headers],[Refrigeration_unit2]],"")</f>
        <v/>
      </c>
      <c r="AJ27" s="20" t="str">
        <f>IF(Table1[[#This Row],[Rectory]]&gt;=6,Table1[[#Headers],[Rectory]],"")</f>
        <v/>
      </c>
      <c r="AK27" s="20" t="str">
        <f>IF(Table1[[#This Row],[DIMAT]]&gt;=6,Table1[[#Headers],[DIMAT]],"")</f>
        <v/>
      </c>
      <c r="AL27" s="20" t="str">
        <f>IF(Table1[[#This Row],[Print_shop]]&gt;=6,Table1[[#Headers],[Print_shop]],"")</f>
        <v/>
      </c>
    </row>
    <row r="28" spans="2:38" s="4" customFormat="1" hidden="1">
      <c r="B28" s="5">
        <v>43659</v>
      </c>
      <c r="C28" s="11">
        <v>0</v>
      </c>
      <c r="D28" s="5" t="s">
        <v>34</v>
      </c>
      <c r="E28" s="5" t="str">
        <f>TEXT(Table1[[#This Row],[Date]], "mmmm")</f>
        <v>July</v>
      </c>
      <c r="F28" s="5" t="str">
        <f>TEXT(Table1[[#This Row],[Date]], "dddd")</f>
        <v>Saturday</v>
      </c>
      <c r="G28" s="1">
        <v>2</v>
      </c>
      <c r="H28" s="1">
        <v>6</v>
      </c>
      <c r="I28" s="1">
        <v>3</v>
      </c>
      <c r="J28" s="1">
        <v>1</v>
      </c>
      <c r="K28" s="1">
        <v>1</v>
      </c>
      <c r="L28" s="1">
        <v>4</v>
      </c>
      <c r="M28" s="1">
        <v>0</v>
      </c>
      <c r="N28" s="1">
        <v>1</v>
      </c>
      <c r="O28" s="1">
        <v>0</v>
      </c>
      <c r="P28" s="2">
        <v>280.87021276595698</v>
      </c>
      <c r="Q28" s="2">
        <v>81.6404255319149</v>
      </c>
      <c r="R28" s="2">
        <v>14.534042553191499</v>
      </c>
      <c r="S28" s="2">
        <v>-1.6489361702127601</v>
      </c>
      <c r="T28" s="2">
        <v>191.721276595745</v>
      </c>
      <c r="U28" s="2">
        <v>0.77446808510638498</v>
      </c>
      <c r="V28" s="2">
        <v>-0.67021276595744605</v>
      </c>
      <c r="W28" s="2">
        <v>0.35531914893617</v>
      </c>
      <c r="X28" s="3">
        <v>40.692276392690701</v>
      </c>
      <c r="Y28" s="3">
        <v>23.176211932689899</v>
      </c>
      <c r="Z28" s="3">
        <v>38.586680223690898</v>
      </c>
      <c r="AA28" s="3">
        <v>-1.71142125253952</v>
      </c>
      <c r="AB28" s="3">
        <v>123.15188126119</v>
      </c>
      <c r="AC28" s="3">
        <v>2.7438564751997698</v>
      </c>
      <c r="AD28" s="3">
        <v>-6.3405797101449197</v>
      </c>
      <c r="AE28" s="3">
        <v>9.7489784004670206</v>
      </c>
      <c r="AF28" s="20" t="str">
        <f>IF(Table1[[#This Row],[Not_allocated]]&gt;=6,Table1[[#Headers],[Not_allocated]],"")</f>
        <v/>
      </c>
      <c r="AG28" s="20" t="str">
        <f>IF(Table1[[#This Row],[Canteen]]&gt;=6,Table1[[#Headers],[Canteen]],"")</f>
        <v/>
      </c>
      <c r="AH28" s="20" t="str">
        <f>IF(Table1[[#This Row],[Data_centre]]&gt;=6,Table1[[#Headers],[Data_centre]],"")</f>
        <v/>
      </c>
      <c r="AI28" s="20" t="str">
        <f>IF(Table1[[#This Row],[Refrigeration_unit2]]&gt;=6,Table1[[#Headers],[Refrigeration_unit2]],"")</f>
        <v/>
      </c>
      <c r="AJ28" s="20" t="str">
        <f>IF(Table1[[#This Row],[Rectory]]&gt;=6,Table1[[#Headers],[Rectory]],"")</f>
        <v/>
      </c>
      <c r="AK28" s="20" t="str">
        <f>IF(Table1[[#This Row],[DIMAT]]&gt;=6,Table1[[#Headers],[DIMAT]],"")</f>
        <v/>
      </c>
      <c r="AL28" s="20" t="str">
        <f>IF(Table1[[#This Row],[Print_shop]]&gt;=6,Table1[[#Headers],[Print_shop]],"")</f>
        <v/>
      </c>
    </row>
    <row r="29" spans="2:38" s="4" customFormat="1" hidden="1">
      <c r="B29" s="5">
        <v>43724</v>
      </c>
      <c r="C29" s="11">
        <v>0</v>
      </c>
      <c r="D29" s="5" t="s">
        <v>32</v>
      </c>
      <c r="E29" s="5" t="str">
        <f>TEXT(Table1[[#This Row],[Date]], "mmmm")</f>
        <v>September</v>
      </c>
      <c r="F29" s="5" t="str">
        <f>TEXT(Table1[[#This Row],[Date]], "dddd")</f>
        <v>Monday</v>
      </c>
      <c r="G29" s="1">
        <v>2</v>
      </c>
      <c r="H29" s="1">
        <v>7</v>
      </c>
      <c r="I29" s="1">
        <v>4</v>
      </c>
      <c r="J29" s="1">
        <v>1</v>
      </c>
      <c r="K29" s="1">
        <v>2</v>
      </c>
      <c r="L29" s="1">
        <v>3</v>
      </c>
      <c r="M29" s="1">
        <v>1</v>
      </c>
      <c r="N29" s="1">
        <v>1</v>
      </c>
      <c r="O29" s="1">
        <v>0</v>
      </c>
      <c r="P29" s="2">
        <v>244.98251366120201</v>
      </c>
      <c r="Q29" s="2">
        <v>61.872254098360699</v>
      </c>
      <c r="R29" s="2">
        <v>-6.1775956284153004</v>
      </c>
      <c r="S29" s="2">
        <v>4.4036990332072197</v>
      </c>
      <c r="T29" s="2">
        <v>201.66393442623001</v>
      </c>
      <c r="U29" s="2">
        <v>4.6497267759562897</v>
      </c>
      <c r="V29" s="2">
        <v>-2.47868852459017</v>
      </c>
      <c r="W29" s="2">
        <v>-0.183060109289617</v>
      </c>
      <c r="X29" s="3">
        <v>22.672702363318098</v>
      </c>
      <c r="Y29" s="3">
        <v>13.7089409326598</v>
      </c>
      <c r="Z29" s="3">
        <v>-1.9348666217109001</v>
      </c>
      <c r="AA29" s="3">
        <v>4.65033901878751</v>
      </c>
      <c r="AB29" s="3">
        <v>143.90580583273899</v>
      </c>
      <c r="AC29" s="3">
        <v>14.1113451301017</v>
      </c>
      <c r="AD29" s="3">
        <v>-19.705460706373</v>
      </c>
      <c r="AE29" s="3">
        <v>-1.71355498721227</v>
      </c>
      <c r="AF29" s="20" t="str">
        <f>IF(Table1[[#This Row],[Not_allocated]]&gt;=6,Table1[[#Headers],[Not_allocated]],"")</f>
        <v/>
      </c>
      <c r="AG29" s="20" t="str">
        <f>IF(Table1[[#This Row],[Canteen]]&gt;=6,Table1[[#Headers],[Canteen]],"")</f>
        <v/>
      </c>
      <c r="AH29" s="20" t="str">
        <f>IF(Table1[[#This Row],[Data_centre]]&gt;=6,Table1[[#Headers],[Data_centre]],"")</f>
        <v/>
      </c>
      <c r="AI29" s="20" t="str">
        <f>IF(Table1[[#This Row],[Refrigeration_unit2]]&gt;=6,Table1[[#Headers],[Refrigeration_unit2]],"")</f>
        <v/>
      </c>
      <c r="AJ29" s="20" t="str">
        <f>IF(Table1[[#This Row],[Rectory]]&gt;=6,Table1[[#Headers],[Rectory]],"")</f>
        <v/>
      </c>
      <c r="AK29" s="20" t="str">
        <f>IF(Table1[[#This Row],[DIMAT]]&gt;=6,Table1[[#Headers],[DIMAT]],"")</f>
        <v/>
      </c>
      <c r="AL29" s="20" t="str">
        <f>IF(Table1[[#This Row],[Print_shop]]&gt;=6,Table1[[#Headers],[Print_shop]],"")</f>
        <v/>
      </c>
    </row>
    <row r="30" spans="2:38" s="4" customFormat="1" hidden="1">
      <c r="B30" s="5">
        <v>43640</v>
      </c>
      <c r="C30" s="11">
        <v>0</v>
      </c>
      <c r="D30" s="5" t="s">
        <v>34</v>
      </c>
      <c r="E30" s="5" t="str">
        <f>TEXT(Table1[[#This Row],[Date]], "mmmm")</f>
        <v>June</v>
      </c>
      <c r="F30" s="5" t="str">
        <f>TEXT(Table1[[#This Row],[Date]], "dddd")</f>
        <v>Monday</v>
      </c>
      <c r="G30" s="1">
        <v>5</v>
      </c>
      <c r="H30" s="1">
        <v>6</v>
      </c>
      <c r="I30" s="1">
        <v>5</v>
      </c>
      <c r="J30" s="1">
        <v>1</v>
      </c>
      <c r="K30" s="1">
        <v>8</v>
      </c>
      <c r="L30" s="1">
        <v>0</v>
      </c>
      <c r="M30" s="1">
        <v>1</v>
      </c>
      <c r="N30" s="1">
        <v>1</v>
      </c>
      <c r="O30" s="1">
        <v>1</v>
      </c>
      <c r="P30" s="2">
        <v>160.15829787234</v>
      </c>
      <c r="Q30" s="2">
        <v>114.691170212766</v>
      </c>
      <c r="R30" s="2">
        <v>7.0723404255319204</v>
      </c>
      <c r="S30" s="2">
        <v>57.203868471953598</v>
      </c>
      <c r="T30" s="2">
        <v>-3.0042553191489398</v>
      </c>
      <c r="U30" s="2">
        <v>-3.62765957446809</v>
      </c>
      <c r="V30" s="2">
        <v>-3.62765957446809</v>
      </c>
      <c r="W30" s="2">
        <v>0.11914893617021299</v>
      </c>
      <c r="X30" s="3">
        <v>22.881662484960799</v>
      </c>
      <c r="Y30" s="3">
        <v>32.143590807760098</v>
      </c>
      <c r="Z30" s="3">
        <v>11.762208067940501</v>
      </c>
      <c r="AA30" s="3">
        <v>31.483261636268601</v>
      </c>
      <c r="AB30" s="3">
        <v>-14.5103278183126</v>
      </c>
      <c r="AC30" s="3">
        <v>-7.0539075751934197</v>
      </c>
      <c r="AD30" s="3">
        <v>-7.0539075751934197</v>
      </c>
      <c r="AE30" s="3">
        <v>6.0150375939849603</v>
      </c>
      <c r="AF30" s="20" t="str">
        <f>IF(Table1[[#This Row],[Not_allocated]]&gt;=6,Table1[[#Headers],[Not_allocated]],"")</f>
        <v/>
      </c>
      <c r="AG30" s="20" t="str">
        <f>IF(Table1[[#This Row],[Canteen]]&gt;=6,Table1[[#Headers],[Canteen]],"")</f>
        <v/>
      </c>
      <c r="AH30" s="20" t="str">
        <f>IF(Table1[[#This Row],[Data_centre]]&gt;=6,Table1[[#Headers],[Data_centre]],"")</f>
        <v>Data_centre</v>
      </c>
      <c r="AI30" s="20" t="str">
        <f>IF(Table1[[#This Row],[Refrigeration_unit2]]&gt;=6,Table1[[#Headers],[Refrigeration_unit2]],"")</f>
        <v/>
      </c>
      <c r="AJ30" s="20" t="str">
        <f>IF(Table1[[#This Row],[Rectory]]&gt;=6,Table1[[#Headers],[Rectory]],"")</f>
        <v/>
      </c>
      <c r="AK30" s="20" t="str">
        <f>IF(Table1[[#This Row],[DIMAT]]&gt;=6,Table1[[#Headers],[DIMAT]],"")</f>
        <v/>
      </c>
      <c r="AL30" s="20" t="str">
        <f>IF(Table1[[#This Row],[Print_shop]]&gt;=6,Table1[[#Headers],[Print_shop]],"")</f>
        <v/>
      </c>
    </row>
    <row r="31" spans="2:38" s="4" customFormat="1" hidden="1">
      <c r="B31" s="5">
        <v>43682</v>
      </c>
      <c r="C31" s="11">
        <v>0</v>
      </c>
      <c r="D31" s="5" t="s">
        <v>34</v>
      </c>
      <c r="E31" s="5" t="str">
        <f>TEXT(Table1[[#This Row],[Date]], "mmmm")</f>
        <v>August</v>
      </c>
      <c r="F31" s="5" t="str">
        <f>TEXT(Table1[[#This Row],[Date]], "dddd")</f>
        <v>Monday</v>
      </c>
      <c r="G31" s="1">
        <v>2</v>
      </c>
      <c r="H31" s="1">
        <v>6</v>
      </c>
      <c r="I31" s="1">
        <v>5</v>
      </c>
      <c r="J31" s="1">
        <v>1</v>
      </c>
      <c r="K31" s="1">
        <v>3</v>
      </c>
      <c r="L31" s="1">
        <v>8</v>
      </c>
      <c r="M31" s="1">
        <v>1</v>
      </c>
      <c r="N31" s="1">
        <v>5</v>
      </c>
      <c r="O31" s="1">
        <v>0</v>
      </c>
      <c r="P31" s="2">
        <v>142.68251366120199</v>
      </c>
      <c r="Q31" s="2">
        <v>-124.927745901639</v>
      </c>
      <c r="R31" s="2">
        <v>-54.977595628415301</v>
      </c>
      <c r="S31" s="2">
        <v>14.0036990332072</v>
      </c>
      <c r="T31" s="2">
        <v>341.86393442623</v>
      </c>
      <c r="U31" s="2">
        <v>-1.55027322404371</v>
      </c>
      <c r="V31" s="2">
        <v>-5.6786885245901697</v>
      </c>
      <c r="W31" s="2">
        <v>-7.1830601092896202</v>
      </c>
      <c r="X31" s="3">
        <v>13.205016620755</v>
      </c>
      <c r="Y31" s="3">
        <v>-27.680050038152501</v>
      </c>
      <c r="Z31" s="3">
        <v>-17.219371600505202</v>
      </c>
      <c r="AA31" s="3">
        <v>14.7880106089022</v>
      </c>
      <c r="AB31" s="3">
        <v>243.95142893908701</v>
      </c>
      <c r="AC31" s="3">
        <v>-4.70488731156403</v>
      </c>
      <c r="AD31" s="3">
        <v>-45.145314739997403</v>
      </c>
      <c r="AE31" s="3">
        <v>-67.237851662404097</v>
      </c>
      <c r="AF31" s="20" t="str">
        <f>IF(Table1[[#This Row],[Not_allocated]]&gt;=6,Table1[[#Headers],[Not_allocated]],"")</f>
        <v/>
      </c>
      <c r="AG31" s="20" t="str">
        <f>IF(Table1[[#This Row],[Canteen]]&gt;=6,Table1[[#Headers],[Canteen]],"")</f>
        <v/>
      </c>
      <c r="AH31" s="20" t="str">
        <f>IF(Table1[[#This Row],[Data_centre]]&gt;=6,Table1[[#Headers],[Data_centre]],"")</f>
        <v/>
      </c>
      <c r="AI31" s="20" t="str">
        <f>IF(Table1[[#This Row],[Refrigeration_unit2]]&gt;=6,Table1[[#Headers],[Refrigeration_unit2]],"")</f>
        <v>Refrigeration_unit2</v>
      </c>
      <c r="AJ31" s="20" t="str">
        <f>IF(Table1[[#This Row],[Rectory]]&gt;=6,Table1[[#Headers],[Rectory]],"")</f>
        <v/>
      </c>
      <c r="AK31" s="20" t="str">
        <f>IF(Table1[[#This Row],[DIMAT]]&gt;=6,Table1[[#Headers],[DIMAT]],"")</f>
        <v/>
      </c>
      <c r="AL31" s="20" t="str">
        <f>IF(Table1[[#This Row],[Print_shop]]&gt;=6,Table1[[#Headers],[Print_shop]],"")</f>
        <v/>
      </c>
    </row>
    <row r="32" spans="2:38" hidden="1">
      <c r="B32" s="5">
        <v>43624</v>
      </c>
      <c r="C32" s="11">
        <v>0</v>
      </c>
      <c r="D32" s="5" t="s">
        <v>34</v>
      </c>
      <c r="E32" s="5" t="str">
        <f>TEXT(Table1[[#This Row],[Date]], "mmmm")</f>
        <v>June</v>
      </c>
      <c r="F32" s="5" t="str">
        <f>TEXT(Table1[[#This Row],[Date]], "dddd")</f>
        <v>Saturday</v>
      </c>
      <c r="G32" s="1">
        <v>4</v>
      </c>
      <c r="H32" s="1">
        <v>6</v>
      </c>
      <c r="I32" s="1">
        <v>6</v>
      </c>
      <c r="J32" s="1">
        <v>1</v>
      </c>
      <c r="K32" s="1">
        <v>4</v>
      </c>
      <c r="L32" s="1">
        <v>0</v>
      </c>
      <c r="M32" s="1">
        <v>1</v>
      </c>
      <c r="N32" s="1">
        <v>1</v>
      </c>
      <c r="O32" s="1">
        <v>0</v>
      </c>
      <c r="P32" s="2">
        <v>192.814893617021</v>
      </c>
      <c r="Q32" s="2">
        <v>183.96595744680801</v>
      </c>
      <c r="R32" s="2">
        <v>-2.3042553191489401</v>
      </c>
      <c r="S32" s="2">
        <v>28.129787234042499</v>
      </c>
      <c r="T32" s="2">
        <v>-6.5723404255319204</v>
      </c>
      <c r="U32" s="2">
        <v>-0.78297872340425601</v>
      </c>
      <c r="V32" s="2">
        <v>-1.40851063829787</v>
      </c>
      <c r="W32" s="2">
        <v>-5.5319148936170202E-2</v>
      </c>
      <c r="X32" s="3">
        <v>36.183201839844102</v>
      </c>
      <c r="Y32" s="3">
        <v>68.635295611862603</v>
      </c>
      <c r="Z32" s="3">
        <v>-4.9022270505160304</v>
      </c>
      <c r="AA32" s="3">
        <v>20.241594708800299</v>
      </c>
      <c r="AB32" s="3">
        <v>-34.4600624721107</v>
      </c>
      <c r="AC32" s="3">
        <v>-2.1228728006922402</v>
      </c>
      <c r="AD32" s="3">
        <v>-10.6636597938144</v>
      </c>
      <c r="AE32" s="3">
        <v>-3.5567715458276301</v>
      </c>
      <c r="AF32" s="20" t="str">
        <f>IF(Table1[[#This Row],[Not_allocated]]&gt;=6,Table1[[#Headers],[Not_allocated]],"")</f>
        <v>Not_allocated</v>
      </c>
      <c r="AG32" s="20" t="str">
        <f>IF(Table1[[#This Row],[Canteen]]&gt;=6,Table1[[#Headers],[Canteen]],"")</f>
        <v/>
      </c>
      <c r="AH32" s="20" t="str">
        <f>IF(Table1[[#This Row],[Data_centre]]&gt;=6,Table1[[#Headers],[Data_centre]],"")</f>
        <v/>
      </c>
      <c r="AI32" s="20" t="str">
        <f>IF(Table1[[#This Row],[Refrigeration_unit2]]&gt;=6,Table1[[#Headers],[Refrigeration_unit2]],"")</f>
        <v/>
      </c>
      <c r="AJ32" s="20" t="str">
        <f>IF(Table1[[#This Row],[Rectory]]&gt;=6,Table1[[#Headers],[Rectory]],"")</f>
        <v/>
      </c>
      <c r="AK32" s="20" t="str">
        <f>IF(Table1[[#This Row],[DIMAT]]&gt;=6,Table1[[#Headers],[DIMAT]],"")</f>
        <v/>
      </c>
      <c r="AL32" s="20" t="str">
        <f>IF(Table1[[#This Row],[Print_shop]]&gt;=6,Table1[[#Headers],[Print_shop]],"")</f>
        <v/>
      </c>
    </row>
    <row r="33" spans="2:38" s="4" customFormat="1" hidden="1">
      <c r="B33" s="5">
        <v>43631</v>
      </c>
      <c r="C33" s="11">
        <v>0</v>
      </c>
      <c r="D33" s="5" t="s">
        <v>34</v>
      </c>
      <c r="E33" s="5" t="str">
        <f>TEXT(Table1[[#This Row],[Date]], "mmmm")</f>
        <v>June</v>
      </c>
      <c r="F33" s="5" t="str">
        <f>TEXT(Table1[[#This Row],[Date]], "dddd")</f>
        <v>Saturday</v>
      </c>
      <c r="G33" s="1">
        <v>4</v>
      </c>
      <c r="H33" s="1">
        <v>6</v>
      </c>
      <c r="I33" s="1">
        <v>6</v>
      </c>
      <c r="J33" s="1">
        <v>1</v>
      </c>
      <c r="K33" s="1">
        <v>1</v>
      </c>
      <c r="L33" s="1">
        <v>0</v>
      </c>
      <c r="M33" s="1">
        <v>1</v>
      </c>
      <c r="N33" s="1">
        <v>1</v>
      </c>
      <c r="O33" s="1">
        <v>0</v>
      </c>
      <c r="P33" s="2">
        <v>162.314893617021</v>
      </c>
      <c r="Q33" s="2">
        <v>166.56595744680899</v>
      </c>
      <c r="R33" s="2">
        <v>2.1957446808510599</v>
      </c>
      <c r="S33" s="2">
        <v>13.129787234042499</v>
      </c>
      <c r="T33" s="2">
        <v>-6.4723404255319101</v>
      </c>
      <c r="U33" s="2">
        <v>-3.4829787234042602</v>
      </c>
      <c r="V33" s="2">
        <v>-1.30851063829787</v>
      </c>
      <c r="W33" s="2">
        <v>-0.15531914893616999</v>
      </c>
      <c r="X33" s="3">
        <v>30.459641613696601</v>
      </c>
      <c r="Y33" s="3">
        <v>62.143582904680301</v>
      </c>
      <c r="Z33" s="3">
        <v>4.6713742531232896</v>
      </c>
      <c r="AA33" s="3">
        <v>9.4479147528936203</v>
      </c>
      <c r="AB33" s="3">
        <v>-33.9357429718875</v>
      </c>
      <c r="AC33" s="3">
        <v>-9.4433227574271807</v>
      </c>
      <c r="AD33" s="3">
        <v>-9.9065721649484502</v>
      </c>
      <c r="AE33" s="3">
        <v>-9.9863201094391201</v>
      </c>
      <c r="AF33" s="20" t="str">
        <f>IF(Table1[[#This Row],[Not_allocated]]&gt;=6,Table1[[#Headers],[Not_allocated]],"")</f>
        <v>Not_allocated</v>
      </c>
      <c r="AG33" s="20" t="str">
        <f>IF(Table1[[#This Row],[Canteen]]&gt;=6,Table1[[#Headers],[Canteen]],"")</f>
        <v/>
      </c>
      <c r="AH33" s="20" t="str">
        <f>IF(Table1[[#This Row],[Data_centre]]&gt;=6,Table1[[#Headers],[Data_centre]],"")</f>
        <v/>
      </c>
      <c r="AI33" s="20" t="str">
        <f>IF(Table1[[#This Row],[Refrigeration_unit2]]&gt;=6,Table1[[#Headers],[Refrigeration_unit2]],"")</f>
        <v/>
      </c>
      <c r="AJ33" s="20" t="str">
        <f>IF(Table1[[#This Row],[Rectory]]&gt;=6,Table1[[#Headers],[Rectory]],"")</f>
        <v/>
      </c>
      <c r="AK33" s="20" t="str">
        <f>IF(Table1[[#This Row],[DIMAT]]&gt;=6,Table1[[#Headers],[DIMAT]],"")</f>
        <v/>
      </c>
      <c r="AL33" s="20" t="str">
        <f>IF(Table1[[#This Row],[Print_shop]]&gt;=6,Table1[[#Headers],[Print_shop]],"")</f>
        <v/>
      </c>
    </row>
    <row r="34" spans="2:38" s="4" customFormat="1" hidden="1">
      <c r="B34" s="5">
        <v>43659</v>
      </c>
      <c r="C34" s="11">
        <v>0</v>
      </c>
      <c r="D34" s="5" t="s">
        <v>34</v>
      </c>
      <c r="E34" s="5" t="str">
        <f>TEXT(Table1[[#This Row],[Date]], "mmmm")</f>
        <v>July</v>
      </c>
      <c r="F34" s="5" t="str">
        <f>TEXT(Table1[[#This Row],[Date]], "dddd")</f>
        <v>Saturday</v>
      </c>
      <c r="G34" s="1">
        <v>4</v>
      </c>
      <c r="H34" s="1">
        <v>6</v>
      </c>
      <c r="I34" s="1">
        <v>6</v>
      </c>
      <c r="J34" s="1">
        <v>1</v>
      </c>
      <c r="K34" s="1">
        <v>1</v>
      </c>
      <c r="L34" s="1">
        <v>0</v>
      </c>
      <c r="M34" s="1">
        <v>1</v>
      </c>
      <c r="N34" s="1">
        <v>1</v>
      </c>
      <c r="O34" s="1">
        <v>0</v>
      </c>
      <c r="P34" s="2">
        <v>176.01489361702099</v>
      </c>
      <c r="Q34" s="2">
        <v>165.46595744680801</v>
      </c>
      <c r="R34" s="2">
        <v>7.0957446808510598</v>
      </c>
      <c r="S34" s="2">
        <v>18.829787234042598</v>
      </c>
      <c r="T34" s="2">
        <v>-6.7723404255319197</v>
      </c>
      <c r="U34" s="2">
        <v>0.117021276595743</v>
      </c>
      <c r="V34" s="2">
        <v>-0.50851063829787102</v>
      </c>
      <c r="W34" s="2">
        <v>-5.5319148936170202E-2</v>
      </c>
      <c r="X34" s="3">
        <v>33.030552272654703</v>
      </c>
      <c r="Y34" s="3">
        <v>61.733187273766397</v>
      </c>
      <c r="Z34" s="3">
        <v>15.095962339308301</v>
      </c>
      <c r="AA34" s="3">
        <v>13.5495131361382</v>
      </c>
      <c r="AB34" s="3">
        <v>-35.508701472556901</v>
      </c>
      <c r="AC34" s="3">
        <v>0.317277184886056</v>
      </c>
      <c r="AD34" s="3">
        <v>-3.84987113402061</v>
      </c>
      <c r="AE34" s="3">
        <v>-3.5567715458276301</v>
      </c>
      <c r="AF34" s="20" t="str">
        <f>IF(Table1[[#This Row],[Not_allocated]]&gt;=6,Table1[[#Headers],[Not_allocated]],"")</f>
        <v>Not_allocated</v>
      </c>
      <c r="AG34" s="20" t="str">
        <f>IF(Table1[[#This Row],[Canteen]]&gt;=6,Table1[[#Headers],[Canteen]],"")</f>
        <v/>
      </c>
      <c r="AH34" s="20" t="str">
        <f>IF(Table1[[#This Row],[Data_centre]]&gt;=6,Table1[[#Headers],[Data_centre]],"")</f>
        <v/>
      </c>
      <c r="AI34" s="20" t="str">
        <f>IF(Table1[[#This Row],[Refrigeration_unit2]]&gt;=6,Table1[[#Headers],[Refrigeration_unit2]],"")</f>
        <v/>
      </c>
      <c r="AJ34" s="20" t="str">
        <f>IF(Table1[[#This Row],[Rectory]]&gt;=6,Table1[[#Headers],[Rectory]],"")</f>
        <v/>
      </c>
      <c r="AK34" s="20" t="str">
        <f>IF(Table1[[#This Row],[DIMAT]]&gt;=6,Table1[[#Headers],[DIMAT]],"")</f>
        <v/>
      </c>
      <c r="AL34" s="20" t="str">
        <f>IF(Table1[[#This Row],[Print_shop]]&gt;=6,Table1[[#Headers],[Print_shop]],"")</f>
        <v/>
      </c>
    </row>
    <row r="35" spans="2:38" s="4" customFormat="1" hidden="1">
      <c r="B35" s="5">
        <v>43660</v>
      </c>
      <c r="C35" s="11">
        <v>0</v>
      </c>
      <c r="D35" s="5" t="s">
        <v>34</v>
      </c>
      <c r="E35" s="5" t="str">
        <f>TEXT(Table1[[#This Row],[Date]], "mmmm")</f>
        <v>July</v>
      </c>
      <c r="F35" s="5" t="str">
        <f>TEXT(Table1[[#This Row],[Date]], "dddd")</f>
        <v>Sunday</v>
      </c>
      <c r="G35" s="1">
        <v>5</v>
      </c>
      <c r="H35" s="1">
        <v>6</v>
      </c>
      <c r="I35" s="1">
        <v>8</v>
      </c>
      <c r="J35" s="1">
        <v>1</v>
      </c>
      <c r="K35" s="1">
        <v>1</v>
      </c>
      <c r="L35" s="1">
        <v>0</v>
      </c>
      <c r="M35" s="1">
        <v>1</v>
      </c>
      <c r="N35" s="1">
        <v>1</v>
      </c>
      <c r="O35" s="1">
        <v>0</v>
      </c>
      <c r="P35" s="2">
        <v>188.94266666666701</v>
      </c>
      <c r="Q35" s="2">
        <v>206.18666666666701</v>
      </c>
      <c r="R35" s="2">
        <v>-9.4973333333333301</v>
      </c>
      <c r="S35" s="2">
        <v>0.289333333333332</v>
      </c>
      <c r="T35" s="2">
        <v>-5.2786666666666697</v>
      </c>
      <c r="U35" s="2">
        <v>4.1586666666666696</v>
      </c>
      <c r="V35" s="2">
        <v>4.1586666666666696</v>
      </c>
      <c r="W35" s="2">
        <v>0.25866666666666699</v>
      </c>
      <c r="X35" s="3">
        <v>28.444197329147499</v>
      </c>
      <c r="Y35" s="3">
        <v>66.188713163695496</v>
      </c>
      <c r="Z35" s="3">
        <v>-12.7485547581121</v>
      </c>
      <c r="AA35" s="3">
        <v>0.162263614814595</v>
      </c>
      <c r="AB35" s="3">
        <v>-24.237786212807599</v>
      </c>
      <c r="AC35" s="3">
        <v>7.9910840101457898</v>
      </c>
      <c r="AD35" s="3">
        <v>7.9910840101457898</v>
      </c>
      <c r="AE35" s="3">
        <v>14.047791455466999</v>
      </c>
      <c r="AF35" s="20" t="str">
        <f>IF(Table1[[#This Row],[Not_allocated]]&gt;=6,Table1[[#Headers],[Not_allocated]],"")</f>
        <v>Not_allocated</v>
      </c>
      <c r="AG35" s="20" t="str">
        <f>IF(Table1[[#This Row],[Canteen]]&gt;=6,Table1[[#Headers],[Canteen]],"")</f>
        <v/>
      </c>
      <c r="AH35" s="20" t="str">
        <f>IF(Table1[[#This Row],[Data_centre]]&gt;=6,Table1[[#Headers],[Data_centre]],"")</f>
        <v/>
      </c>
      <c r="AI35" s="20" t="str">
        <f>IF(Table1[[#This Row],[Refrigeration_unit2]]&gt;=6,Table1[[#Headers],[Refrigeration_unit2]],"")</f>
        <v/>
      </c>
      <c r="AJ35" s="20" t="str">
        <f>IF(Table1[[#This Row],[Rectory]]&gt;=6,Table1[[#Headers],[Rectory]],"")</f>
        <v/>
      </c>
      <c r="AK35" s="20" t="str">
        <f>IF(Table1[[#This Row],[DIMAT]]&gt;=6,Table1[[#Headers],[DIMAT]],"")</f>
        <v/>
      </c>
      <c r="AL35" s="20" t="str">
        <f>IF(Table1[[#This Row],[Print_shop]]&gt;=6,Table1[[#Headers],[Print_shop]],"")</f>
        <v/>
      </c>
    </row>
    <row r="36" spans="2:38" hidden="1">
      <c r="B36" s="5">
        <v>43659</v>
      </c>
      <c r="C36" s="11">
        <v>0</v>
      </c>
      <c r="D36" s="5" t="s">
        <v>34</v>
      </c>
      <c r="E36" s="5" t="str">
        <f>TEXT(Table1[[#This Row],[Date]], "mmmm")</f>
        <v>July</v>
      </c>
      <c r="F36" s="5" t="str">
        <f>TEXT(Table1[[#This Row],[Date]], "dddd")</f>
        <v>Saturday</v>
      </c>
      <c r="G36" s="1">
        <v>5</v>
      </c>
      <c r="H36" s="1">
        <v>7</v>
      </c>
      <c r="I36" s="1">
        <v>8</v>
      </c>
      <c r="J36" s="1">
        <v>1</v>
      </c>
      <c r="K36" s="1">
        <v>2</v>
      </c>
      <c r="L36" s="1">
        <v>0</v>
      </c>
      <c r="M36" s="1">
        <v>1</v>
      </c>
      <c r="N36" s="1">
        <v>1</v>
      </c>
      <c r="O36" s="1">
        <v>0</v>
      </c>
      <c r="P36" s="2">
        <v>223.45829787234001</v>
      </c>
      <c r="Q36" s="2">
        <v>208.591170212766</v>
      </c>
      <c r="R36" s="2">
        <v>9.2723404255319206</v>
      </c>
      <c r="S36" s="2">
        <v>19.403868471953601</v>
      </c>
      <c r="T36" s="2">
        <v>-4.3042553191489299</v>
      </c>
      <c r="U36" s="2">
        <v>0.572340425531912</v>
      </c>
      <c r="V36" s="2">
        <v>0.572340425531912</v>
      </c>
      <c r="W36" s="2">
        <v>1.9148936170212599E-2</v>
      </c>
      <c r="X36" s="3">
        <v>31.925272803874801</v>
      </c>
      <c r="Y36" s="3">
        <v>58.460204120270603</v>
      </c>
      <c r="Z36" s="3">
        <v>15.4210898796886</v>
      </c>
      <c r="AA36" s="3">
        <v>10.6792964213211</v>
      </c>
      <c r="AB36" s="3">
        <v>-20.789230294933699</v>
      </c>
      <c r="AC36" s="3">
        <v>1.1129038930950199</v>
      </c>
      <c r="AD36" s="3">
        <v>1.1129038930950199</v>
      </c>
      <c r="AE36" s="3">
        <v>0.96670247046186697</v>
      </c>
      <c r="AF36" s="20" t="str">
        <f>IF(Table1[[#This Row],[Not_allocated]]&gt;=6,Table1[[#Headers],[Not_allocated]],"")</f>
        <v>Not_allocated</v>
      </c>
      <c r="AG36" s="20" t="str">
        <f>IF(Table1[[#This Row],[Canteen]]&gt;=6,Table1[[#Headers],[Canteen]],"")</f>
        <v/>
      </c>
      <c r="AH36" s="20" t="str">
        <f>IF(Table1[[#This Row],[Data_centre]]&gt;=6,Table1[[#Headers],[Data_centre]],"")</f>
        <v/>
      </c>
      <c r="AI36" s="20" t="str">
        <f>IF(Table1[[#This Row],[Refrigeration_unit2]]&gt;=6,Table1[[#Headers],[Refrigeration_unit2]],"")</f>
        <v/>
      </c>
      <c r="AJ36" s="20" t="str">
        <f>IF(Table1[[#This Row],[Rectory]]&gt;=6,Table1[[#Headers],[Rectory]],"")</f>
        <v/>
      </c>
      <c r="AK36" s="20" t="str">
        <f>IF(Table1[[#This Row],[DIMAT]]&gt;=6,Table1[[#Headers],[DIMAT]],"")</f>
        <v/>
      </c>
      <c r="AL36" s="20" t="str">
        <f>IF(Table1[[#This Row],[Print_shop]]&gt;=6,Table1[[#Headers],[Print_shop]],"")</f>
        <v/>
      </c>
    </row>
    <row r="37" spans="2:38" s="4" customFormat="1" hidden="1">
      <c r="B37" s="5">
        <v>43779</v>
      </c>
      <c r="C37" s="11">
        <v>1</v>
      </c>
      <c r="D37" s="5" t="s">
        <v>32</v>
      </c>
      <c r="E37" s="5" t="str">
        <f>TEXT(Table1[[#This Row],[Date]], "mmmm")</f>
        <v>November</v>
      </c>
      <c r="F37" s="5" t="str">
        <f>TEXT(Table1[[#This Row],[Date]], "dddd")</f>
        <v>Sunday</v>
      </c>
      <c r="G37" s="1">
        <v>3</v>
      </c>
      <c r="H37" s="1">
        <v>8</v>
      </c>
      <c r="I37" s="1">
        <v>8</v>
      </c>
      <c r="J37" s="1">
        <v>1</v>
      </c>
      <c r="K37" s="1">
        <v>0</v>
      </c>
      <c r="L37" s="1">
        <v>4</v>
      </c>
      <c r="M37" s="1">
        <v>1</v>
      </c>
      <c r="N37" s="1">
        <v>1</v>
      </c>
      <c r="O37" s="1">
        <v>0</v>
      </c>
      <c r="P37" s="2">
        <v>670.14200000000005</v>
      </c>
      <c r="Q37" s="2">
        <v>543.37400000000002</v>
      </c>
      <c r="R37" s="2">
        <v>0.83466666666669198</v>
      </c>
      <c r="S37" s="2">
        <v>1.9826666666666599</v>
      </c>
      <c r="T37" s="2">
        <v>16.665333333333301</v>
      </c>
      <c r="U37" s="2">
        <v>7.78666666666666</v>
      </c>
      <c r="V37" s="2">
        <v>0.81599999999999895</v>
      </c>
      <c r="W37" s="2">
        <v>-0.70799999999999996</v>
      </c>
      <c r="X37" s="3">
        <v>71.561351390024996</v>
      </c>
      <c r="Y37" s="3">
        <v>141.93759044578999</v>
      </c>
      <c r="Z37" s="3">
        <v>0.64720234895168105</v>
      </c>
      <c r="AA37" s="3">
        <v>0.78953795835148299</v>
      </c>
      <c r="AB37" s="3">
        <v>25.3139176928062</v>
      </c>
      <c r="AC37" s="3">
        <v>11.4825009830908</v>
      </c>
      <c r="AD37" s="3">
        <v>3.6292474648639099</v>
      </c>
      <c r="AE37" s="3">
        <v>-20.774647887324001</v>
      </c>
      <c r="AF37" s="20" t="str">
        <f>IF(Table1[[#This Row],[Not_allocated]]&gt;=6,Table1[[#Headers],[Not_allocated]],"")</f>
        <v>Not_allocated</v>
      </c>
      <c r="AG37" s="20" t="str">
        <f>IF(Table1[[#This Row],[Canteen]]&gt;=6,Table1[[#Headers],[Canteen]],"")</f>
        <v/>
      </c>
      <c r="AH37" s="20" t="str">
        <f>IF(Table1[[#This Row],[Data_centre]]&gt;=6,Table1[[#Headers],[Data_centre]],"")</f>
        <v/>
      </c>
      <c r="AI37" s="20" t="str">
        <f>IF(Table1[[#This Row],[Refrigeration_unit2]]&gt;=6,Table1[[#Headers],[Refrigeration_unit2]],"")</f>
        <v/>
      </c>
      <c r="AJ37" s="20" t="str">
        <f>IF(Table1[[#This Row],[Rectory]]&gt;=6,Table1[[#Headers],[Rectory]],"")</f>
        <v/>
      </c>
      <c r="AK37" s="20" t="str">
        <f>IF(Table1[[#This Row],[DIMAT]]&gt;=6,Table1[[#Headers],[DIMAT]],"")</f>
        <v/>
      </c>
      <c r="AL37" s="20" t="str">
        <f>IF(Table1[[#This Row],[Print_shop]]&gt;=6,Table1[[#Headers],[Print_shop]],"")</f>
        <v/>
      </c>
    </row>
    <row r="38" spans="2:38" hidden="1">
      <c r="B38" s="5">
        <v>43779</v>
      </c>
      <c r="C38" s="11">
        <v>1</v>
      </c>
      <c r="D38" s="5" t="s">
        <v>32</v>
      </c>
      <c r="E38" s="5" t="str">
        <f>TEXT(Table1[[#This Row],[Date]], "mmmm")</f>
        <v>November</v>
      </c>
      <c r="F38" s="5" t="str">
        <f>TEXT(Table1[[#This Row],[Date]], "dddd")</f>
        <v>Sunday</v>
      </c>
      <c r="G38" s="1">
        <v>5</v>
      </c>
      <c r="H38" s="1">
        <v>8</v>
      </c>
      <c r="I38" s="1">
        <v>8</v>
      </c>
      <c r="J38" s="1">
        <v>1</v>
      </c>
      <c r="K38" s="1">
        <v>1</v>
      </c>
      <c r="L38" s="1">
        <v>8</v>
      </c>
      <c r="M38" s="1">
        <v>1</v>
      </c>
      <c r="N38" s="1">
        <v>1</v>
      </c>
      <c r="O38" s="1">
        <v>0</v>
      </c>
      <c r="P38" s="2">
        <v>425.94266666666698</v>
      </c>
      <c r="Q38" s="2">
        <v>343.98666666666702</v>
      </c>
      <c r="R38" s="2">
        <v>-20.297333333333299</v>
      </c>
      <c r="S38" s="2">
        <v>2.68933333333334</v>
      </c>
      <c r="T38" s="2">
        <v>77.121333333333297</v>
      </c>
      <c r="U38" s="2">
        <v>3.1586666666666701</v>
      </c>
      <c r="V38" s="2">
        <v>3.1586666666666701</v>
      </c>
      <c r="W38" s="2">
        <v>5.8666666666666603E-2</v>
      </c>
      <c r="X38" s="3">
        <v>64.123141031688505</v>
      </c>
      <c r="Y38" s="3">
        <v>110.42437990883199</v>
      </c>
      <c r="Z38" s="3">
        <v>-27.245717967533501</v>
      </c>
      <c r="AA38" s="3">
        <v>1.5082290833227301</v>
      </c>
      <c r="AB38" s="3">
        <v>354.11411779111103</v>
      </c>
      <c r="AC38" s="3">
        <v>6.0695344725986997</v>
      </c>
      <c r="AD38" s="3">
        <v>6.0695344725986997</v>
      </c>
      <c r="AE38" s="3">
        <v>3.1860970311368599</v>
      </c>
      <c r="AF38" s="20" t="str">
        <f>IF(Table1[[#This Row],[Not_allocated]]&gt;=6,Table1[[#Headers],[Not_allocated]],"")</f>
        <v>Not_allocated</v>
      </c>
      <c r="AG38" s="20" t="str">
        <f>IF(Table1[[#This Row],[Canteen]]&gt;=6,Table1[[#Headers],[Canteen]],"")</f>
        <v/>
      </c>
      <c r="AH38" s="20" t="str">
        <f>IF(Table1[[#This Row],[Data_centre]]&gt;=6,Table1[[#Headers],[Data_centre]],"")</f>
        <v/>
      </c>
      <c r="AI38" s="20" t="str">
        <f>IF(Table1[[#This Row],[Refrigeration_unit2]]&gt;=6,Table1[[#Headers],[Refrigeration_unit2]],"")</f>
        <v>Refrigeration_unit2</v>
      </c>
      <c r="AJ38" s="20" t="str">
        <f>IF(Table1[[#This Row],[Rectory]]&gt;=6,Table1[[#Headers],[Rectory]],"")</f>
        <v/>
      </c>
      <c r="AK38" s="20" t="str">
        <f>IF(Table1[[#This Row],[DIMAT]]&gt;=6,Table1[[#Headers],[DIMAT]],"")</f>
        <v/>
      </c>
      <c r="AL38" s="20" t="str">
        <f>IF(Table1[[#This Row],[Print_shop]]&gt;=6,Table1[[#Headers],[Print_shop]],"")</f>
        <v/>
      </c>
    </row>
    <row r="39" spans="2:38" s="4" customFormat="1" hidden="1">
      <c r="B39" s="5">
        <v>43632</v>
      </c>
      <c r="C39" s="11">
        <v>0</v>
      </c>
      <c r="D39" s="5" t="s">
        <v>34</v>
      </c>
      <c r="E39" s="5" t="str">
        <f>TEXT(Table1[[#This Row],[Date]], "mmmm")</f>
        <v>June</v>
      </c>
      <c r="F39" s="5" t="str">
        <f>TEXT(Table1[[#This Row],[Date]], "dddd")</f>
        <v>Sunday</v>
      </c>
      <c r="G39" s="1">
        <v>5</v>
      </c>
      <c r="H39" s="1">
        <v>8</v>
      </c>
      <c r="I39" s="1">
        <v>8</v>
      </c>
      <c r="J39" s="1">
        <v>1</v>
      </c>
      <c r="K39" s="1">
        <v>3</v>
      </c>
      <c r="L39" s="1">
        <v>0</v>
      </c>
      <c r="M39" s="1">
        <v>1</v>
      </c>
      <c r="N39" s="1">
        <v>1</v>
      </c>
      <c r="O39" s="1">
        <v>0</v>
      </c>
      <c r="P39" s="2">
        <v>245.94266666666701</v>
      </c>
      <c r="Q39" s="2">
        <v>255.886666666667</v>
      </c>
      <c r="R39" s="2">
        <v>-12.4973333333333</v>
      </c>
      <c r="S39" s="2">
        <v>22.389333333333301</v>
      </c>
      <c r="T39" s="2">
        <v>-4.7786666666666697</v>
      </c>
      <c r="U39" s="2">
        <v>-6.3413333333333401</v>
      </c>
      <c r="V39" s="2">
        <v>-6.3413333333333401</v>
      </c>
      <c r="W39" s="2">
        <v>0.15866666666666701</v>
      </c>
      <c r="X39" s="3">
        <v>37.025209105708001</v>
      </c>
      <c r="Y39" s="3">
        <v>82.143086438247707</v>
      </c>
      <c r="Z39" s="3">
        <v>-16.775544538506999</v>
      </c>
      <c r="AA39" s="3">
        <v>12.556362303993801</v>
      </c>
      <c r="AB39" s="3">
        <v>-21.941961552589699</v>
      </c>
      <c r="AC39" s="3">
        <v>-12.185186134098499</v>
      </c>
      <c r="AD39" s="3">
        <v>-12.185186134098499</v>
      </c>
      <c r="AE39" s="3">
        <v>8.6169442433019494</v>
      </c>
      <c r="AF39" s="20" t="str">
        <f>IF(Table1[[#This Row],[Not_allocated]]&gt;=6,Table1[[#Headers],[Not_allocated]],"")</f>
        <v>Not_allocated</v>
      </c>
      <c r="AG39" s="20" t="str">
        <f>IF(Table1[[#This Row],[Canteen]]&gt;=6,Table1[[#Headers],[Canteen]],"")</f>
        <v/>
      </c>
      <c r="AH39" s="20" t="str">
        <f>IF(Table1[[#This Row],[Data_centre]]&gt;=6,Table1[[#Headers],[Data_centre]],"")</f>
        <v/>
      </c>
      <c r="AI39" s="20" t="str">
        <f>IF(Table1[[#This Row],[Refrigeration_unit2]]&gt;=6,Table1[[#Headers],[Refrigeration_unit2]],"")</f>
        <v/>
      </c>
      <c r="AJ39" s="20" t="str">
        <f>IF(Table1[[#This Row],[Rectory]]&gt;=6,Table1[[#Headers],[Rectory]],"")</f>
        <v/>
      </c>
      <c r="AK39" s="20" t="str">
        <f>IF(Table1[[#This Row],[DIMAT]]&gt;=6,Table1[[#Headers],[DIMAT]],"")</f>
        <v/>
      </c>
      <c r="AL39" s="20" t="str">
        <f>IF(Table1[[#This Row],[Print_shop]]&gt;=6,Table1[[#Headers],[Print_shop]],"")</f>
        <v/>
      </c>
    </row>
    <row r="40" spans="2:38" hidden="1">
      <c r="B40" s="5">
        <v>43660</v>
      </c>
      <c r="C40" s="11">
        <v>0</v>
      </c>
      <c r="D40" s="5" t="s">
        <v>34</v>
      </c>
      <c r="E40" s="5" t="str">
        <f>TEXT(Table1[[#This Row],[Date]], "mmmm")</f>
        <v>July</v>
      </c>
      <c r="F40" s="5" t="str">
        <f>TEXT(Table1[[#This Row],[Date]], "dddd")</f>
        <v>Sunday</v>
      </c>
      <c r="G40" s="1">
        <v>1</v>
      </c>
      <c r="H40" s="1">
        <v>8</v>
      </c>
      <c r="I40" s="1">
        <v>8</v>
      </c>
      <c r="J40" s="1">
        <v>1</v>
      </c>
      <c r="K40" s="1">
        <v>1</v>
      </c>
      <c r="L40" s="1">
        <v>0</v>
      </c>
      <c r="M40" s="1">
        <v>2</v>
      </c>
      <c r="N40" s="1">
        <v>1</v>
      </c>
      <c r="O40" s="1">
        <v>0</v>
      </c>
      <c r="P40" s="2">
        <v>272.16060606060603</v>
      </c>
      <c r="Q40" s="2">
        <v>282.96600000000001</v>
      </c>
      <c r="R40" s="2">
        <v>-12.592000000000001</v>
      </c>
      <c r="S40" s="2">
        <v>5.3709090909090902</v>
      </c>
      <c r="T40" s="2">
        <v>-2.2266666666666701</v>
      </c>
      <c r="U40" s="2">
        <v>8.3279999999999994</v>
      </c>
      <c r="V40" s="2">
        <v>1.2303636363636401</v>
      </c>
      <c r="W40" s="2">
        <v>0.289333333333333</v>
      </c>
      <c r="X40" s="3">
        <f>ABS(Table1[[#This Row],[Total_Power]]*Table1[[#This Row],[Total_Power_energy_absolute]])</f>
        <v>2177.2848484848482</v>
      </c>
      <c r="Y40" s="3">
        <f>ABS(Table1[[#This Row],[Not_allocated]]*Table1[[#This Row],[Not_allocated_energy_absolute]])</f>
        <v>2263.7280000000001</v>
      </c>
      <c r="Z40" s="3">
        <f>ABS(Table1[[#This Row],[Canteen]]*Table1[[#This Row],[Canteen_energy_absolute]])</f>
        <v>12.592000000000001</v>
      </c>
      <c r="AA40" s="3">
        <f>ABS(Table1[[#This Row],[Data_centre]]*Table1[[#This Row],[Data_centre_energy_absolute]])</f>
        <v>5.3709090909090902</v>
      </c>
      <c r="AB40" s="3">
        <f>ABS(Table1[[#This Row],[Refrigeration_unit2]]*Table1[[#This Row],[Refrigeration_unit2_energy_absolute]])</f>
        <v>0</v>
      </c>
      <c r="AC40" s="3">
        <f>ABS(Table1[[#This Row],[Rectory]]*Table1[[#This Row],[Rectory_energy_absolute]])</f>
        <v>16.655999999999999</v>
      </c>
      <c r="AD40" s="3">
        <f>ABS(Table1[[#This Row],[DIMAT]]*Table1[[#This Row],[DIMAT_energy_absolute]])</f>
        <v>1.2303636363636401</v>
      </c>
      <c r="AE40" s="3">
        <f>ABS(Table1[[#This Row],[Print_shop]]*Table1[[#This Row],[Print_shop_energy_absolute]])</f>
        <v>0</v>
      </c>
      <c r="AF40" s="20" t="str">
        <f>IF(Table1[[#This Row],[Not_allocated]]&gt;=6,Table1[[#Headers],[Not_allocated]],"")</f>
        <v>Not_allocated</v>
      </c>
      <c r="AG40" s="20" t="str">
        <f>IF(Table1[[#This Row],[Canteen]]&gt;=6,Table1[[#Headers],[Canteen]],"")</f>
        <v/>
      </c>
      <c r="AH40" s="20" t="str">
        <f>IF(Table1[[#This Row],[Data_centre]]&gt;=6,Table1[[#Headers],[Data_centre]],"")</f>
        <v/>
      </c>
      <c r="AI40" s="20" t="str">
        <f>IF(Table1[[#This Row],[Refrigeration_unit2]]&gt;=6,Table1[[#Headers],[Refrigeration_unit2]],"")</f>
        <v/>
      </c>
      <c r="AJ40" s="20" t="str">
        <f>IF(Table1[[#This Row],[Rectory]]&gt;=6,Table1[[#Headers],[Rectory]],"")</f>
        <v/>
      </c>
      <c r="AK40" s="20" t="str">
        <f>IF(Table1[[#This Row],[DIMAT]]&gt;=6,Table1[[#Headers],[DIMAT]],"")</f>
        <v/>
      </c>
      <c r="AL40" s="20" t="str">
        <f>IF(Table1[[#This Row],[Print_shop]]&gt;=6,Table1[[#Headers],[Print_shop]],"")</f>
        <v/>
      </c>
    </row>
    <row r="41" spans="2:38" s="4" customFormat="1" hidden="1">
      <c r="B41" s="5">
        <v>43778</v>
      </c>
      <c r="C41" s="11">
        <v>0</v>
      </c>
      <c r="D41" s="5" t="s">
        <v>32</v>
      </c>
      <c r="E41" s="5" t="str">
        <f>TEXT(Table1[[#This Row],[Date]], "mmmm")</f>
        <v>November</v>
      </c>
      <c r="F41" s="5" t="str">
        <f>TEXT(Table1[[#This Row],[Date]], "dddd")</f>
        <v>Saturday</v>
      </c>
      <c r="G41" s="1">
        <v>4</v>
      </c>
      <c r="H41" s="1">
        <v>8</v>
      </c>
      <c r="I41" s="1">
        <v>8</v>
      </c>
      <c r="J41" s="1">
        <v>1</v>
      </c>
      <c r="K41" s="1">
        <v>0</v>
      </c>
      <c r="L41" s="1">
        <v>0</v>
      </c>
      <c r="M41" s="1">
        <v>1</v>
      </c>
      <c r="N41" s="1">
        <v>1</v>
      </c>
      <c r="O41" s="1">
        <v>0</v>
      </c>
      <c r="P41" s="2">
        <v>384.41489361702099</v>
      </c>
      <c r="Q41" s="2">
        <v>363.76595744680799</v>
      </c>
      <c r="R41" s="2">
        <v>-1.70425531914894</v>
      </c>
      <c r="S41" s="2">
        <v>-1.5702127659574501</v>
      </c>
      <c r="T41" s="2">
        <v>-9.0723404255319195</v>
      </c>
      <c r="U41" s="2">
        <v>4.21702127659574</v>
      </c>
      <c r="V41" s="2">
        <v>0.19148936170212799</v>
      </c>
      <c r="W41" s="2">
        <v>-0.15531914893616999</v>
      </c>
      <c r="X41" s="3">
        <v>72.1384195227904</v>
      </c>
      <c r="Y41" s="3">
        <v>135.71632691941301</v>
      </c>
      <c r="Z41" s="3">
        <v>-3.6257468766974599</v>
      </c>
      <c r="AA41" s="3">
        <v>-1.12989160389492</v>
      </c>
      <c r="AB41" s="3">
        <v>-47.568049977688503</v>
      </c>
      <c r="AC41" s="3">
        <v>11.433516008076101</v>
      </c>
      <c r="AD41" s="3">
        <v>1.44974226804124</v>
      </c>
      <c r="AE41" s="3">
        <v>-9.9863201094391201</v>
      </c>
      <c r="AF41" s="20" t="str">
        <f>IF(Table1[[#This Row],[Not_allocated]]&gt;=6,Table1[[#Headers],[Not_allocated]],"")</f>
        <v>Not_allocated</v>
      </c>
      <c r="AG41" s="20" t="str">
        <f>IF(Table1[[#This Row],[Canteen]]&gt;=6,Table1[[#Headers],[Canteen]],"")</f>
        <v/>
      </c>
      <c r="AH41" s="20" t="str">
        <f>IF(Table1[[#This Row],[Data_centre]]&gt;=6,Table1[[#Headers],[Data_centre]],"")</f>
        <v/>
      </c>
      <c r="AI41" s="20" t="str">
        <f>IF(Table1[[#This Row],[Refrigeration_unit2]]&gt;=6,Table1[[#Headers],[Refrigeration_unit2]],"")</f>
        <v/>
      </c>
      <c r="AJ41" s="20" t="str">
        <f>IF(Table1[[#This Row],[Rectory]]&gt;=6,Table1[[#Headers],[Rectory]],"")</f>
        <v/>
      </c>
      <c r="AK41" s="20" t="str">
        <f>IF(Table1[[#This Row],[DIMAT]]&gt;=6,Table1[[#Headers],[DIMAT]],"")</f>
        <v/>
      </c>
      <c r="AL41" s="20" t="str">
        <f>IF(Table1[[#This Row],[Print_shop]]&gt;=6,Table1[[#Headers],[Print_shop]],"")</f>
        <v/>
      </c>
    </row>
    <row r="42" spans="2:38" s="4" customFormat="1" hidden="1">
      <c r="B42" s="5">
        <v>43778</v>
      </c>
      <c r="C42" s="11">
        <v>0</v>
      </c>
      <c r="D42" s="5" t="s">
        <v>32</v>
      </c>
      <c r="E42" s="5" t="str">
        <f>TEXT(Table1[[#This Row],[Date]], "mmmm")</f>
        <v>November</v>
      </c>
      <c r="F42" s="5" t="str">
        <f>TEXT(Table1[[#This Row],[Date]], "dddd")</f>
        <v>Saturday</v>
      </c>
      <c r="G42" s="1">
        <v>5</v>
      </c>
      <c r="H42" s="1">
        <v>8</v>
      </c>
      <c r="I42" s="1">
        <v>8</v>
      </c>
      <c r="J42" s="1">
        <v>1</v>
      </c>
      <c r="K42" s="1">
        <v>1</v>
      </c>
      <c r="L42" s="1">
        <v>0</v>
      </c>
      <c r="M42" s="1">
        <v>1</v>
      </c>
      <c r="N42" s="1">
        <v>1</v>
      </c>
      <c r="O42" s="1">
        <v>0</v>
      </c>
      <c r="P42" s="2">
        <v>299.75829787233999</v>
      </c>
      <c r="Q42" s="2">
        <v>289.79117021276602</v>
      </c>
      <c r="R42" s="2">
        <v>-2.3276595744680901</v>
      </c>
      <c r="S42" s="2">
        <v>-0.89613152804642504</v>
      </c>
      <c r="T42" s="2">
        <v>-7.6042553191489404</v>
      </c>
      <c r="U42" s="2">
        <v>2.2723404255319202</v>
      </c>
      <c r="V42" s="2">
        <v>2.2723404255319202</v>
      </c>
      <c r="W42" s="2">
        <v>1.9148936170212599E-2</v>
      </c>
      <c r="X42" s="3">
        <v>42.826180660638599</v>
      </c>
      <c r="Y42" s="3">
        <v>81.217488475710994</v>
      </c>
      <c r="Z42" s="3">
        <v>-3.8711960368011402</v>
      </c>
      <c r="AA42" s="3">
        <v>-0.49320341633586301</v>
      </c>
      <c r="AB42" s="3">
        <v>-36.727982735587297</v>
      </c>
      <c r="AC42" s="3">
        <v>4.4185180588308199</v>
      </c>
      <c r="AD42" s="3">
        <v>4.4185180588308199</v>
      </c>
      <c r="AE42" s="3">
        <v>0.96670247046186697</v>
      </c>
      <c r="AF42" s="20" t="str">
        <f>IF(Table1[[#This Row],[Not_allocated]]&gt;=6,Table1[[#Headers],[Not_allocated]],"")</f>
        <v>Not_allocated</v>
      </c>
      <c r="AG42" s="20" t="str">
        <f>IF(Table1[[#This Row],[Canteen]]&gt;=6,Table1[[#Headers],[Canteen]],"")</f>
        <v/>
      </c>
      <c r="AH42" s="20" t="str">
        <f>IF(Table1[[#This Row],[Data_centre]]&gt;=6,Table1[[#Headers],[Data_centre]],"")</f>
        <v/>
      </c>
      <c r="AI42" s="20" t="str">
        <f>IF(Table1[[#This Row],[Refrigeration_unit2]]&gt;=6,Table1[[#Headers],[Refrigeration_unit2]],"")</f>
        <v/>
      </c>
      <c r="AJ42" s="20" t="str">
        <f>IF(Table1[[#This Row],[Rectory]]&gt;=6,Table1[[#Headers],[Rectory]],"")</f>
        <v/>
      </c>
      <c r="AK42" s="20" t="str">
        <f>IF(Table1[[#This Row],[DIMAT]]&gt;=6,Table1[[#Headers],[DIMAT]],"")</f>
        <v/>
      </c>
      <c r="AL42" s="20" t="str">
        <f>IF(Table1[[#This Row],[Print_shop]]&gt;=6,Table1[[#Headers],[Print_shop]],"")</f>
        <v/>
      </c>
    </row>
    <row r="43" spans="2:38">
      <c r="B43" s="5">
        <v>43676</v>
      </c>
      <c r="C43" s="11">
        <v>0</v>
      </c>
      <c r="D43" s="5" t="s">
        <v>34</v>
      </c>
      <c r="E43" s="5" t="str">
        <f>TEXT(Table1[[#This Row],[Date]], "mmmm")</f>
        <v>July</v>
      </c>
      <c r="F43" s="5" t="str">
        <f>TEXT(Table1[[#This Row],[Date]], "dddd")</f>
        <v>Tuesday</v>
      </c>
      <c r="G43" s="1">
        <v>1</v>
      </c>
      <c r="H43" s="1">
        <v>6</v>
      </c>
      <c r="I43" s="1">
        <v>0</v>
      </c>
      <c r="J43" s="1">
        <v>2</v>
      </c>
      <c r="K43" s="1">
        <v>2</v>
      </c>
      <c r="L43" s="1">
        <v>8</v>
      </c>
      <c r="M43" s="1">
        <v>3</v>
      </c>
      <c r="N43" s="1">
        <v>1</v>
      </c>
      <c r="O43" s="1">
        <v>7</v>
      </c>
      <c r="P43" s="2">
        <v>185.234990622135</v>
      </c>
      <c r="Q43" s="2">
        <v>65.777964480874303</v>
      </c>
      <c r="R43" s="2">
        <v>1.5584699453552</v>
      </c>
      <c r="S43" s="2">
        <v>16.221479613282899</v>
      </c>
      <c r="T43" s="2">
        <v>108.69890710382499</v>
      </c>
      <c r="U43" s="2">
        <v>13.510928961748601</v>
      </c>
      <c r="V43" s="2">
        <v>-6.6628415300546502</v>
      </c>
      <c r="W43" s="2">
        <v>4.9530054644808699</v>
      </c>
      <c r="X43" s="3">
        <f>ABS(Table1[[#This Row],[Total_Power]]*Table1[[#This Row],[Total_Power_energy_absolute]])</f>
        <v>1111.40994373281</v>
      </c>
      <c r="Y43" s="3">
        <f>ABS(Table1[[#This Row],[Not_allocated]]*Table1[[#This Row],[Not_allocated_energy_absolute]])</f>
        <v>0</v>
      </c>
      <c r="Z43" s="3">
        <f>ABS(Table1[[#This Row],[Canteen]]*Table1[[#This Row],[Canteen_energy_absolute]])</f>
        <v>3.1169398907104</v>
      </c>
      <c r="AA43" s="3">
        <f>ABS(Table1[[#This Row],[Data_centre]]*Table1[[#This Row],[Data_centre_energy_absolute]])</f>
        <v>32.442959226565797</v>
      </c>
      <c r="AB43" s="3">
        <f>ABS(Table1[[#This Row],[Refrigeration_unit2]]*Table1[[#This Row],[Refrigeration_unit2_energy_absolute]])</f>
        <v>869.59125683059995</v>
      </c>
      <c r="AC43" s="3">
        <f>ABS(Table1[[#This Row],[Rectory]]*Table1[[#This Row],[Rectory_energy_absolute]])</f>
        <v>40.532786885245798</v>
      </c>
      <c r="AD43" s="3">
        <f>ABS(Table1[[#This Row],[DIMAT]]*Table1[[#This Row],[DIMAT_energy_absolute]])</f>
        <v>6.6628415300546502</v>
      </c>
      <c r="AE43" s="3">
        <f>ABS(Table1[[#This Row],[Print_shop]]*Table1[[#This Row],[Print_shop_energy_absolute]])</f>
        <v>34.671038251366092</v>
      </c>
      <c r="AF43" s="20" t="str">
        <f>IF(Table1[[#This Row],[Not_allocated]]&gt;=6,Table1[[#Headers],[Not_allocated]],"")</f>
        <v/>
      </c>
      <c r="AG43" s="20" t="str">
        <f>IF(Table1[[#This Row],[Canteen]]&gt;=6,Table1[[#Headers],[Canteen]],"")</f>
        <v/>
      </c>
      <c r="AH43" s="20" t="str">
        <f>IF(Table1[[#This Row],[Data_centre]]&gt;=6,Table1[[#Headers],[Data_centre]],"")</f>
        <v/>
      </c>
      <c r="AI43" s="20" t="str">
        <f>IF(Table1[[#This Row],[Refrigeration_unit2]]&gt;=6,Table1[[#Headers],[Refrigeration_unit2]],"")</f>
        <v>Refrigeration_unit2</v>
      </c>
      <c r="AJ43" s="20" t="str">
        <f>IF(Table1[[#This Row],[Rectory]]&gt;=6,Table1[[#Headers],[Rectory]],"")</f>
        <v/>
      </c>
      <c r="AK43" s="20" t="str">
        <f>IF(Table1[[#This Row],[DIMAT]]&gt;=6,Table1[[#Headers],[DIMAT]],"")</f>
        <v/>
      </c>
      <c r="AL43" s="20" t="str">
        <f>IF(Table1[[#This Row],[Print_shop]]&gt;=6,Table1[[#Headers],[Print_shop]],"")</f>
        <v>Print_shop</v>
      </c>
    </row>
    <row r="44" spans="2:38" s="4" customFormat="1" hidden="1">
      <c r="B44" s="5">
        <v>43694</v>
      </c>
      <c r="C44" s="11">
        <v>0</v>
      </c>
      <c r="D44" s="5" t="s">
        <v>34</v>
      </c>
      <c r="E44" s="5" t="str">
        <f>TEXT(Table1[[#This Row],[Date]], "mmmm")</f>
        <v>August</v>
      </c>
      <c r="F44" s="5" t="str">
        <f>TEXT(Table1[[#This Row],[Date]], "dddd")</f>
        <v>Saturday</v>
      </c>
      <c r="G44" s="1">
        <v>2</v>
      </c>
      <c r="H44" s="1">
        <v>6</v>
      </c>
      <c r="I44" s="1">
        <v>0</v>
      </c>
      <c r="J44" s="1">
        <v>2</v>
      </c>
      <c r="K44" s="1">
        <v>1</v>
      </c>
      <c r="L44" s="1">
        <v>8</v>
      </c>
      <c r="M44" s="1">
        <v>1</v>
      </c>
      <c r="N44" s="1">
        <v>1</v>
      </c>
      <c r="O44" s="1">
        <v>8</v>
      </c>
      <c r="P44" s="2">
        <v>144.564333333333</v>
      </c>
      <c r="Q44" s="2">
        <v>66.600333333333296</v>
      </c>
      <c r="R44" s="2">
        <v>-23.734666666666701</v>
      </c>
      <c r="S44" s="2">
        <v>-2.57466666666667</v>
      </c>
      <c r="T44" s="2">
        <v>108.026666666667</v>
      </c>
      <c r="U44" s="2">
        <v>2.08266666666667</v>
      </c>
      <c r="V44" s="2">
        <v>-3.3506666666666698</v>
      </c>
      <c r="W44" s="2">
        <v>2.3959999999999999</v>
      </c>
      <c r="X44" s="3">
        <v>37.800954757532203</v>
      </c>
      <c r="Y44" s="3">
        <v>38.970429043161801</v>
      </c>
      <c r="Z44" s="3">
        <v>-48.1095105537688</v>
      </c>
      <c r="AA44" s="3">
        <v>-2.7052016643084298</v>
      </c>
      <c r="AB44" s="3">
        <v>439.60933260987503</v>
      </c>
      <c r="AC44" s="3">
        <v>7.5685628452369498</v>
      </c>
      <c r="AD44" s="3">
        <v>-37.857788490509201</v>
      </c>
      <c r="AE44" s="3">
        <v>199.00332225913601</v>
      </c>
      <c r="AF44" s="20" t="str">
        <f>IF(Table1[[#This Row],[Not_allocated]]&gt;=6,Table1[[#Headers],[Not_allocated]],"")</f>
        <v/>
      </c>
      <c r="AG44" s="20" t="str">
        <f>IF(Table1[[#This Row],[Canteen]]&gt;=6,Table1[[#Headers],[Canteen]],"")</f>
        <v/>
      </c>
      <c r="AH44" s="20" t="str">
        <f>IF(Table1[[#This Row],[Data_centre]]&gt;=6,Table1[[#Headers],[Data_centre]],"")</f>
        <v/>
      </c>
      <c r="AI44" s="20" t="str">
        <f>IF(Table1[[#This Row],[Refrigeration_unit2]]&gt;=6,Table1[[#Headers],[Refrigeration_unit2]],"")</f>
        <v>Refrigeration_unit2</v>
      </c>
      <c r="AJ44" s="20" t="str">
        <f>IF(Table1[[#This Row],[Rectory]]&gt;=6,Table1[[#Headers],[Rectory]],"")</f>
        <v/>
      </c>
      <c r="AK44" s="20" t="str">
        <f>IF(Table1[[#This Row],[DIMAT]]&gt;=6,Table1[[#Headers],[DIMAT]],"")</f>
        <v/>
      </c>
      <c r="AL44" s="20" t="str">
        <f>IF(Table1[[#This Row],[Print_shop]]&gt;=6,Table1[[#Headers],[Print_shop]],"")</f>
        <v>Print_shop</v>
      </c>
    </row>
    <row r="45" spans="2:38" s="4" customFormat="1" hidden="1">
      <c r="B45" s="5">
        <v>43690</v>
      </c>
      <c r="C45" s="11">
        <v>0</v>
      </c>
      <c r="D45" s="5" t="s">
        <v>34</v>
      </c>
      <c r="E45" s="5" t="str">
        <f>TEXT(Table1[[#This Row],[Date]], "mmmm")</f>
        <v>August</v>
      </c>
      <c r="F45" s="5" t="str">
        <f>TEXT(Table1[[#This Row],[Date]], "dddd")</f>
        <v>Tuesday</v>
      </c>
      <c r="G45" s="1">
        <v>2</v>
      </c>
      <c r="H45" s="1">
        <v>7</v>
      </c>
      <c r="I45" s="1">
        <v>0</v>
      </c>
      <c r="J45" s="1">
        <v>2</v>
      </c>
      <c r="K45" s="1">
        <v>1</v>
      </c>
      <c r="L45" s="1">
        <v>8</v>
      </c>
      <c r="M45" s="1">
        <v>1</v>
      </c>
      <c r="N45" s="1">
        <v>1</v>
      </c>
      <c r="O45" s="1">
        <v>0</v>
      </c>
      <c r="P45" s="2">
        <v>141.064333333333</v>
      </c>
      <c r="Q45" s="2">
        <v>-38.499666666666698</v>
      </c>
      <c r="R45" s="2">
        <v>26.3653333333333</v>
      </c>
      <c r="S45" s="2">
        <v>6.8253333333333304</v>
      </c>
      <c r="T45" s="2">
        <v>153.32666666666699</v>
      </c>
      <c r="U45" s="2">
        <v>1.6826666666666701</v>
      </c>
      <c r="V45" s="2">
        <v>-3.3506666666666698</v>
      </c>
      <c r="W45" s="2">
        <v>-0.40400000000000003</v>
      </c>
      <c r="X45" s="3">
        <v>36.885768150983097</v>
      </c>
      <c r="Y45" s="3">
        <v>-22.527642924991099</v>
      </c>
      <c r="Z45" s="3">
        <v>53.441798870300801</v>
      </c>
      <c r="AA45" s="3">
        <v>7.1713761365069102</v>
      </c>
      <c r="AB45" s="3">
        <v>623.95550732501397</v>
      </c>
      <c r="AC45" s="3">
        <v>6.1149336175986102</v>
      </c>
      <c r="AD45" s="3">
        <v>-37.857788490509201</v>
      </c>
      <c r="AE45" s="3">
        <v>-33.554817275747503</v>
      </c>
      <c r="AF45" s="20" t="str">
        <f>IF(Table1[[#This Row],[Not_allocated]]&gt;=6,Table1[[#Headers],[Not_allocated]],"")</f>
        <v/>
      </c>
      <c r="AG45" s="20" t="str">
        <f>IF(Table1[[#This Row],[Canteen]]&gt;=6,Table1[[#Headers],[Canteen]],"")</f>
        <v/>
      </c>
      <c r="AH45" s="20" t="str">
        <f>IF(Table1[[#This Row],[Data_centre]]&gt;=6,Table1[[#Headers],[Data_centre]],"")</f>
        <v/>
      </c>
      <c r="AI45" s="20" t="str">
        <f>IF(Table1[[#This Row],[Refrigeration_unit2]]&gt;=6,Table1[[#Headers],[Refrigeration_unit2]],"")</f>
        <v>Refrigeration_unit2</v>
      </c>
      <c r="AJ45" s="20" t="str">
        <f>IF(Table1[[#This Row],[Rectory]]&gt;=6,Table1[[#Headers],[Rectory]],"")</f>
        <v/>
      </c>
      <c r="AK45" s="20" t="str">
        <f>IF(Table1[[#This Row],[DIMAT]]&gt;=6,Table1[[#Headers],[DIMAT]],"")</f>
        <v/>
      </c>
      <c r="AL45" s="20" t="str">
        <f>IF(Table1[[#This Row],[Print_shop]]&gt;=6,Table1[[#Headers],[Print_shop]],"")</f>
        <v/>
      </c>
    </row>
    <row r="46" spans="2:38" hidden="1">
      <c r="B46" s="5">
        <v>43652</v>
      </c>
      <c r="C46" s="11">
        <v>1</v>
      </c>
      <c r="D46" s="5" t="s">
        <v>34</v>
      </c>
      <c r="E46" s="5" t="str">
        <f>TEXT(Table1[[#This Row],[Date]], "mmmm")</f>
        <v>July</v>
      </c>
      <c r="F46" s="5" t="str">
        <f>TEXT(Table1[[#This Row],[Date]], "dddd")</f>
        <v>Saturday</v>
      </c>
      <c r="G46" s="1">
        <v>4</v>
      </c>
      <c r="H46" s="1">
        <v>8</v>
      </c>
      <c r="I46" s="1">
        <v>0</v>
      </c>
      <c r="J46" s="1">
        <v>2</v>
      </c>
      <c r="K46" s="1">
        <v>0</v>
      </c>
      <c r="L46" s="1">
        <v>8</v>
      </c>
      <c r="M46" s="1">
        <v>1</v>
      </c>
      <c r="N46" s="1">
        <v>1</v>
      </c>
      <c r="O46" s="1">
        <v>1</v>
      </c>
      <c r="P46" s="2">
        <v>345.01489361702102</v>
      </c>
      <c r="Q46" s="2">
        <v>-14.134042553191501</v>
      </c>
      <c r="R46" s="2">
        <v>10.795744680851101</v>
      </c>
      <c r="S46" s="2">
        <v>-1.5702127659574501</v>
      </c>
      <c r="T46" s="2">
        <v>360.42765957446801</v>
      </c>
      <c r="U46" s="2">
        <v>-0.78297872340425601</v>
      </c>
      <c r="V46" s="2">
        <v>-1.60851063829787</v>
      </c>
      <c r="W46" s="2">
        <v>4.46808510638299E-2</v>
      </c>
      <c r="X46" s="3">
        <v>64.744705656881806</v>
      </c>
      <c r="Y46" s="3">
        <v>-5.2732266463453401</v>
      </c>
      <c r="Z46" s="3">
        <v>22.967590077856201</v>
      </c>
      <c r="AA46" s="3">
        <v>-1.12989160389492</v>
      </c>
      <c r="AB46" s="3">
        <v>1889.79250334672</v>
      </c>
      <c r="AC46" s="3">
        <v>-2.1228728006922402</v>
      </c>
      <c r="AD46" s="3">
        <v>-12.177835051546399</v>
      </c>
      <c r="AE46" s="3">
        <v>2.8727770177838599</v>
      </c>
      <c r="AF46" s="20" t="str">
        <f>IF(Table1[[#This Row],[Not_allocated]]&gt;=6,Table1[[#Headers],[Not_allocated]],"")</f>
        <v/>
      </c>
      <c r="AG46" s="20" t="str">
        <f>IF(Table1[[#This Row],[Canteen]]&gt;=6,Table1[[#Headers],[Canteen]],"")</f>
        <v/>
      </c>
      <c r="AH46" s="20" t="str">
        <f>IF(Table1[[#This Row],[Data_centre]]&gt;=6,Table1[[#Headers],[Data_centre]],"")</f>
        <v/>
      </c>
      <c r="AI46" s="20" t="str">
        <f>IF(Table1[[#This Row],[Refrigeration_unit2]]&gt;=6,Table1[[#Headers],[Refrigeration_unit2]],"")</f>
        <v>Refrigeration_unit2</v>
      </c>
      <c r="AJ46" s="20" t="str">
        <f>IF(Table1[[#This Row],[Rectory]]&gt;=6,Table1[[#Headers],[Rectory]],"")</f>
        <v/>
      </c>
      <c r="AK46" s="20" t="str">
        <f>IF(Table1[[#This Row],[DIMAT]]&gt;=6,Table1[[#Headers],[DIMAT]],"")</f>
        <v/>
      </c>
      <c r="AL46" s="20" t="str">
        <f>IF(Table1[[#This Row],[Print_shop]]&gt;=6,Table1[[#Headers],[Print_shop]],"")</f>
        <v/>
      </c>
    </row>
    <row r="47" spans="2:38" hidden="1">
      <c r="B47" s="5">
        <v>43662</v>
      </c>
      <c r="C47" s="11">
        <v>0</v>
      </c>
      <c r="D47" s="5" t="s">
        <v>34</v>
      </c>
      <c r="E47" s="5" t="str">
        <f>TEXT(Table1[[#This Row],[Date]], "mmmm")</f>
        <v>July</v>
      </c>
      <c r="F47" s="5" t="str">
        <f>TEXT(Table1[[#This Row],[Date]], "dddd")</f>
        <v>Tuesday</v>
      </c>
      <c r="G47" s="1">
        <v>1</v>
      </c>
      <c r="H47" s="1">
        <v>8</v>
      </c>
      <c r="I47" s="1">
        <v>0</v>
      </c>
      <c r="J47" s="1">
        <v>2</v>
      </c>
      <c r="K47" s="1">
        <v>2</v>
      </c>
      <c r="L47" s="1">
        <v>8</v>
      </c>
      <c r="M47" s="1">
        <v>1</v>
      </c>
      <c r="N47" s="1">
        <v>1</v>
      </c>
      <c r="O47" s="1">
        <v>0</v>
      </c>
      <c r="P47" s="2">
        <v>241.334990622135</v>
      </c>
      <c r="Q47" s="2">
        <v>12.777964480874299</v>
      </c>
      <c r="R47" s="2">
        <v>-7.8415300546448101</v>
      </c>
      <c r="S47" s="2">
        <v>-16.278520386717101</v>
      </c>
      <c r="T47" s="2">
        <v>264.298907103825</v>
      </c>
      <c r="U47" s="2">
        <v>6.5109289617486299</v>
      </c>
      <c r="V47" s="2">
        <v>0.83715846994535403</v>
      </c>
      <c r="W47" s="2">
        <v>-0.146994535519126</v>
      </c>
      <c r="X47" s="3">
        <f>ABS(Table1[[#This Row],[Total_Power]]*Table1[[#This Row],[Total_Power_energy_absolute]])</f>
        <v>1930.67992497708</v>
      </c>
      <c r="Y47" s="3">
        <f>ABS(Table1[[#This Row],[Not_allocated]]*Table1[[#This Row],[Not_allocated_energy_absolute]])</f>
        <v>0</v>
      </c>
      <c r="Z47" s="3">
        <f>ABS(Table1[[#This Row],[Canteen]]*Table1[[#This Row],[Canteen_energy_absolute]])</f>
        <v>15.68306010928962</v>
      </c>
      <c r="AA47" s="3">
        <f>ABS(Table1[[#This Row],[Data_centre]]*Table1[[#This Row],[Data_centre_energy_absolute]])</f>
        <v>32.557040773434203</v>
      </c>
      <c r="AB47" s="3">
        <f>ABS(Table1[[#This Row],[Refrigeration_unit2]]*Table1[[#This Row],[Refrigeration_unit2_energy_absolute]])</f>
        <v>2114.3912568306</v>
      </c>
      <c r="AC47" s="3">
        <f>ABS(Table1[[#This Row],[Rectory]]*Table1[[#This Row],[Rectory_energy_absolute]])</f>
        <v>6.5109289617486299</v>
      </c>
      <c r="AD47" s="3">
        <f>ABS(Table1[[#This Row],[DIMAT]]*Table1[[#This Row],[DIMAT_energy_absolute]])</f>
        <v>0.83715846994535403</v>
      </c>
      <c r="AE47" s="3">
        <f>ABS(Table1[[#This Row],[Print_shop]]*Table1[[#This Row],[Print_shop_energy_absolute]])</f>
        <v>0</v>
      </c>
      <c r="AF47" s="20" t="str">
        <f>IF(Table1[[#This Row],[Not_allocated]]&gt;=6,Table1[[#Headers],[Not_allocated]],"")</f>
        <v/>
      </c>
      <c r="AG47" s="20" t="str">
        <f>IF(Table1[[#This Row],[Canteen]]&gt;=6,Table1[[#Headers],[Canteen]],"")</f>
        <v/>
      </c>
      <c r="AH47" s="20" t="str">
        <f>IF(Table1[[#This Row],[Data_centre]]&gt;=6,Table1[[#Headers],[Data_centre]],"")</f>
        <v/>
      </c>
      <c r="AI47" s="20" t="str">
        <f>IF(Table1[[#This Row],[Refrigeration_unit2]]&gt;=6,Table1[[#Headers],[Refrigeration_unit2]],"")</f>
        <v>Refrigeration_unit2</v>
      </c>
      <c r="AJ47" s="20" t="str">
        <f>IF(Table1[[#This Row],[Rectory]]&gt;=6,Table1[[#Headers],[Rectory]],"")</f>
        <v/>
      </c>
      <c r="AK47" s="20" t="str">
        <f>IF(Table1[[#This Row],[DIMAT]]&gt;=6,Table1[[#Headers],[DIMAT]],"")</f>
        <v/>
      </c>
      <c r="AL47" s="20" t="str">
        <f>IF(Table1[[#This Row],[Print_shop]]&gt;=6,Table1[[#Headers],[Print_shop]],"")</f>
        <v/>
      </c>
    </row>
    <row r="48" spans="2:38" s="4" customFormat="1" hidden="1">
      <c r="B48" s="5">
        <v>43689</v>
      </c>
      <c r="C48" s="11">
        <v>1</v>
      </c>
      <c r="D48" s="5" t="s">
        <v>34</v>
      </c>
      <c r="E48" s="5" t="str">
        <f>TEXT(Table1[[#This Row],[Date]], "mmmm")</f>
        <v>August</v>
      </c>
      <c r="F48" s="5" t="str">
        <f>TEXT(Table1[[#This Row],[Date]], "dddd")</f>
        <v>Monday</v>
      </c>
      <c r="G48" s="1">
        <v>2</v>
      </c>
      <c r="H48" s="1">
        <v>8</v>
      </c>
      <c r="I48" s="1">
        <v>2</v>
      </c>
      <c r="J48" s="1">
        <v>2</v>
      </c>
      <c r="K48" s="1">
        <v>8</v>
      </c>
      <c r="L48" s="1">
        <v>8</v>
      </c>
      <c r="M48" s="1">
        <v>2</v>
      </c>
      <c r="N48" s="1">
        <v>1</v>
      </c>
      <c r="O48" s="1">
        <v>7</v>
      </c>
      <c r="P48" s="2">
        <v>304.464333333333</v>
      </c>
      <c r="Q48" s="2">
        <v>59.700333333333298</v>
      </c>
      <c r="R48" s="2">
        <v>25.065333333333299</v>
      </c>
      <c r="S48" s="2">
        <v>19.325333333333301</v>
      </c>
      <c r="T48" s="2">
        <v>202.226666666667</v>
      </c>
      <c r="U48" s="2">
        <v>4.7826666666666604</v>
      </c>
      <c r="V48" s="2">
        <v>-3.3506666666666698</v>
      </c>
      <c r="W48" s="2">
        <v>1.5960000000000001</v>
      </c>
      <c r="X48" s="3">
        <v>79.611908582445693</v>
      </c>
      <c r="Y48" s="3">
        <v>34.932972367802499</v>
      </c>
      <c r="Z48" s="3">
        <v>50.806734953109398</v>
      </c>
      <c r="AA48" s="3">
        <v>20.3051232120592</v>
      </c>
      <c r="AB48" s="3">
        <v>822.95170916983204</v>
      </c>
      <c r="AC48" s="3">
        <v>17.380560131795701</v>
      </c>
      <c r="AD48" s="3">
        <v>-37.857788490509201</v>
      </c>
      <c r="AE48" s="3">
        <v>132.55813953488399</v>
      </c>
      <c r="AF48" s="20" t="str">
        <f>IF(Table1[[#This Row],[Not_allocated]]&gt;=6,Table1[[#Headers],[Not_allocated]],"")</f>
        <v/>
      </c>
      <c r="AG48" s="20" t="str">
        <f>IF(Table1[[#This Row],[Canteen]]&gt;=6,Table1[[#Headers],[Canteen]],"")</f>
        <v/>
      </c>
      <c r="AH48" s="20" t="str">
        <f>IF(Table1[[#This Row],[Data_centre]]&gt;=6,Table1[[#Headers],[Data_centre]],"")</f>
        <v>Data_centre</v>
      </c>
      <c r="AI48" s="20" t="str">
        <f>IF(Table1[[#This Row],[Refrigeration_unit2]]&gt;=6,Table1[[#Headers],[Refrigeration_unit2]],"")</f>
        <v>Refrigeration_unit2</v>
      </c>
      <c r="AJ48" s="20" t="str">
        <f>IF(Table1[[#This Row],[Rectory]]&gt;=6,Table1[[#Headers],[Rectory]],"")</f>
        <v/>
      </c>
      <c r="AK48" s="20" t="str">
        <f>IF(Table1[[#This Row],[DIMAT]]&gt;=6,Table1[[#Headers],[DIMAT]],"")</f>
        <v/>
      </c>
      <c r="AL48" s="20" t="str">
        <f>IF(Table1[[#This Row],[Print_shop]]&gt;=6,Table1[[#Headers],[Print_shop]],"")</f>
        <v>Print_shop</v>
      </c>
    </row>
    <row r="49" spans="2:38" s="4" customFormat="1" hidden="1">
      <c r="B49" s="5">
        <v>43659</v>
      </c>
      <c r="C49" s="11">
        <v>0</v>
      </c>
      <c r="D49" s="5" t="s">
        <v>34</v>
      </c>
      <c r="E49" s="5" t="str">
        <f>TEXT(Table1[[#This Row],[Date]], "mmmm")</f>
        <v>July</v>
      </c>
      <c r="F49" s="5" t="str">
        <f>TEXT(Table1[[#This Row],[Date]], "dddd")</f>
        <v>Saturday</v>
      </c>
      <c r="G49" s="1">
        <v>3</v>
      </c>
      <c r="H49" s="1">
        <v>8</v>
      </c>
      <c r="I49" s="1">
        <v>4</v>
      </c>
      <c r="J49" s="1">
        <v>2</v>
      </c>
      <c r="K49" s="1">
        <v>2</v>
      </c>
      <c r="L49" s="1">
        <v>5</v>
      </c>
      <c r="M49" s="1">
        <v>0</v>
      </c>
      <c r="N49" s="1">
        <v>1</v>
      </c>
      <c r="O49" s="1">
        <v>0</v>
      </c>
      <c r="P49" s="2">
        <v>856.127659574468</v>
      </c>
      <c r="Q49" s="2">
        <v>374.66595744680802</v>
      </c>
      <c r="R49" s="2">
        <v>7.7191489361702104</v>
      </c>
      <c r="S49" s="2">
        <v>25.474468085106398</v>
      </c>
      <c r="T49" s="2">
        <v>465.41489361702099</v>
      </c>
      <c r="U49" s="2">
        <v>0.66170212765956604</v>
      </c>
      <c r="V49" s="2">
        <v>-1.8638297872340399</v>
      </c>
      <c r="W49" s="2">
        <v>0.77021276595744603</v>
      </c>
      <c r="X49" s="3">
        <v>46.7734154776089</v>
      </c>
      <c r="Y49" s="3">
        <v>37.145876664880703</v>
      </c>
      <c r="Z49" s="3">
        <v>7.4522934083766303</v>
      </c>
      <c r="AA49" s="3">
        <v>9.9383264299884608</v>
      </c>
      <c r="AB49" s="3">
        <v>138.97748354468999</v>
      </c>
      <c r="AC49" s="3">
        <v>0.90472727272725695</v>
      </c>
      <c r="AD49" s="3">
        <v>-7.12368870456209</v>
      </c>
      <c r="AE49" s="3">
        <v>7.0469145415612102</v>
      </c>
      <c r="AF49" s="20" t="str">
        <f>IF(Table1[[#This Row],[Not_allocated]]&gt;=6,Table1[[#Headers],[Not_allocated]],"")</f>
        <v/>
      </c>
      <c r="AG49" s="20" t="str">
        <f>IF(Table1[[#This Row],[Canteen]]&gt;=6,Table1[[#Headers],[Canteen]],"")</f>
        <v/>
      </c>
      <c r="AH49" s="20" t="str">
        <f>IF(Table1[[#This Row],[Data_centre]]&gt;=6,Table1[[#Headers],[Data_centre]],"")</f>
        <v/>
      </c>
      <c r="AI49" s="20" t="str">
        <f>IF(Table1[[#This Row],[Refrigeration_unit2]]&gt;=6,Table1[[#Headers],[Refrigeration_unit2]],"")</f>
        <v/>
      </c>
      <c r="AJ49" s="20" t="str">
        <f>IF(Table1[[#This Row],[Rectory]]&gt;=6,Table1[[#Headers],[Rectory]],"")</f>
        <v/>
      </c>
      <c r="AK49" s="20" t="str">
        <f>IF(Table1[[#This Row],[DIMAT]]&gt;=6,Table1[[#Headers],[DIMAT]],"")</f>
        <v/>
      </c>
      <c r="AL49" s="20" t="str">
        <f>IF(Table1[[#This Row],[Print_shop]]&gt;=6,Table1[[#Headers],[Print_shop]],"")</f>
        <v/>
      </c>
    </row>
    <row r="50" spans="2:38" s="4" customFormat="1" hidden="1">
      <c r="B50" s="5">
        <v>43679</v>
      </c>
      <c r="C50" s="11">
        <v>0</v>
      </c>
      <c r="D50" s="5" t="s">
        <v>34</v>
      </c>
      <c r="E50" s="5" t="str">
        <f>TEXT(Table1[[#This Row],[Date]], "mmmm")</f>
        <v>August</v>
      </c>
      <c r="F50" s="5" t="str">
        <f>TEXT(Table1[[#This Row],[Date]], "dddd")</f>
        <v>Friday</v>
      </c>
      <c r="G50" s="1">
        <v>1</v>
      </c>
      <c r="H50" s="1">
        <v>7</v>
      </c>
      <c r="I50" s="1">
        <v>5</v>
      </c>
      <c r="J50" s="1">
        <v>2</v>
      </c>
      <c r="K50" s="1">
        <v>0</v>
      </c>
      <c r="L50" s="1">
        <v>7</v>
      </c>
      <c r="M50" s="1">
        <v>2</v>
      </c>
      <c r="N50" s="1">
        <v>1</v>
      </c>
      <c r="O50" s="1">
        <v>8</v>
      </c>
      <c r="P50" s="2">
        <v>172.05231481481499</v>
      </c>
      <c r="Q50" s="2">
        <v>83.123148148148204</v>
      </c>
      <c r="R50" s="2">
        <v>-17.7361111111111</v>
      </c>
      <c r="S50" s="2">
        <v>-0.931944444444468</v>
      </c>
      <c r="T50" s="2">
        <v>98.65</v>
      </c>
      <c r="U50" s="2">
        <v>8.9428240740740694</v>
      </c>
      <c r="V50" s="2">
        <v>-3.56018518518519</v>
      </c>
      <c r="W50" s="2">
        <v>5.3930555555555602</v>
      </c>
      <c r="X50" s="3">
        <f>ABS(Table1[[#This Row],[Total_Power]]*Table1[[#This Row],[Total_Power_energy_absolute]])</f>
        <v>1204.366203703705</v>
      </c>
      <c r="Y50" s="3">
        <f>ABS(Table1[[#This Row],[Not_allocated]]*Table1[[#This Row],[Not_allocated_energy_absolute]])</f>
        <v>415.61574074074099</v>
      </c>
      <c r="Z50" s="3">
        <f>ABS(Table1[[#This Row],[Canteen]]*Table1[[#This Row],[Canteen_energy_absolute]])</f>
        <v>35.4722222222222</v>
      </c>
      <c r="AA50" s="3">
        <f>ABS(Table1[[#This Row],[Data_centre]]*Table1[[#This Row],[Data_centre_energy_absolute]])</f>
        <v>0</v>
      </c>
      <c r="AB50" s="3">
        <f>ABS(Table1[[#This Row],[Refrigeration_unit2]]*Table1[[#This Row],[Refrigeration_unit2_energy_absolute]])</f>
        <v>690.55000000000007</v>
      </c>
      <c r="AC50" s="3">
        <f>ABS(Table1[[#This Row],[Rectory]]*Table1[[#This Row],[Rectory_energy_absolute]])</f>
        <v>17.885648148148139</v>
      </c>
      <c r="AD50" s="3">
        <f>ABS(Table1[[#This Row],[DIMAT]]*Table1[[#This Row],[DIMAT_energy_absolute]])</f>
        <v>3.56018518518519</v>
      </c>
      <c r="AE50" s="3">
        <f>ABS(Table1[[#This Row],[Print_shop]]*Table1[[#This Row],[Print_shop_energy_absolute]])</f>
        <v>43.144444444444481</v>
      </c>
      <c r="AF50" s="20" t="str">
        <f>IF(Table1[[#This Row],[Not_allocated]]&gt;=6,Table1[[#Headers],[Not_allocated]],"")</f>
        <v/>
      </c>
      <c r="AG50" s="20" t="str">
        <f>IF(Table1[[#This Row],[Canteen]]&gt;=6,Table1[[#Headers],[Canteen]],"")</f>
        <v/>
      </c>
      <c r="AH50" s="20" t="str">
        <f>IF(Table1[[#This Row],[Data_centre]]&gt;=6,Table1[[#Headers],[Data_centre]],"")</f>
        <v/>
      </c>
      <c r="AI50" s="20" t="str">
        <f>IF(Table1[[#This Row],[Refrigeration_unit2]]&gt;=6,Table1[[#Headers],[Refrigeration_unit2]],"")</f>
        <v>Refrigeration_unit2</v>
      </c>
      <c r="AJ50" s="20" t="str">
        <f>IF(Table1[[#This Row],[Rectory]]&gt;=6,Table1[[#Headers],[Rectory]],"")</f>
        <v/>
      </c>
      <c r="AK50" s="20" t="str">
        <f>IF(Table1[[#This Row],[DIMAT]]&gt;=6,Table1[[#Headers],[DIMAT]],"")</f>
        <v/>
      </c>
      <c r="AL50" s="20" t="str">
        <f>IF(Table1[[#This Row],[Print_shop]]&gt;=6,Table1[[#Headers],[Print_shop]],"")</f>
        <v>Print_shop</v>
      </c>
    </row>
    <row r="51" spans="2:38" hidden="1">
      <c r="B51" s="5">
        <v>43685</v>
      </c>
      <c r="C51" s="11">
        <v>0</v>
      </c>
      <c r="D51" s="5" t="s">
        <v>34</v>
      </c>
      <c r="E51" s="5" t="str">
        <f>TEXT(Table1[[#This Row],[Date]], "mmmm")</f>
        <v>August</v>
      </c>
      <c r="F51" s="5" t="str">
        <f>TEXT(Table1[[#This Row],[Date]], "dddd")</f>
        <v>Thursday</v>
      </c>
      <c r="G51" s="1">
        <v>1</v>
      </c>
      <c r="H51" s="1">
        <v>8</v>
      </c>
      <c r="I51" s="1">
        <v>7</v>
      </c>
      <c r="J51" s="1">
        <v>2</v>
      </c>
      <c r="K51" s="1">
        <v>1</v>
      </c>
      <c r="L51" s="1">
        <v>7</v>
      </c>
      <c r="M51" s="1">
        <v>2</v>
      </c>
      <c r="N51" s="1">
        <v>1</v>
      </c>
      <c r="O51" s="1">
        <v>0</v>
      </c>
      <c r="P51" s="2">
        <v>200.65231481481501</v>
      </c>
      <c r="Q51" s="2">
        <v>99.223148148148098</v>
      </c>
      <c r="R51" s="2">
        <v>-18.336111111111101</v>
      </c>
      <c r="S51" s="2">
        <v>12.768055555555501</v>
      </c>
      <c r="T51" s="2">
        <v>96.65</v>
      </c>
      <c r="U51" s="2">
        <v>10.8428240740741</v>
      </c>
      <c r="V51" s="2">
        <v>1.93981481481482</v>
      </c>
      <c r="W51" s="2">
        <v>-0.60694444444444495</v>
      </c>
      <c r="X51" s="3">
        <f>ABS(Table1[[#This Row],[Total_Power]]*Table1[[#This Row],[Total_Power_energy_absolute]])</f>
        <v>1605.2185185185201</v>
      </c>
      <c r="Y51" s="3">
        <f>ABS(Table1[[#This Row],[Not_allocated]]*Table1[[#This Row],[Not_allocated_energy_absolute]])</f>
        <v>694.5620370370367</v>
      </c>
      <c r="Z51" s="3">
        <f>ABS(Table1[[#This Row],[Canteen]]*Table1[[#This Row],[Canteen_energy_absolute]])</f>
        <v>36.672222222222203</v>
      </c>
      <c r="AA51" s="3">
        <f>ABS(Table1[[#This Row],[Data_centre]]*Table1[[#This Row],[Data_centre_energy_absolute]])</f>
        <v>12.768055555555501</v>
      </c>
      <c r="AB51" s="3">
        <f>ABS(Table1[[#This Row],[Refrigeration_unit2]]*Table1[[#This Row],[Refrigeration_unit2_energy_absolute]])</f>
        <v>676.55000000000007</v>
      </c>
      <c r="AC51" s="3">
        <f>ABS(Table1[[#This Row],[Rectory]]*Table1[[#This Row],[Rectory_energy_absolute]])</f>
        <v>21.6856481481482</v>
      </c>
      <c r="AD51" s="3">
        <f>ABS(Table1[[#This Row],[DIMAT]]*Table1[[#This Row],[DIMAT_energy_absolute]])</f>
        <v>1.93981481481482</v>
      </c>
      <c r="AE51" s="3">
        <f>ABS(Table1[[#This Row],[Print_shop]]*Table1[[#This Row],[Print_shop_energy_absolute]])</f>
        <v>0</v>
      </c>
      <c r="AF51" s="20" t="str">
        <f>IF(Table1[[#This Row],[Not_allocated]]&gt;=6,Table1[[#Headers],[Not_allocated]],"")</f>
        <v>Not_allocated</v>
      </c>
      <c r="AG51" s="20" t="str">
        <f>IF(Table1[[#This Row],[Canteen]]&gt;=6,Table1[[#Headers],[Canteen]],"")</f>
        <v/>
      </c>
      <c r="AH51" s="20" t="str">
        <f>IF(Table1[[#This Row],[Data_centre]]&gt;=6,Table1[[#Headers],[Data_centre]],"")</f>
        <v/>
      </c>
      <c r="AI51" s="20" t="str">
        <f>IF(Table1[[#This Row],[Refrigeration_unit2]]&gt;=6,Table1[[#Headers],[Refrigeration_unit2]],"")</f>
        <v>Refrigeration_unit2</v>
      </c>
      <c r="AJ51" s="20" t="str">
        <f>IF(Table1[[#This Row],[Rectory]]&gt;=6,Table1[[#Headers],[Rectory]],"")</f>
        <v/>
      </c>
      <c r="AK51" s="20" t="str">
        <f>IF(Table1[[#This Row],[DIMAT]]&gt;=6,Table1[[#Headers],[DIMAT]],"")</f>
        <v/>
      </c>
      <c r="AL51" s="20" t="str">
        <f>IF(Table1[[#This Row],[Print_shop]]&gt;=6,Table1[[#Headers],[Print_shop]],"")</f>
        <v/>
      </c>
    </row>
    <row r="52" spans="2:38" hidden="1">
      <c r="B52" s="5">
        <v>43632</v>
      </c>
      <c r="C52" s="11">
        <v>0</v>
      </c>
      <c r="D52" s="5" t="s">
        <v>34</v>
      </c>
      <c r="E52" s="5" t="str">
        <f>TEXT(Table1[[#This Row],[Date]], "mmmm")</f>
        <v>June</v>
      </c>
      <c r="F52" s="5" t="str">
        <f>TEXT(Table1[[#This Row],[Date]], "dddd")</f>
        <v>Sunday</v>
      </c>
      <c r="G52" s="1">
        <v>4</v>
      </c>
      <c r="H52" s="1">
        <v>6</v>
      </c>
      <c r="I52" s="1">
        <v>8</v>
      </c>
      <c r="J52" s="1">
        <v>2</v>
      </c>
      <c r="K52" s="1">
        <v>2</v>
      </c>
      <c r="L52" s="1">
        <v>0</v>
      </c>
      <c r="M52" s="1">
        <v>1</v>
      </c>
      <c r="N52" s="1">
        <v>1</v>
      </c>
      <c r="O52" s="1">
        <v>0</v>
      </c>
      <c r="P52" s="2">
        <v>218.82666666666699</v>
      </c>
      <c r="Q52" s="2">
        <v>242.98</v>
      </c>
      <c r="R52" s="2">
        <v>-11.6773333333333</v>
      </c>
      <c r="S52" s="2">
        <v>15.8813333333333</v>
      </c>
      <c r="T52" s="2">
        <v>-16.605333333333299</v>
      </c>
      <c r="U52" s="2">
        <v>-4.1746666666666599</v>
      </c>
      <c r="V52" s="2">
        <v>-0.42800000000000099</v>
      </c>
      <c r="W52" s="2">
        <v>8.0000000000000106E-3</v>
      </c>
      <c r="X52" s="3">
        <v>44.6791713173441</v>
      </c>
      <c r="Y52" s="3">
        <v>116.025212491644</v>
      </c>
      <c r="Z52" s="3">
        <v>-19.968990834055401</v>
      </c>
      <c r="AA52" s="3">
        <v>11.6758484129629</v>
      </c>
      <c r="AB52" s="3">
        <v>-56.857195032870699</v>
      </c>
      <c r="AC52" s="3">
        <v>-11.572294500295699</v>
      </c>
      <c r="AD52" s="3">
        <v>-3.5881958417169799</v>
      </c>
      <c r="AE52" s="3">
        <v>0.53619302949061698</v>
      </c>
      <c r="AF52" s="20" t="str">
        <f>IF(Table1[[#This Row],[Not_allocated]]&gt;=6,Table1[[#Headers],[Not_allocated]],"")</f>
        <v>Not_allocated</v>
      </c>
      <c r="AG52" s="20" t="str">
        <f>IF(Table1[[#This Row],[Canteen]]&gt;=6,Table1[[#Headers],[Canteen]],"")</f>
        <v/>
      </c>
      <c r="AH52" s="20" t="str">
        <f>IF(Table1[[#This Row],[Data_centre]]&gt;=6,Table1[[#Headers],[Data_centre]],"")</f>
        <v/>
      </c>
      <c r="AI52" s="20" t="str">
        <f>IF(Table1[[#This Row],[Refrigeration_unit2]]&gt;=6,Table1[[#Headers],[Refrigeration_unit2]],"")</f>
        <v/>
      </c>
      <c r="AJ52" s="20" t="str">
        <f>IF(Table1[[#This Row],[Rectory]]&gt;=6,Table1[[#Headers],[Rectory]],"")</f>
        <v/>
      </c>
      <c r="AK52" s="20" t="str">
        <f>IF(Table1[[#This Row],[DIMAT]]&gt;=6,Table1[[#Headers],[DIMAT]],"")</f>
        <v/>
      </c>
      <c r="AL52" s="20" t="str">
        <f>IF(Table1[[#This Row],[Print_shop]]&gt;=6,Table1[[#Headers],[Print_shop]],"")</f>
        <v/>
      </c>
    </row>
    <row r="53" spans="2:38" hidden="1">
      <c r="B53" s="5">
        <v>43661</v>
      </c>
      <c r="C53" s="11">
        <v>1</v>
      </c>
      <c r="D53" s="5" t="s">
        <v>34</v>
      </c>
      <c r="E53" s="5" t="str">
        <f>TEXT(Table1[[#This Row],[Date]], "mmmm")</f>
        <v>July</v>
      </c>
      <c r="F53" s="5" t="str">
        <f>TEXT(Table1[[#This Row],[Date]], "dddd")</f>
        <v>Monday</v>
      </c>
      <c r="G53" s="1">
        <v>1</v>
      </c>
      <c r="H53" s="1">
        <v>8</v>
      </c>
      <c r="I53" s="1">
        <v>8</v>
      </c>
      <c r="J53" s="1">
        <v>2</v>
      </c>
      <c r="K53" s="1">
        <v>2</v>
      </c>
      <c r="L53" s="1">
        <v>8</v>
      </c>
      <c r="M53" s="1">
        <v>1</v>
      </c>
      <c r="N53" s="1">
        <v>1</v>
      </c>
      <c r="O53" s="1">
        <v>7</v>
      </c>
      <c r="P53" s="2">
        <v>458.43499062213499</v>
      </c>
      <c r="Q53" s="2">
        <v>246.877964480874</v>
      </c>
      <c r="R53" s="2">
        <v>-2.5415300546448099</v>
      </c>
      <c r="S53" s="2">
        <v>-9.7785203867171298</v>
      </c>
      <c r="T53" s="2">
        <v>237.798907103825</v>
      </c>
      <c r="U53" s="2">
        <v>4.9109289617486196</v>
      </c>
      <c r="V53" s="2">
        <v>-3.2628415300546401</v>
      </c>
      <c r="W53" s="2">
        <v>3.2530054644808701</v>
      </c>
      <c r="X53" s="3">
        <f>ABS(Table1[[#This Row],[Total_Power]]*Table1[[#This Row],[Total_Power_energy_absolute]])</f>
        <v>3667.4799249770799</v>
      </c>
      <c r="Y53" s="3">
        <f>ABS(Table1[[#This Row],[Not_allocated]]*Table1[[#This Row],[Not_allocated_energy_absolute]])</f>
        <v>1975.023715846992</v>
      </c>
      <c r="Z53" s="3">
        <f>ABS(Table1[[#This Row],[Canteen]]*Table1[[#This Row],[Canteen_energy_absolute]])</f>
        <v>5.0830601092896197</v>
      </c>
      <c r="AA53" s="3">
        <f>ABS(Table1[[#This Row],[Data_centre]]*Table1[[#This Row],[Data_centre_energy_absolute]])</f>
        <v>19.55704077343426</v>
      </c>
      <c r="AB53" s="3">
        <f>ABS(Table1[[#This Row],[Refrigeration_unit2]]*Table1[[#This Row],[Refrigeration_unit2_energy_absolute]])</f>
        <v>1902.3912568306</v>
      </c>
      <c r="AC53" s="3">
        <f>ABS(Table1[[#This Row],[Rectory]]*Table1[[#This Row],[Rectory_energy_absolute]])</f>
        <v>4.9109289617486196</v>
      </c>
      <c r="AD53" s="3">
        <f>ABS(Table1[[#This Row],[DIMAT]]*Table1[[#This Row],[DIMAT_energy_absolute]])</f>
        <v>3.2628415300546401</v>
      </c>
      <c r="AE53" s="3">
        <f>ABS(Table1[[#This Row],[Print_shop]]*Table1[[#This Row],[Print_shop_energy_absolute]])</f>
        <v>22.77103825136609</v>
      </c>
      <c r="AF53" s="20" t="str">
        <f>IF(Table1[[#This Row],[Not_allocated]]&gt;=6,Table1[[#Headers],[Not_allocated]],"")</f>
        <v>Not_allocated</v>
      </c>
      <c r="AG53" s="20" t="str">
        <f>IF(Table1[[#This Row],[Canteen]]&gt;=6,Table1[[#Headers],[Canteen]],"")</f>
        <v/>
      </c>
      <c r="AH53" s="20" t="str">
        <f>IF(Table1[[#This Row],[Data_centre]]&gt;=6,Table1[[#Headers],[Data_centre]],"")</f>
        <v/>
      </c>
      <c r="AI53" s="20" t="str">
        <f>IF(Table1[[#This Row],[Refrigeration_unit2]]&gt;=6,Table1[[#Headers],[Refrigeration_unit2]],"")</f>
        <v>Refrigeration_unit2</v>
      </c>
      <c r="AJ53" s="20" t="str">
        <f>IF(Table1[[#This Row],[Rectory]]&gt;=6,Table1[[#Headers],[Rectory]],"")</f>
        <v/>
      </c>
      <c r="AK53" s="20" t="str">
        <f>IF(Table1[[#This Row],[DIMAT]]&gt;=6,Table1[[#Headers],[DIMAT]],"")</f>
        <v/>
      </c>
      <c r="AL53" s="20" t="str">
        <f>IF(Table1[[#This Row],[Print_shop]]&gt;=6,Table1[[#Headers],[Print_shop]],"")</f>
        <v>Print_shop</v>
      </c>
    </row>
    <row r="54" spans="2:38" s="4" customFormat="1" hidden="1">
      <c r="B54" s="5">
        <v>43779</v>
      </c>
      <c r="C54" s="11">
        <v>1</v>
      </c>
      <c r="D54" s="5" t="s">
        <v>32</v>
      </c>
      <c r="E54" s="5" t="str">
        <f>TEXT(Table1[[#This Row],[Date]], "mmmm")</f>
        <v>November</v>
      </c>
      <c r="F54" s="5" t="str">
        <f>TEXT(Table1[[#This Row],[Date]], "dddd")</f>
        <v>Sunday</v>
      </c>
      <c r="G54" s="1">
        <v>4</v>
      </c>
      <c r="H54" s="1">
        <v>8</v>
      </c>
      <c r="I54" s="1">
        <v>8</v>
      </c>
      <c r="J54" s="1">
        <v>2</v>
      </c>
      <c r="K54" s="1">
        <v>1</v>
      </c>
      <c r="L54" s="1">
        <v>4</v>
      </c>
      <c r="M54" s="1">
        <v>1</v>
      </c>
      <c r="N54" s="1">
        <v>1</v>
      </c>
      <c r="O54" s="1">
        <v>0</v>
      </c>
      <c r="P54" s="2">
        <v>545.22666666666703</v>
      </c>
      <c r="Q54" s="2">
        <v>454.68</v>
      </c>
      <c r="R54" s="2">
        <v>-16.977333333333299</v>
      </c>
      <c r="S54" s="2">
        <v>1.38133333333334</v>
      </c>
      <c r="T54" s="2">
        <v>66.094666666666697</v>
      </c>
      <c r="U54" s="2">
        <v>3.3253333333333299</v>
      </c>
      <c r="V54" s="2">
        <v>0.77200000000000002</v>
      </c>
      <c r="W54" s="2">
        <v>8.0000000000000106E-3</v>
      </c>
      <c r="X54" s="3">
        <v>111.322244303487</v>
      </c>
      <c r="Y54" s="3">
        <v>217.11393372170801</v>
      </c>
      <c r="Z54" s="3">
        <v>-29.032331615668699</v>
      </c>
      <c r="AA54" s="3">
        <v>1.0155468857215899</v>
      </c>
      <c r="AB54" s="3">
        <v>226.31026296566799</v>
      </c>
      <c r="AC54" s="3">
        <v>9.2179183914843392</v>
      </c>
      <c r="AD54" s="3">
        <v>6.4721663313212598</v>
      </c>
      <c r="AE54" s="3">
        <v>0.53619302949061698</v>
      </c>
      <c r="AF54" s="20" t="str">
        <f>IF(Table1[[#This Row],[Not_allocated]]&gt;=6,Table1[[#Headers],[Not_allocated]],"")</f>
        <v>Not_allocated</v>
      </c>
      <c r="AG54" s="20" t="str">
        <f>IF(Table1[[#This Row],[Canteen]]&gt;=6,Table1[[#Headers],[Canteen]],"")</f>
        <v/>
      </c>
      <c r="AH54" s="20" t="str">
        <f>IF(Table1[[#This Row],[Data_centre]]&gt;=6,Table1[[#Headers],[Data_centre]],"")</f>
        <v/>
      </c>
      <c r="AI54" s="20" t="str">
        <f>IF(Table1[[#This Row],[Refrigeration_unit2]]&gt;=6,Table1[[#Headers],[Refrigeration_unit2]],"")</f>
        <v/>
      </c>
      <c r="AJ54" s="20" t="str">
        <f>IF(Table1[[#This Row],[Rectory]]&gt;=6,Table1[[#Headers],[Rectory]],"")</f>
        <v/>
      </c>
      <c r="AK54" s="20" t="str">
        <f>IF(Table1[[#This Row],[DIMAT]]&gt;=6,Table1[[#Headers],[DIMAT]],"")</f>
        <v/>
      </c>
      <c r="AL54" s="20" t="str">
        <f>IF(Table1[[#This Row],[Print_shop]]&gt;=6,Table1[[#Headers],[Print_shop]],"")</f>
        <v/>
      </c>
    </row>
    <row r="55" spans="2:38" s="4" customFormat="1" hidden="1">
      <c r="B55" s="5">
        <v>43826</v>
      </c>
      <c r="C55" s="11">
        <v>1</v>
      </c>
      <c r="D55" s="5" t="s">
        <v>32</v>
      </c>
      <c r="E55" s="5" t="str">
        <f>TEXT(Table1[[#This Row],[Date]], "mmmm")</f>
        <v>December</v>
      </c>
      <c r="F55" s="5" t="str">
        <f>TEXT(Table1[[#This Row],[Date]], "dddd")</f>
        <v>Friday</v>
      </c>
      <c r="G55" s="1">
        <v>2</v>
      </c>
      <c r="H55" s="1">
        <v>8</v>
      </c>
      <c r="I55" s="1">
        <v>8</v>
      </c>
      <c r="J55" s="1">
        <v>2</v>
      </c>
      <c r="K55" s="1">
        <v>2</v>
      </c>
      <c r="L55" s="1">
        <v>7</v>
      </c>
      <c r="M55" s="1">
        <v>2</v>
      </c>
      <c r="N55" s="1">
        <v>1</v>
      </c>
      <c r="O55" s="1">
        <v>8</v>
      </c>
      <c r="P55" s="2">
        <v>260.76433333333301</v>
      </c>
      <c r="Q55" s="2">
        <v>142.000333333333</v>
      </c>
      <c r="R55" s="2">
        <v>14.765333333333301</v>
      </c>
      <c r="S55" s="2">
        <v>-8.3746666666666698</v>
      </c>
      <c r="T55" s="2">
        <v>100.526666666667</v>
      </c>
      <c r="U55" s="2">
        <v>4.2826666666666702</v>
      </c>
      <c r="V55" s="2">
        <v>-0.95066666666666799</v>
      </c>
      <c r="W55" s="2">
        <v>2.2959999999999998</v>
      </c>
      <c r="X55" s="3">
        <v>68.1851500949615</v>
      </c>
      <c r="Y55" s="3">
        <v>83.089883147811904</v>
      </c>
      <c r="Z55" s="3">
        <v>29.928920839977302</v>
      </c>
      <c r="AA55" s="3">
        <v>-8.79926030736471</v>
      </c>
      <c r="AB55" s="3">
        <v>409.088442756375</v>
      </c>
      <c r="AC55" s="3">
        <v>15.5635235972478</v>
      </c>
      <c r="AD55" s="3">
        <v>-10.741187104549599</v>
      </c>
      <c r="AE55" s="3">
        <v>190.697674418605</v>
      </c>
      <c r="AF55" s="20" t="str">
        <f>IF(Table1[[#This Row],[Not_allocated]]&gt;=6,Table1[[#Headers],[Not_allocated]],"")</f>
        <v>Not_allocated</v>
      </c>
      <c r="AG55" s="20" t="str">
        <f>IF(Table1[[#This Row],[Canteen]]&gt;=6,Table1[[#Headers],[Canteen]],"")</f>
        <v/>
      </c>
      <c r="AH55" s="20" t="str">
        <f>IF(Table1[[#This Row],[Data_centre]]&gt;=6,Table1[[#Headers],[Data_centre]],"")</f>
        <v/>
      </c>
      <c r="AI55" s="20" t="str">
        <f>IF(Table1[[#This Row],[Refrigeration_unit2]]&gt;=6,Table1[[#Headers],[Refrigeration_unit2]],"")</f>
        <v>Refrigeration_unit2</v>
      </c>
      <c r="AJ55" s="20" t="str">
        <f>IF(Table1[[#This Row],[Rectory]]&gt;=6,Table1[[#Headers],[Rectory]],"")</f>
        <v/>
      </c>
      <c r="AK55" s="20" t="str">
        <f>IF(Table1[[#This Row],[DIMAT]]&gt;=6,Table1[[#Headers],[DIMAT]],"")</f>
        <v/>
      </c>
      <c r="AL55" s="20" t="str">
        <f>IF(Table1[[#This Row],[Print_shop]]&gt;=6,Table1[[#Headers],[Print_shop]],"")</f>
        <v>Print_shop</v>
      </c>
    </row>
    <row r="56" spans="2:38" s="4" customFormat="1" hidden="1">
      <c r="B56" s="5">
        <v>43684</v>
      </c>
      <c r="C56" s="11">
        <v>0</v>
      </c>
      <c r="D56" s="5" t="s">
        <v>34</v>
      </c>
      <c r="E56" s="5" t="str">
        <f>TEXT(Table1[[#This Row],[Date]], "mmmm")</f>
        <v>August</v>
      </c>
      <c r="F56" s="5" t="str">
        <f>TEXT(Table1[[#This Row],[Date]], "dddd")</f>
        <v>Wednesday</v>
      </c>
      <c r="G56" s="1">
        <v>1</v>
      </c>
      <c r="H56" s="1">
        <v>8</v>
      </c>
      <c r="I56" s="1">
        <v>8</v>
      </c>
      <c r="J56" s="1">
        <v>2</v>
      </c>
      <c r="K56" s="1">
        <v>4</v>
      </c>
      <c r="L56" s="1">
        <v>6</v>
      </c>
      <c r="M56" s="1">
        <v>3</v>
      </c>
      <c r="N56" s="1">
        <v>1</v>
      </c>
      <c r="O56" s="1">
        <v>0</v>
      </c>
      <c r="P56" s="2">
        <v>229.952314814815</v>
      </c>
      <c r="Q56" s="2">
        <v>116.523148148148</v>
      </c>
      <c r="R56" s="2">
        <v>-10.436111111111099</v>
      </c>
      <c r="S56" s="2">
        <v>24.6680555555556</v>
      </c>
      <c r="T56" s="2">
        <v>93.95</v>
      </c>
      <c r="U56" s="2">
        <v>12.142824074074101</v>
      </c>
      <c r="V56" s="2">
        <v>-4.4601851851851899</v>
      </c>
      <c r="W56" s="2">
        <v>-0.60694444444444495</v>
      </c>
      <c r="X56" s="3">
        <f>ABS(Table1[[#This Row],[Total_Power]]*Table1[[#This Row],[Total_Power_energy_absolute]])</f>
        <v>1839.61851851852</v>
      </c>
      <c r="Y56" s="3">
        <f>ABS(Table1[[#This Row],[Not_allocated]]*Table1[[#This Row],[Not_allocated_energy_absolute]])</f>
        <v>932.18518518518397</v>
      </c>
      <c r="Z56" s="3">
        <f>ABS(Table1[[#This Row],[Canteen]]*Table1[[#This Row],[Canteen_energy_absolute]])</f>
        <v>20.872222222222199</v>
      </c>
      <c r="AA56" s="3">
        <f>ABS(Table1[[#This Row],[Data_centre]]*Table1[[#This Row],[Data_centre_energy_absolute]])</f>
        <v>98.672222222222402</v>
      </c>
      <c r="AB56" s="3">
        <f>ABS(Table1[[#This Row],[Refrigeration_unit2]]*Table1[[#This Row],[Refrigeration_unit2_energy_absolute]])</f>
        <v>563.70000000000005</v>
      </c>
      <c r="AC56" s="3">
        <f>ABS(Table1[[#This Row],[Rectory]]*Table1[[#This Row],[Rectory_energy_absolute]])</f>
        <v>36.428472222222304</v>
      </c>
      <c r="AD56" s="3">
        <f>ABS(Table1[[#This Row],[DIMAT]]*Table1[[#This Row],[DIMAT_energy_absolute]])</f>
        <v>4.4601851851851899</v>
      </c>
      <c r="AE56" s="3">
        <f>ABS(Table1[[#This Row],[Print_shop]]*Table1[[#This Row],[Print_shop_energy_absolute]])</f>
        <v>0</v>
      </c>
      <c r="AF56" s="20" t="str">
        <f>IF(Table1[[#This Row],[Not_allocated]]&gt;=6,Table1[[#Headers],[Not_allocated]],"")</f>
        <v>Not_allocated</v>
      </c>
      <c r="AG56" s="20" t="str">
        <f>IF(Table1[[#This Row],[Canteen]]&gt;=6,Table1[[#Headers],[Canteen]],"")</f>
        <v/>
      </c>
      <c r="AH56" s="20" t="str">
        <f>IF(Table1[[#This Row],[Data_centre]]&gt;=6,Table1[[#Headers],[Data_centre]],"")</f>
        <v/>
      </c>
      <c r="AI56" s="20" t="str">
        <f>IF(Table1[[#This Row],[Refrigeration_unit2]]&gt;=6,Table1[[#Headers],[Refrigeration_unit2]],"")</f>
        <v>Refrigeration_unit2</v>
      </c>
      <c r="AJ56" s="20" t="str">
        <f>IF(Table1[[#This Row],[Rectory]]&gt;=6,Table1[[#Headers],[Rectory]],"")</f>
        <v/>
      </c>
      <c r="AK56" s="20" t="str">
        <f>IF(Table1[[#This Row],[DIMAT]]&gt;=6,Table1[[#Headers],[DIMAT]],"")</f>
        <v/>
      </c>
      <c r="AL56" s="20" t="str">
        <f>IF(Table1[[#This Row],[Print_shop]]&gt;=6,Table1[[#Headers],[Print_shop]],"")</f>
        <v/>
      </c>
    </row>
    <row r="57" spans="2:38" s="4" customFormat="1" hidden="1">
      <c r="B57" s="5">
        <v>43467</v>
      </c>
      <c r="C57" s="11">
        <v>0</v>
      </c>
      <c r="D57" s="5" t="s">
        <v>32</v>
      </c>
      <c r="E57" s="5" t="str">
        <f>TEXT(Table1[[#This Row],[Date]], "mmmm")</f>
        <v>January</v>
      </c>
      <c r="F57" s="5" t="str">
        <f>TEXT(Table1[[#This Row],[Date]], "dddd")</f>
        <v>Wednesday</v>
      </c>
      <c r="G57" s="1">
        <v>2</v>
      </c>
      <c r="H57" s="1">
        <v>6</v>
      </c>
      <c r="I57" s="1">
        <v>0</v>
      </c>
      <c r="J57" s="1">
        <v>3</v>
      </c>
      <c r="K57" s="1">
        <v>1</v>
      </c>
      <c r="L57" s="1">
        <v>5</v>
      </c>
      <c r="M57" s="1">
        <v>1</v>
      </c>
      <c r="N57" s="1">
        <v>1</v>
      </c>
      <c r="O57" s="1">
        <v>4</v>
      </c>
      <c r="P57" s="2">
        <v>116.164333333333</v>
      </c>
      <c r="Q57" s="2">
        <v>16.700333333333301</v>
      </c>
      <c r="R57" s="2">
        <v>34.365333333333297</v>
      </c>
      <c r="S57" s="2">
        <v>-0.57466666666667299</v>
      </c>
      <c r="T57" s="2">
        <v>58.526666666666699</v>
      </c>
      <c r="U57" s="2">
        <v>3.58266666666667</v>
      </c>
      <c r="V57" s="2">
        <v>1.7493333333333301</v>
      </c>
      <c r="W57" s="2">
        <v>1.696</v>
      </c>
      <c r="X57" s="3">
        <v>30.3748691501054</v>
      </c>
      <c r="Y57" s="3">
        <f>ROUND(ABS(Table1[[#This Row],[Not_allocated]]*Table1[[#This Row],[Not_allocated_energy_absolute]])/Table1[[#This Row],[Total_Power_energy_absolute]]*8,0)</f>
        <v>0</v>
      </c>
      <c r="Z57" s="3">
        <f>ROUND(ABS(Table1[[#This Row],[Canteen]]*Table1[[#This Row],[Canteen_energy_absolute]])/Table1[[#This Row],[Not_allocated_energy_absolute]]*8,0)</f>
        <v>49</v>
      </c>
      <c r="AA57" s="3">
        <f>ROUND(ABS(Table1[[#This Row],[Data_centre]]*Table1[[#This Row],[Data_centre_energy_absolute]])/Table1[[#This Row],[Canteen_energy_absolute]]*8,0)</f>
        <v>0</v>
      </c>
      <c r="AB57" s="3">
        <f>ROUND(ABS(Table1[[#This Row],[Refrigeration_unit2]]*Table1[[#This Row],[Refrigeration_unit2_energy_absolute]])/Table1[[#This Row],[Data_centre_energy_absolute]]*8,0)</f>
        <v>-4074</v>
      </c>
      <c r="AC57" s="3">
        <f>ROUND(ABS(Table1[[#This Row],[Rectory]]*Table1[[#This Row],[Rectory_energy_absolute]])/Table1[[#This Row],[Refrigeration_unit2_energy_absolute]]*8,0)</f>
        <v>0</v>
      </c>
      <c r="AD57" s="3">
        <f>ROUND(ABS(Table1[[#This Row],[DIMAT]]*Table1[[#This Row],[DIMAT_energy_absolute]])/Table1[[#This Row],[Rectory_energy_absolute]]*8,0)</f>
        <v>4</v>
      </c>
      <c r="AE57" s="3">
        <f>ROUND(ABS(Table1[[#This Row],[Print_shop]]*Table1[[#This Row],[Print_shop_energy_absolute]])/Table1[[#This Row],[DIMAT_energy_absolute]]*8,0)</f>
        <v>31</v>
      </c>
      <c r="AF57" s="20" t="str">
        <f>IF(Table1[[#This Row],[Not_allocated]]&gt;=6,Table1[[#Headers],[Not_allocated]],"")</f>
        <v/>
      </c>
      <c r="AG57" s="20" t="str">
        <f>IF(Table1[[#This Row],[Canteen]]&gt;=6,Table1[[#Headers],[Canteen]],"")</f>
        <v/>
      </c>
      <c r="AH57" s="20" t="str">
        <f>IF(Table1[[#This Row],[Data_centre]]&gt;=6,Table1[[#Headers],[Data_centre]],"")</f>
        <v/>
      </c>
      <c r="AI57" s="20" t="str">
        <f>IF(Table1[[#This Row],[Refrigeration_unit2]]&gt;=6,Table1[[#Headers],[Refrigeration_unit2]],"")</f>
        <v/>
      </c>
      <c r="AJ57" s="20" t="str">
        <f>IF(Table1[[#This Row],[Rectory]]&gt;=6,Table1[[#Headers],[Rectory]],"")</f>
        <v/>
      </c>
      <c r="AK57" s="20" t="str">
        <f>IF(Table1[[#This Row],[DIMAT]]&gt;=6,Table1[[#Headers],[DIMAT]],"")</f>
        <v/>
      </c>
      <c r="AL57" s="20" t="str">
        <f>IF(Table1[[#This Row],[Print_shop]]&gt;=6,Table1[[#Headers],[Print_shop]],"")</f>
        <v/>
      </c>
    </row>
    <row r="58" spans="2:38" s="4" customFormat="1" hidden="1">
      <c r="B58" s="5">
        <v>43652</v>
      </c>
      <c r="C58" s="11">
        <v>1</v>
      </c>
      <c r="D58" s="5" t="s">
        <v>34</v>
      </c>
      <c r="E58" s="5" t="str">
        <f>TEXT(Table1[[#This Row],[Date]], "mmmm")</f>
        <v>July</v>
      </c>
      <c r="F58" s="5" t="str">
        <f>TEXT(Table1[[#This Row],[Date]], "dddd")</f>
        <v>Saturday</v>
      </c>
      <c r="G58" s="1">
        <v>5</v>
      </c>
      <c r="H58" s="1">
        <v>8</v>
      </c>
      <c r="I58" s="1">
        <v>0</v>
      </c>
      <c r="J58" s="1">
        <v>3</v>
      </c>
      <c r="K58" s="1">
        <v>1</v>
      </c>
      <c r="L58" s="1">
        <v>8</v>
      </c>
      <c r="M58" s="1">
        <v>1</v>
      </c>
      <c r="N58" s="1">
        <v>1</v>
      </c>
      <c r="O58" s="1">
        <v>0</v>
      </c>
      <c r="P58" s="2">
        <v>279.95829787233998</v>
      </c>
      <c r="Q58" s="2">
        <v>9.7911702127659606</v>
      </c>
      <c r="R58" s="2">
        <v>12.1723404255319</v>
      </c>
      <c r="S58" s="2">
        <v>-0.19613152804643599</v>
      </c>
      <c r="T58" s="2">
        <v>273.595744680851</v>
      </c>
      <c r="U58" s="2">
        <v>-3.12765957446809</v>
      </c>
      <c r="V58" s="2">
        <v>-3.12765957446809</v>
      </c>
      <c r="W58" s="2">
        <v>1.9148936170212599E-2</v>
      </c>
      <c r="X58" s="3">
        <v>39.997373641452199</v>
      </c>
      <c r="Y58" s="3">
        <v>2.7440941466063</v>
      </c>
      <c r="Z58" s="3">
        <v>20.244161358810999</v>
      </c>
      <c r="AA58" s="3">
        <v>-0.107944801244253</v>
      </c>
      <c r="AB58" s="3">
        <v>1321.4469222073801</v>
      </c>
      <c r="AC58" s="3">
        <v>-6.0816681146828904</v>
      </c>
      <c r="AD58" s="3">
        <v>-6.0816681146828904</v>
      </c>
      <c r="AE58" s="3">
        <v>0.96670247046186697</v>
      </c>
      <c r="AF58" s="20" t="str">
        <f>IF(Table1[[#This Row],[Not_allocated]]&gt;=6,Table1[[#Headers],[Not_allocated]],"")</f>
        <v/>
      </c>
      <c r="AG58" s="20" t="str">
        <f>IF(Table1[[#This Row],[Canteen]]&gt;=6,Table1[[#Headers],[Canteen]],"")</f>
        <v/>
      </c>
      <c r="AH58" s="20" t="str">
        <f>IF(Table1[[#This Row],[Data_centre]]&gt;=6,Table1[[#Headers],[Data_centre]],"")</f>
        <v/>
      </c>
      <c r="AI58" s="20" t="str">
        <f>IF(Table1[[#This Row],[Refrigeration_unit2]]&gt;=6,Table1[[#Headers],[Refrigeration_unit2]],"")</f>
        <v>Refrigeration_unit2</v>
      </c>
      <c r="AJ58" s="20" t="str">
        <f>IF(Table1[[#This Row],[Rectory]]&gt;=6,Table1[[#Headers],[Rectory]],"")</f>
        <v/>
      </c>
      <c r="AK58" s="20" t="str">
        <f>IF(Table1[[#This Row],[DIMAT]]&gt;=6,Table1[[#Headers],[DIMAT]],"")</f>
        <v/>
      </c>
      <c r="AL58" s="20" t="str">
        <f>IF(Table1[[#This Row],[Print_shop]]&gt;=6,Table1[[#Headers],[Print_shop]],"")</f>
        <v/>
      </c>
    </row>
    <row r="59" spans="2:38" s="4" customFormat="1" hidden="1">
      <c r="B59" s="5">
        <v>43686</v>
      </c>
      <c r="C59" s="11">
        <v>0</v>
      </c>
      <c r="D59" s="5" t="s">
        <v>34</v>
      </c>
      <c r="E59" s="5" t="str">
        <f>TEXT(Table1[[#This Row],[Date]], "mmmm")</f>
        <v>August</v>
      </c>
      <c r="F59" s="5" t="str">
        <f>TEXT(Table1[[#This Row],[Date]], "dddd")</f>
        <v>Friday</v>
      </c>
      <c r="G59" s="1">
        <v>1</v>
      </c>
      <c r="H59" s="1">
        <v>6</v>
      </c>
      <c r="I59" s="1">
        <v>2</v>
      </c>
      <c r="J59" s="1">
        <v>3</v>
      </c>
      <c r="K59" s="1">
        <v>6</v>
      </c>
      <c r="L59" s="1">
        <v>7</v>
      </c>
      <c r="M59" s="1">
        <v>3</v>
      </c>
      <c r="N59" s="1">
        <v>1</v>
      </c>
      <c r="O59" s="1">
        <v>0</v>
      </c>
      <c r="P59" s="2">
        <v>131.55231481481499</v>
      </c>
      <c r="Q59" s="2">
        <v>42.623148148148204</v>
      </c>
      <c r="R59" s="2">
        <v>-40.936111111111103</v>
      </c>
      <c r="S59" s="2">
        <v>32.068055555555503</v>
      </c>
      <c r="T59" s="2">
        <v>91.95</v>
      </c>
      <c r="U59" s="2">
        <v>12.142824074074101</v>
      </c>
      <c r="V59" s="2">
        <v>-3.8601851851851898</v>
      </c>
      <c r="W59" s="2">
        <v>-0.60694444444444495</v>
      </c>
      <c r="X59" s="3">
        <f>ABS(Table1[[#This Row],[Total_Power]]*Table1[[#This Row],[Total_Power_energy_absolute]])</f>
        <v>789.31388888889001</v>
      </c>
      <c r="Y59" s="3">
        <f>ABS(Table1[[#This Row],[Not_allocated]]*Table1[[#This Row],[Not_allocated_energy_absolute]])</f>
        <v>85.246296296296407</v>
      </c>
      <c r="Z59" s="3">
        <f>ABS(Table1[[#This Row],[Canteen]]*Table1[[#This Row],[Canteen_energy_absolute]])</f>
        <v>122.80833333333331</v>
      </c>
      <c r="AA59" s="3">
        <f>ABS(Table1[[#This Row],[Data_centre]]*Table1[[#This Row],[Data_centre_energy_absolute]])</f>
        <v>192.40833333333302</v>
      </c>
      <c r="AB59" s="3">
        <f>ABS(Table1[[#This Row],[Refrigeration_unit2]]*Table1[[#This Row],[Refrigeration_unit2_energy_absolute]])</f>
        <v>643.65</v>
      </c>
      <c r="AC59" s="3">
        <f>ABS(Table1[[#This Row],[Rectory]]*Table1[[#This Row],[Rectory_energy_absolute]])</f>
        <v>36.428472222222304</v>
      </c>
      <c r="AD59" s="3">
        <f>ABS(Table1[[#This Row],[DIMAT]]*Table1[[#This Row],[DIMAT_energy_absolute]])</f>
        <v>3.8601851851851898</v>
      </c>
      <c r="AE59" s="3">
        <f>ABS(Table1[[#This Row],[Print_shop]]*Table1[[#This Row],[Print_shop_energy_absolute]])</f>
        <v>0</v>
      </c>
      <c r="AF59" s="20" t="str">
        <f>IF(Table1[[#This Row],[Not_allocated]]&gt;=6,Table1[[#Headers],[Not_allocated]],"")</f>
        <v/>
      </c>
      <c r="AG59" s="20" t="str">
        <f>IF(Table1[[#This Row],[Canteen]]&gt;=6,Table1[[#Headers],[Canteen]],"")</f>
        <v/>
      </c>
      <c r="AH59" s="20" t="str">
        <f>IF(Table1[[#This Row],[Data_centre]]&gt;=6,Table1[[#Headers],[Data_centre]],"")</f>
        <v>Data_centre</v>
      </c>
      <c r="AI59" s="20" t="str">
        <f>IF(Table1[[#This Row],[Refrigeration_unit2]]&gt;=6,Table1[[#Headers],[Refrigeration_unit2]],"")</f>
        <v>Refrigeration_unit2</v>
      </c>
      <c r="AJ59" s="20" t="str">
        <f>IF(Table1[[#This Row],[Rectory]]&gt;=6,Table1[[#Headers],[Rectory]],"")</f>
        <v/>
      </c>
      <c r="AK59" s="20" t="str">
        <f>IF(Table1[[#This Row],[DIMAT]]&gt;=6,Table1[[#Headers],[DIMAT]],"")</f>
        <v/>
      </c>
      <c r="AL59" s="20" t="str">
        <f>IF(Table1[[#This Row],[Print_shop]]&gt;=6,Table1[[#Headers],[Print_shop]],"")</f>
        <v/>
      </c>
    </row>
    <row r="60" spans="2:38" s="4" customFormat="1" hidden="1">
      <c r="B60" s="5">
        <v>43563</v>
      </c>
      <c r="C60" s="11">
        <v>0</v>
      </c>
      <c r="D60" s="5" t="s">
        <v>32</v>
      </c>
      <c r="E60" s="5" t="str">
        <f>TEXT(Table1[[#This Row],[Date]], "mmmm")</f>
        <v>April</v>
      </c>
      <c r="F60" s="5" t="str">
        <f>TEXT(Table1[[#This Row],[Date]], "dddd")</f>
        <v>Monday</v>
      </c>
      <c r="G60" s="1">
        <v>1</v>
      </c>
      <c r="H60" s="1">
        <v>7</v>
      </c>
      <c r="I60" s="1">
        <v>8</v>
      </c>
      <c r="J60" s="1">
        <v>4</v>
      </c>
      <c r="K60" s="1">
        <v>2</v>
      </c>
      <c r="L60" s="1">
        <v>0</v>
      </c>
      <c r="M60" s="1">
        <v>1</v>
      </c>
      <c r="N60" s="1">
        <v>1</v>
      </c>
      <c r="O60" s="1">
        <v>0</v>
      </c>
      <c r="P60" s="2">
        <v>215.234990622135</v>
      </c>
      <c r="Q60" s="2">
        <v>193.07796448087399</v>
      </c>
      <c r="R60" s="2">
        <v>45.158469945355201</v>
      </c>
      <c r="S60" s="2">
        <v>8.1214796132828706</v>
      </c>
      <c r="T60" s="2">
        <v>-5.4010928961748697</v>
      </c>
      <c r="U60" s="2">
        <v>-2.88907103825137</v>
      </c>
      <c r="V60" s="2">
        <v>-4.5628415300546399</v>
      </c>
      <c r="W60" s="2">
        <v>-0.24699453551912601</v>
      </c>
      <c r="X60" s="3">
        <f>ABS(Table1[[#This Row],[Total_Power]]*Table1[[#This Row],[Total_Power_energy_absolute]])</f>
        <v>1506.644934354945</v>
      </c>
      <c r="Y60" s="3">
        <f>ABS(Table1[[#This Row],[Not_allocated]]*Table1[[#This Row],[Not_allocated_energy_absolute]])</f>
        <v>1544.6237158469919</v>
      </c>
      <c r="Z60" s="3">
        <f>ABS(Table1[[#This Row],[Canteen]]*Table1[[#This Row],[Canteen_energy_absolute]])</f>
        <v>180.6338797814208</v>
      </c>
      <c r="AA60" s="3">
        <f>ABS(Table1[[#This Row],[Data_centre]]*Table1[[#This Row],[Data_centre_energy_absolute]])</f>
        <v>16.242959226565741</v>
      </c>
      <c r="AB60" s="3">
        <f>ABS(Table1[[#This Row],[Refrigeration_unit2]]*Table1[[#This Row],[Refrigeration_unit2_energy_absolute]])</f>
        <v>0</v>
      </c>
      <c r="AC60" s="3">
        <f>ABS(Table1[[#This Row],[Rectory]]*Table1[[#This Row],[Rectory_energy_absolute]])</f>
        <v>2.88907103825137</v>
      </c>
      <c r="AD60" s="3">
        <f>ABS(Table1[[#This Row],[DIMAT]]*Table1[[#This Row],[DIMAT_energy_absolute]])</f>
        <v>4.5628415300546399</v>
      </c>
      <c r="AE60" s="3">
        <f>ABS(Table1[[#This Row],[Print_shop]]*Table1[[#This Row],[Print_shop_energy_absolute]])</f>
        <v>0</v>
      </c>
      <c r="AF60" s="20" t="str">
        <f>IF(Table1[[#This Row],[Not_allocated]]&gt;=6,Table1[[#Headers],[Not_allocated]],"")</f>
        <v>Not_allocated</v>
      </c>
      <c r="AG60" s="20" t="str">
        <f>IF(Table1[[#This Row],[Canteen]]&gt;=6,Table1[[#Headers],[Canteen]],"")</f>
        <v/>
      </c>
      <c r="AH60" s="20" t="str">
        <f>IF(Table1[[#This Row],[Data_centre]]&gt;=6,Table1[[#Headers],[Data_centre]],"")</f>
        <v/>
      </c>
      <c r="AI60" s="20" t="str">
        <f>IF(Table1[[#This Row],[Refrigeration_unit2]]&gt;=6,Table1[[#Headers],[Refrigeration_unit2]],"")</f>
        <v/>
      </c>
      <c r="AJ60" s="20" t="str">
        <f>IF(Table1[[#This Row],[Rectory]]&gt;=6,Table1[[#Headers],[Rectory]],"")</f>
        <v/>
      </c>
      <c r="AK60" s="20" t="str">
        <f>IF(Table1[[#This Row],[DIMAT]]&gt;=6,Table1[[#Headers],[DIMAT]],"")</f>
        <v/>
      </c>
      <c r="AL60" s="20" t="str">
        <f>IF(Table1[[#This Row],[Print_shop]]&gt;=6,Table1[[#Headers],[Print_shop]],"")</f>
        <v/>
      </c>
    </row>
    <row r="61" spans="2:38" s="4" customFormat="1" hidden="1">
      <c r="B61" s="5">
        <v>43468</v>
      </c>
      <c r="C61" s="11">
        <v>0</v>
      </c>
      <c r="D61" s="5" t="s">
        <v>32</v>
      </c>
      <c r="E61" s="5" t="str">
        <f>TEXT(Table1[[#This Row],[Date]], "mmmm")</f>
        <v>January</v>
      </c>
      <c r="F61" s="5" t="str">
        <f>TEXT(Table1[[#This Row],[Date]], "dddd")</f>
        <v>Thursday</v>
      </c>
      <c r="G61" s="1">
        <v>2</v>
      </c>
      <c r="H61" s="1">
        <v>6</v>
      </c>
      <c r="I61" s="1">
        <v>0</v>
      </c>
      <c r="J61" s="1">
        <v>5</v>
      </c>
      <c r="K61" s="1">
        <v>1</v>
      </c>
      <c r="L61" s="1">
        <v>5</v>
      </c>
      <c r="M61" s="1">
        <v>1</v>
      </c>
      <c r="N61" s="1">
        <v>1</v>
      </c>
      <c r="O61" s="1">
        <v>8</v>
      </c>
      <c r="P61" s="2">
        <v>104.36433333333299</v>
      </c>
      <c r="Q61" s="2">
        <v>12.5003333333333</v>
      </c>
      <c r="R61" s="2">
        <v>37.265333333333302</v>
      </c>
      <c r="S61" s="2">
        <v>-0.274666666666675</v>
      </c>
      <c r="T61" s="2">
        <v>49.926666666666698</v>
      </c>
      <c r="U61" s="2">
        <v>0.88266666666666505</v>
      </c>
      <c r="V61" s="2">
        <v>1.64933333333333</v>
      </c>
      <c r="W61" s="2">
        <v>2.3959999999999999</v>
      </c>
      <c r="X61" s="3">
        <v>27.289382876597099</v>
      </c>
      <c r="Y61" s="3">
        <v>7.3144281537510301</v>
      </c>
      <c r="Z61" s="3">
        <v>75.535796329828898</v>
      </c>
      <c r="AA61" s="3">
        <v>-0.28859220240681199</v>
      </c>
      <c r="AB61" s="3">
        <v>203.17417254476399</v>
      </c>
      <c r="AC61" s="3">
        <v>3.20767516232192</v>
      </c>
      <c r="AD61" s="3">
        <v>18.6351310635734</v>
      </c>
      <c r="AE61" s="3">
        <v>199.00332225913601</v>
      </c>
      <c r="AF61" s="20" t="str">
        <f>IF(Table1[[#This Row],[Not_allocated]]&gt;=6,Table1[[#Headers],[Not_allocated]],"")</f>
        <v/>
      </c>
      <c r="AG61" s="20" t="str">
        <f>IF(Table1[[#This Row],[Canteen]]&gt;=6,Table1[[#Headers],[Canteen]],"")</f>
        <v/>
      </c>
      <c r="AH61" s="20" t="str">
        <f>IF(Table1[[#This Row],[Data_centre]]&gt;=6,Table1[[#Headers],[Data_centre]],"")</f>
        <v/>
      </c>
      <c r="AI61" s="20" t="str">
        <f>IF(Table1[[#This Row],[Refrigeration_unit2]]&gt;=6,Table1[[#Headers],[Refrigeration_unit2]],"")</f>
        <v/>
      </c>
      <c r="AJ61" s="20" t="str">
        <f>IF(Table1[[#This Row],[Rectory]]&gt;=6,Table1[[#Headers],[Rectory]],"")</f>
        <v/>
      </c>
      <c r="AK61" s="20" t="str">
        <f>IF(Table1[[#This Row],[DIMAT]]&gt;=6,Table1[[#Headers],[DIMAT]],"")</f>
        <v/>
      </c>
      <c r="AL61" s="20" t="str">
        <f>IF(Table1[[#This Row],[Print_shop]]&gt;=6,Table1[[#Headers],[Print_shop]],"")</f>
        <v>Print_shop</v>
      </c>
    </row>
    <row r="62" spans="2:38" s="4" customFormat="1" hidden="1">
      <c r="B62" s="5">
        <v>43725</v>
      </c>
      <c r="C62" s="11">
        <v>0</v>
      </c>
      <c r="D62" s="5" t="s">
        <v>32</v>
      </c>
      <c r="E62" s="5" t="str">
        <f>TEXT(Table1[[#This Row],[Date]], "mmmm")</f>
        <v>September</v>
      </c>
      <c r="F62" s="5" t="str">
        <f>TEXT(Table1[[#This Row],[Date]], "dddd")</f>
        <v>Tuesday</v>
      </c>
      <c r="G62" s="1">
        <v>2</v>
      </c>
      <c r="H62" s="1">
        <v>7</v>
      </c>
      <c r="I62" s="1">
        <v>1</v>
      </c>
      <c r="J62" s="1">
        <v>6</v>
      </c>
      <c r="K62" s="1">
        <v>2</v>
      </c>
      <c r="L62" s="1">
        <v>2</v>
      </c>
      <c r="M62" s="1">
        <v>2</v>
      </c>
      <c r="N62" s="1">
        <v>1</v>
      </c>
      <c r="O62" s="1">
        <v>0</v>
      </c>
      <c r="P62" s="2">
        <v>234.98251366120201</v>
      </c>
      <c r="Q62" s="2">
        <v>8.1722540983606695</v>
      </c>
      <c r="R62" s="2">
        <v>40.1224043715847</v>
      </c>
      <c r="S62" s="2">
        <v>3.1036990332072198</v>
      </c>
      <c r="T62" s="2">
        <v>198.06393442622999</v>
      </c>
      <c r="U62" s="2">
        <v>4.54972677595629</v>
      </c>
      <c r="V62" s="2">
        <v>-1.5786885245901601</v>
      </c>
      <c r="W62" s="2">
        <v>1.4169398907103801</v>
      </c>
      <c r="X62" s="3">
        <v>21.747219886039201</v>
      </c>
      <c r="Y62" s="3">
        <v>1.8107138709220201</v>
      </c>
      <c r="Z62" s="3">
        <v>12.5666206839895</v>
      </c>
      <c r="AA62" s="3">
        <v>3.2775293242928201</v>
      </c>
      <c r="AB62" s="3">
        <v>141.336873998339</v>
      </c>
      <c r="AC62" s="3">
        <v>13.8078575100748</v>
      </c>
      <c r="AD62" s="3">
        <v>-12.5505017594161</v>
      </c>
      <c r="AE62" s="3">
        <v>13.263427109974399</v>
      </c>
      <c r="AF62" s="20" t="str">
        <f>IF(Table1[[#This Row],[Not_allocated]]&gt;=6,Table1[[#Headers],[Not_allocated]],"")</f>
        <v/>
      </c>
      <c r="AG62" s="20" t="str">
        <f>IF(Table1[[#This Row],[Canteen]]&gt;=6,Table1[[#Headers],[Canteen]],"")</f>
        <v>Canteen</v>
      </c>
      <c r="AH62" s="20" t="str">
        <f>IF(Table1[[#This Row],[Data_centre]]&gt;=6,Table1[[#Headers],[Data_centre]],"")</f>
        <v/>
      </c>
      <c r="AI62" s="20" t="str">
        <f>IF(Table1[[#This Row],[Refrigeration_unit2]]&gt;=6,Table1[[#Headers],[Refrigeration_unit2]],"")</f>
        <v/>
      </c>
      <c r="AJ62" s="20" t="str">
        <f>IF(Table1[[#This Row],[Rectory]]&gt;=6,Table1[[#Headers],[Rectory]],"")</f>
        <v/>
      </c>
      <c r="AK62" s="20" t="str">
        <f>IF(Table1[[#This Row],[DIMAT]]&gt;=6,Table1[[#Headers],[DIMAT]],"")</f>
        <v/>
      </c>
      <c r="AL62" s="20" t="str">
        <f>IF(Table1[[#This Row],[Print_shop]]&gt;=6,Table1[[#Headers],[Print_shop]],"")</f>
        <v/>
      </c>
    </row>
    <row r="63" spans="2:38" s="4" customFormat="1" hidden="1">
      <c r="B63" s="5">
        <v>43640</v>
      </c>
      <c r="C63" s="11">
        <v>0</v>
      </c>
      <c r="D63" s="5" t="s">
        <v>34</v>
      </c>
      <c r="E63" s="5" t="str">
        <f>TEXT(Table1[[#This Row],[Date]], "mmmm")</f>
        <v>June</v>
      </c>
      <c r="F63" s="5" t="str">
        <f>TEXT(Table1[[#This Row],[Date]], "dddd")</f>
        <v>Monday</v>
      </c>
      <c r="G63" s="1">
        <v>4</v>
      </c>
      <c r="H63" s="1">
        <v>6</v>
      </c>
      <c r="I63" s="1">
        <v>1</v>
      </c>
      <c r="J63" s="1">
        <v>8</v>
      </c>
      <c r="K63" s="1">
        <v>8</v>
      </c>
      <c r="L63" s="1">
        <v>0</v>
      </c>
      <c r="M63" s="1">
        <v>1</v>
      </c>
      <c r="N63" s="1">
        <v>1</v>
      </c>
      <c r="O63" s="1">
        <v>0</v>
      </c>
      <c r="P63" s="2">
        <v>121.41489361702099</v>
      </c>
      <c r="Q63" s="2">
        <v>72.965957446808503</v>
      </c>
      <c r="R63" s="2">
        <v>20.095744680851102</v>
      </c>
      <c r="S63" s="2">
        <v>48.829787234042598</v>
      </c>
      <c r="T63" s="2">
        <v>-5.0723404255319204</v>
      </c>
      <c r="U63" s="2">
        <v>-5.5829787234042598</v>
      </c>
      <c r="V63" s="2">
        <v>-1.60851063829787</v>
      </c>
      <c r="W63" s="2">
        <v>-5.5319148936170202E-2</v>
      </c>
      <c r="X63" s="3">
        <v>22.784441179289001</v>
      </c>
      <c r="Y63" s="3">
        <v>27.222645583285701</v>
      </c>
      <c r="Z63" s="3">
        <v>42.7530327720442</v>
      </c>
      <c r="AA63" s="3">
        <v>35.136873047951497</v>
      </c>
      <c r="AB63" s="3">
        <v>-26.595269968763901</v>
      </c>
      <c r="AC63" s="3">
        <v>-15.1370060571099</v>
      </c>
      <c r="AD63" s="3">
        <v>-12.177835051546399</v>
      </c>
      <c r="AE63" s="3">
        <v>-3.5567715458276301</v>
      </c>
      <c r="AF63" s="20" t="str">
        <f>IF(Table1[[#This Row],[Not_allocated]]&gt;=6,Table1[[#Headers],[Not_allocated]],"")</f>
        <v/>
      </c>
      <c r="AG63" s="20" t="str">
        <f>IF(Table1[[#This Row],[Canteen]]&gt;=6,Table1[[#Headers],[Canteen]],"")</f>
        <v>Canteen</v>
      </c>
      <c r="AH63" s="20" t="str">
        <f>IF(Table1[[#This Row],[Data_centre]]&gt;=6,Table1[[#Headers],[Data_centre]],"")</f>
        <v>Data_centre</v>
      </c>
      <c r="AI63" s="20" t="str">
        <f>IF(Table1[[#This Row],[Refrigeration_unit2]]&gt;=6,Table1[[#Headers],[Refrigeration_unit2]],"")</f>
        <v/>
      </c>
      <c r="AJ63" s="20" t="str">
        <f>IF(Table1[[#This Row],[Rectory]]&gt;=6,Table1[[#Headers],[Rectory]],"")</f>
        <v/>
      </c>
      <c r="AK63" s="20" t="str">
        <f>IF(Table1[[#This Row],[DIMAT]]&gt;=6,Table1[[#Headers],[DIMAT]],"")</f>
        <v/>
      </c>
      <c r="AL63" s="20" t="str">
        <f>IF(Table1[[#This Row],[Print_shop]]&gt;=6,Table1[[#Headers],[Print_shop]],"")</f>
        <v/>
      </c>
    </row>
    <row r="64" spans="2:38" s="4" customFormat="1" hidden="1">
      <c r="B64" s="5">
        <v>43671</v>
      </c>
      <c r="C64" s="11">
        <v>0</v>
      </c>
      <c r="D64" s="5" t="s">
        <v>34</v>
      </c>
      <c r="E64" s="5" t="str">
        <f>TEXT(Table1[[#This Row],[Date]], "mmmm")</f>
        <v>July</v>
      </c>
      <c r="F64" s="5" t="str">
        <f>TEXT(Table1[[#This Row],[Date]], "dddd")</f>
        <v>Thursday</v>
      </c>
      <c r="G64" s="1">
        <v>4</v>
      </c>
      <c r="H64" s="1">
        <v>6</v>
      </c>
      <c r="I64" s="1">
        <v>2</v>
      </c>
      <c r="J64" s="1">
        <v>8</v>
      </c>
      <c r="K64" s="1">
        <v>0</v>
      </c>
      <c r="L64" s="1">
        <v>2</v>
      </c>
      <c r="M64" s="1">
        <v>2</v>
      </c>
      <c r="N64" s="1">
        <v>1</v>
      </c>
      <c r="O64" s="1">
        <v>4</v>
      </c>
      <c r="P64" s="2">
        <v>349.63749999999999</v>
      </c>
      <c r="Q64" s="2">
        <v>107.304166666667</v>
      </c>
      <c r="R64" s="2">
        <v>102.7</v>
      </c>
      <c r="S64" s="2">
        <v>-0.79166666666665697</v>
      </c>
      <c r="T64" s="2">
        <v>143.995833333333</v>
      </c>
      <c r="U64" s="2">
        <v>3.6541666666666699</v>
      </c>
      <c r="V64" s="2">
        <v>-2.0874999999999999</v>
      </c>
      <c r="W64" s="2">
        <v>-5.1375000000000002</v>
      </c>
      <c r="X64" s="3">
        <v>16.156534296028902</v>
      </c>
      <c r="Y64" s="3">
        <v>10.634748243922401</v>
      </c>
      <c r="Z64" s="3">
        <v>71.171171171171196</v>
      </c>
      <c r="AA64" s="3">
        <v>-0.51949472302728095</v>
      </c>
      <c r="AB64" s="3">
        <v>19.155917942009498</v>
      </c>
      <c r="AC64" s="3">
        <v>6.1991941754435702</v>
      </c>
      <c r="AD64" s="3">
        <v>-12.005751258087701</v>
      </c>
      <c r="AE64" s="3">
        <v>-16.934487021013599</v>
      </c>
      <c r="AF64" s="20" t="str">
        <f>IF(Table1[[#This Row],[Not_allocated]]&gt;=6,Table1[[#Headers],[Not_allocated]],"")</f>
        <v/>
      </c>
      <c r="AG64" s="20" t="str">
        <f>IF(Table1[[#This Row],[Canteen]]&gt;=6,Table1[[#Headers],[Canteen]],"")</f>
        <v>Canteen</v>
      </c>
      <c r="AH64" s="20" t="str">
        <f>IF(Table1[[#This Row],[Data_centre]]&gt;=6,Table1[[#Headers],[Data_centre]],"")</f>
        <v/>
      </c>
      <c r="AI64" s="20" t="str">
        <f>IF(Table1[[#This Row],[Refrigeration_unit2]]&gt;=6,Table1[[#Headers],[Refrigeration_unit2]],"")</f>
        <v/>
      </c>
      <c r="AJ64" s="20" t="str">
        <f>IF(Table1[[#This Row],[Rectory]]&gt;=6,Table1[[#Headers],[Rectory]],"")</f>
        <v/>
      </c>
      <c r="AK64" s="20" t="str">
        <f>IF(Table1[[#This Row],[DIMAT]]&gt;=6,Table1[[#Headers],[DIMAT]],"")</f>
        <v/>
      </c>
      <c r="AL64" s="20" t="str">
        <f>IF(Table1[[#This Row],[Print_shop]]&gt;=6,Table1[[#Headers],[Print_shop]],"")</f>
        <v/>
      </c>
    </row>
    <row r="65" spans="2:38" s="4" customFormat="1" hidden="1">
      <c r="B65" s="5">
        <v>43640</v>
      </c>
      <c r="C65" s="11">
        <v>0</v>
      </c>
      <c r="D65" s="5" t="s">
        <v>34</v>
      </c>
      <c r="E65" s="5" t="str">
        <f>TEXT(Table1[[#This Row],[Date]], "mmmm")</f>
        <v>June</v>
      </c>
      <c r="F65" s="5" t="str">
        <f>TEXT(Table1[[#This Row],[Date]], "dddd")</f>
        <v>Monday</v>
      </c>
      <c r="G65" s="1">
        <v>2</v>
      </c>
      <c r="H65" s="1">
        <v>7</v>
      </c>
      <c r="I65" s="1">
        <v>2</v>
      </c>
      <c r="J65" s="1">
        <v>8</v>
      </c>
      <c r="K65" s="1">
        <v>4</v>
      </c>
      <c r="L65" s="1">
        <v>7</v>
      </c>
      <c r="M65" s="1">
        <v>1</v>
      </c>
      <c r="N65" s="1">
        <v>1</v>
      </c>
      <c r="O65" s="1">
        <v>2</v>
      </c>
      <c r="P65" s="2">
        <v>337.77021276595701</v>
      </c>
      <c r="Q65" s="2">
        <v>60.940425531914897</v>
      </c>
      <c r="R65" s="2">
        <v>38.7340425531915</v>
      </c>
      <c r="S65" s="2">
        <v>16.251063829787199</v>
      </c>
      <c r="T65" s="2">
        <v>234.52127659574501</v>
      </c>
      <c r="U65" s="2">
        <v>-5.3255319148936104</v>
      </c>
      <c r="V65" s="2">
        <v>-2.0702127659574501</v>
      </c>
      <c r="W65" s="2">
        <v>0.45531914893616998</v>
      </c>
      <c r="X65" s="3">
        <v>48.935907869103097</v>
      </c>
      <c r="Y65" s="3">
        <v>17.299863495246498</v>
      </c>
      <c r="Z65" s="3">
        <v>102.835677568774</v>
      </c>
      <c r="AA65" s="3">
        <v>16.866884550834701</v>
      </c>
      <c r="AB65" s="3">
        <v>150.6443985841</v>
      </c>
      <c r="AC65" s="3">
        <v>-18.867782300618099</v>
      </c>
      <c r="AD65" s="3">
        <v>-19.585346215781001</v>
      </c>
      <c r="AE65" s="3">
        <v>12.492702860478699</v>
      </c>
      <c r="AF65" s="20" t="str">
        <f>IF(Table1[[#This Row],[Not_allocated]]&gt;=6,Table1[[#Headers],[Not_allocated]],"")</f>
        <v/>
      </c>
      <c r="AG65" s="20" t="str">
        <f>IF(Table1[[#This Row],[Canteen]]&gt;=6,Table1[[#Headers],[Canteen]],"")</f>
        <v>Canteen</v>
      </c>
      <c r="AH65" s="20" t="str">
        <f>IF(Table1[[#This Row],[Data_centre]]&gt;=6,Table1[[#Headers],[Data_centre]],"")</f>
        <v/>
      </c>
      <c r="AI65" s="20" t="str">
        <f>IF(Table1[[#This Row],[Refrigeration_unit2]]&gt;=6,Table1[[#Headers],[Refrigeration_unit2]],"")</f>
        <v>Refrigeration_unit2</v>
      </c>
      <c r="AJ65" s="20" t="str">
        <f>IF(Table1[[#This Row],[Rectory]]&gt;=6,Table1[[#Headers],[Rectory]],"")</f>
        <v/>
      </c>
      <c r="AK65" s="20" t="str">
        <f>IF(Table1[[#This Row],[DIMAT]]&gt;=6,Table1[[#Headers],[DIMAT]],"")</f>
        <v/>
      </c>
      <c r="AL65" s="20" t="str">
        <f>IF(Table1[[#This Row],[Print_shop]]&gt;=6,Table1[[#Headers],[Print_shop]],"")</f>
        <v/>
      </c>
    </row>
    <row r="66" spans="2:38" s="4" customFormat="1" hidden="1">
      <c r="B66" s="5">
        <v>43675</v>
      </c>
      <c r="C66" s="11">
        <v>0</v>
      </c>
      <c r="D66" s="5" t="s">
        <v>34</v>
      </c>
      <c r="E66" s="5" t="str">
        <f>TEXT(Table1[[#This Row],[Date]], "mmmm")</f>
        <v>July</v>
      </c>
      <c r="F66" s="5" t="str">
        <f>TEXT(Table1[[#This Row],[Date]], "dddd")</f>
        <v>Monday</v>
      </c>
      <c r="G66" s="1">
        <v>5</v>
      </c>
      <c r="H66" s="1">
        <v>8</v>
      </c>
      <c r="I66" s="1">
        <v>4</v>
      </c>
      <c r="J66" s="1">
        <v>8</v>
      </c>
      <c r="K66" s="1">
        <v>2</v>
      </c>
      <c r="L66" s="1">
        <v>6</v>
      </c>
      <c r="M66" s="1">
        <v>1</v>
      </c>
      <c r="N66" s="1">
        <v>1</v>
      </c>
      <c r="O66" s="1">
        <v>8</v>
      </c>
      <c r="P66" s="2">
        <v>282.247540983607</v>
      </c>
      <c r="Q66" s="2">
        <v>-113.302732240437</v>
      </c>
      <c r="R66" s="2">
        <v>252.55737704917999</v>
      </c>
      <c r="S66" s="2">
        <v>15.6650273224044</v>
      </c>
      <c r="T66" s="2">
        <v>140.95081967213099</v>
      </c>
      <c r="U66" s="2">
        <v>4.9508196721311499</v>
      </c>
      <c r="V66" s="2">
        <v>4.9508196721311499</v>
      </c>
      <c r="W66" s="2">
        <v>3.1060109289617501</v>
      </c>
      <c r="X66" s="3">
        <v>30.670664144194198</v>
      </c>
      <c r="Y66" s="3">
        <v>-21.618420449000499</v>
      </c>
      <c r="Z66" s="3">
        <v>358.52920642308601</v>
      </c>
      <c r="AA66" s="3">
        <v>8.8635696065548295</v>
      </c>
      <c r="AB66" s="3">
        <v>271.84772985961803</v>
      </c>
      <c r="AC66" s="3">
        <v>8.6327644856073</v>
      </c>
      <c r="AD66" s="3">
        <v>8.6327644856073</v>
      </c>
      <c r="AE66" s="3">
        <v>115.294117647059</v>
      </c>
      <c r="AF66" s="20" t="str">
        <f>IF(Table1[[#This Row],[Not_allocated]]&gt;=6,Table1[[#Headers],[Not_allocated]],"")</f>
        <v/>
      </c>
      <c r="AG66" s="20" t="str">
        <f>IF(Table1[[#This Row],[Canteen]]&gt;=6,Table1[[#Headers],[Canteen]],"")</f>
        <v>Canteen</v>
      </c>
      <c r="AH66" s="20" t="str">
        <f>IF(Table1[[#This Row],[Data_centre]]&gt;=6,Table1[[#Headers],[Data_centre]],"")</f>
        <v/>
      </c>
      <c r="AI66" s="20" t="str">
        <f>IF(Table1[[#This Row],[Refrigeration_unit2]]&gt;=6,Table1[[#Headers],[Refrigeration_unit2]],"")</f>
        <v>Refrigeration_unit2</v>
      </c>
      <c r="AJ66" s="20" t="str">
        <f>IF(Table1[[#This Row],[Rectory]]&gt;=6,Table1[[#Headers],[Rectory]],"")</f>
        <v/>
      </c>
      <c r="AK66" s="20" t="str">
        <f>IF(Table1[[#This Row],[DIMAT]]&gt;=6,Table1[[#Headers],[DIMAT]],"")</f>
        <v/>
      </c>
      <c r="AL66" s="20" t="str">
        <f>IF(Table1[[#This Row],[Print_shop]]&gt;=6,Table1[[#Headers],[Print_shop]],"")</f>
        <v>Print_shop</v>
      </c>
    </row>
    <row r="67" spans="2:38" s="4" customFormat="1">
      <c r="B67" s="5">
        <v>43676</v>
      </c>
      <c r="C67" s="11">
        <v>0</v>
      </c>
      <c r="D67" s="5" t="s">
        <v>34</v>
      </c>
      <c r="E67" s="5" t="str">
        <f>TEXT(Table1[[#This Row],[Date]], "mmmm")</f>
        <v>July</v>
      </c>
      <c r="F67" s="5" t="str">
        <f>TEXT(Table1[[#This Row],[Date]], "dddd")</f>
        <v>Tuesday</v>
      </c>
      <c r="G67" s="1">
        <v>5</v>
      </c>
      <c r="H67" s="1">
        <v>8</v>
      </c>
      <c r="I67" s="1">
        <v>4</v>
      </c>
      <c r="J67" s="1">
        <v>8</v>
      </c>
      <c r="K67" s="1">
        <v>2</v>
      </c>
      <c r="L67" s="1">
        <v>5</v>
      </c>
      <c r="M67" s="1">
        <v>1</v>
      </c>
      <c r="N67" s="1">
        <v>1</v>
      </c>
      <c r="O67" s="1">
        <v>8</v>
      </c>
      <c r="P67" s="2">
        <v>310.347540983606</v>
      </c>
      <c r="Q67" s="2">
        <v>-117.502732240437</v>
      </c>
      <c r="R67" s="2">
        <v>309.95737704918002</v>
      </c>
      <c r="S67" s="2">
        <v>11.2650273224044</v>
      </c>
      <c r="T67" s="2">
        <v>118.450819672131</v>
      </c>
      <c r="U67" s="2">
        <v>7.0508196721311496</v>
      </c>
      <c r="V67" s="2">
        <v>7.0508196721311496</v>
      </c>
      <c r="W67" s="2">
        <v>3.00601092896175</v>
      </c>
      <c r="X67" s="3">
        <v>33.724174050599103</v>
      </c>
      <c r="Y67" s="3">
        <v>-22.419790054926001</v>
      </c>
      <c r="Z67" s="3">
        <v>440.01396323016098</v>
      </c>
      <c r="AA67" s="3">
        <v>6.3739661436190698</v>
      </c>
      <c r="AB67" s="3">
        <v>228.45263690400901</v>
      </c>
      <c r="AC67" s="3">
        <v>12.2945430637738</v>
      </c>
      <c r="AD67" s="3">
        <v>12.2945430637738</v>
      </c>
      <c r="AE67" s="3">
        <v>111.58215010142</v>
      </c>
      <c r="AF67" s="20" t="str">
        <f>IF(Table1[[#This Row],[Not_allocated]]&gt;=6,Table1[[#Headers],[Not_allocated]],"")</f>
        <v/>
      </c>
      <c r="AG67" s="20" t="str">
        <f>IF(Table1[[#This Row],[Canteen]]&gt;=6,Table1[[#Headers],[Canteen]],"")</f>
        <v>Canteen</v>
      </c>
      <c r="AH67" s="20" t="str">
        <f>IF(Table1[[#This Row],[Data_centre]]&gt;=6,Table1[[#Headers],[Data_centre]],"")</f>
        <v/>
      </c>
      <c r="AI67" s="20" t="str">
        <f>IF(Table1[[#This Row],[Refrigeration_unit2]]&gt;=6,Table1[[#Headers],[Refrigeration_unit2]],"")</f>
        <v/>
      </c>
      <c r="AJ67" s="20" t="str">
        <f>IF(Table1[[#This Row],[Rectory]]&gt;=6,Table1[[#Headers],[Rectory]],"")</f>
        <v/>
      </c>
      <c r="AK67" s="20" t="str">
        <f>IF(Table1[[#This Row],[DIMAT]]&gt;=6,Table1[[#Headers],[DIMAT]],"")</f>
        <v/>
      </c>
      <c r="AL67" s="20" t="str">
        <f>IF(Table1[[#This Row],[Print_shop]]&gt;=6,Table1[[#Headers],[Print_shop]],"")</f>
        <v>Print_shop</v>
      </c>
    </row>
    <row r="68" spans="2:38">
      <c r="B68" s="5"/>
      <c r="D68" s="5"/>
      <c r="E68" s="5"/>
      <c r="F68" s="5"/>
      <c r="G68" s="16"/>
      <c r="H68" s="16"/>
      <c r="I68" s="16">
        <f>COUNTIF(Table1[Not_allocated],"&gt;=6")</f>
        <v>23</v>
      </c>
      <c r="J68" s="16">
        <f>COUNTIF(Table1[Canteen],"&gt;=6")</f>
        <v>6</v>
      </c>
      <c r="K68" s="16">
        <f>COUNTIF(Table1[Data_centre],"&gt;=6")</f>
        <v>4</v>
      </c>
      <c r="L68" s="16">
        <f>COUNTIF(Table1[Refrigeration_unit2],"&gt;=6")</f>
        <v>27</v>
      </c>
      <c r="M68" s="16">
        <f>COUNTIF(Table1[Rectory],"&gt;=6")</f>
        <v>0</v>
      </c>
      <c r="N68" s="16">
        <f>COUNTIF(Table1[DIMAT],"&gt;=6")</f>
        <v>0</v>
      </c>
      <c r="O68" s="16">
        <f>COUNTIF(Table1[Print_shop],"&gt;=6")</f>
        <v>10</v>
      </c>
      <c r="P68" s="17">
        <f>SUM(Table1[Total_Power_energy_absolute])</f>
        <v>20077.930697726639</v>
      </c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  <row r="69" spans="2:38">
      <c r="P69" s="2">
        <f>0.326*Table1[[#Totals],[Total_Power_energy_absolute]]</f>
        <v>6545.4054074588848</v>
      </c>
    </row>
  </sheetData>
  <mergeCells count="3">
    <mergeCell ref="H2:O2"/>
    <mergeCell ref="P2:W2"/>
    <mergeCell ref="X2:AE2"/>
  </mergeCells>
  <phoneticPr fontId="19" type="noConversion"/>
  <conditionalFormatting sqref="H3:O1048576 H2">
    <cfRule type="colorScale" priority="5">
      <colorScale>
        <cfvo type="num" val="5"/>
        <cfvo type="num" val="8"/>
        <color rgb="FFFCFCFF"/>
        <color rgb="FFF8696B"/>
      </colorScale>
    </cfRule>
  </conditionalFormatting>
  <conditionalFormatting sqref="P3:W1048576 P2">
    <cfRule type="colorScale" priority="6">
      <colorScale>
        <cfvo type="percentile" val="10"/>
        <cfvo type="num" val="0"/>
        <cfvo type="percentile" val="90"/>
        <color rgb="FF5A8AC6"/>
        <color rgb="FFFCFCFF"/>
        <color rgb="FFF8696B"/>
      </colorScale>
    </cfRule>
  </conditionalFormatting>
  <conditionalFormatting sqref="X3:AE1048576 X2">
    <cfRule type="colorScale" priority="7">
      <colorScale>
        <cfvo type="percentile" val="10"/>
        <cfvo type="num" val="0"/>
        <cfvo type="percentile" val="90"/>
        <color rgb="FF5A8AC6"/>
        <color rgb="FFFCFCFF"/>
        <color rgb="FFF8696B"/>
      </colorScale>
    </cfRule>
  </conditionalFormatting>
  <conditionalFormatting sqref="H1:O1048576">
    <cfRule type="colorScale" priority="2">
      <colorScale>
        <cfvo type="min"/>
        <cfvo type="max"/>
        <color rgb="FF63BE7B"/>
        <color rgb="FFFFEF9C"/>
      </colorScale>
    </cfRule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4:O67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scale="14" fitToWidth="0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diagnosis_final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CHIOSA  ROBERTO</cp:lastModifiedBy>
  <dcterms:created xsi:type="dcterms:W3CDTF">2022-02-08T17:59:55Z</dcterms:created>
  <dcterms:modified xsi:type="dcterms:W3CDTF">2022-02-17T16:38:06Z</dcterms:modified>
</cp:coreProperties>
</file>