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F:\Microsoft Office 2016\Excel 2016\"/>
    </mc:Choice>
  </mc:AlternateContent>
  <bookViews>
    <workbookView xWindow="0" yWindow="0" windowWidth="21600" windowHeight="9600" activeTab="17"/>
  </bookViews>
  <sheets>
    <sheet name="1" sheetId="6" r:id="rId1"/>
    <sheet name="2" sheetId="1" r:id="rId2"/>
    <sheet name="3" sheetId="3" r:id="rId3"/>
    <sheet name="4" sheetId="5" r:id="rId4"/>
    <sheet name="5" sheetId="8" r:id="rId5"/>
    <sheet name="6" sheetId="9" r:id="rId6"/>
    <sheet name="7" sheetId="10" r:id="rId7"/>
    <sheet name="8" sheetId="11" r:id="rId8"/>
    <sheet name="9-1" sheetId="12" r:id="rId9"/>
    <sheet name="9-2" sheetId="13" r:id="rId10"/>
    <sheet name="10-1" sheetId="14" r:id="rId11"/>
    <sheet name="10-2" sheetId="15" r:id="rId12"/>
    <sheet name="10-3" sheetId="20" r:id="rId13"/>
    <sheet name="11-1" sheetId="21" r:id="rId14"/>
    <sheet name="11-2" sheetId="24" r:id="rId15"/>
    <sheet name="12-1" sheetId="25" r:id="rId16"/>
    <sheet name="12-2" sheetId="26" r:id="rId17"/>
    <sheet name="12-3" sheetId="2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6" l="1"/>
  <c r="I9" i="26" s="1"/>
  <c r="D9" i="26"/>
  <c r="F9" i="26" s="1"/>
  <c r="C9" i="26"/>
  <c r="K4" i="25"/>
  <c r="K5" i="25"/>
  <c r="K6" i="25"/>
  <c r="K3" i="25"/>
  <c r="J4" i="25"/>
  <c r="J5" i="25"/>
  <c r="J6" i="25"/>
  <c r="J3" i="25"/>
  <c r="I4" i="25"/>
  <c r="I5" i="25"/>
  <c r="I6" i="25"/>
  <c r="I3" i="25"/>
  <c r="B9" i="26"/>
  <c r="D6" i="26"/>
  <c r="D5" i="26"/>
  <c r="D4" i="26"/>
  <c r="H3" i="25"/>
  <c r="H4" i="25"/>
  <c r="H5" i="25"/>
  <c r="H6" i="25"/>
  <c r="D12" i="26" l="1"/>
  <c r="H4" i="1"/>
  <c r="K4" i="21"/>
  <c r="K5" i="21"/>
  <c r="K15" i="21" s="1"/>
  <c r="K6" i="21"/>
  <c r="K7" i="21"/>
  <c r="K8" i="21"/>
  <c r="K9" i="21"/>
  <c r="K10" i="21"/>
  <c r="K16" i="21"/>
  <c r="K14" i="21"/>
  <c r="J14" i="21"/>
  <c r="I16" i="21"/>
  <c r="I14" i="21"/>
  <c r="I15" i="21"/>
  <c r="J16" i="21"/>
  <c r="J15" i="21"/>
  <c r="I3" i="21"/>
  <c r="H3" i="21"/>
  <c r="H4" i="21"/>
  <c r="J4" i="21" s="1"/>
  <c r="H5" i="21"/>
  <c r="H6" i="21"/>
  <c r="H7" i="21"/>
  <c r="H8" i="21"/>
  <c r="H9" i="21"/>
  <c r="J9" i="21" s="1"/>
  <c r="H10" i="21"/>
  <c r="I4" i="21"/>
  <c r="I5" i="21"/>
  <c r="I6" i="21"/>
  <c r="J6" i="21" s="1"/>
  <c r="I7" i="21"/>
  <c r="I8" i="21"/>
  <c r="I9" i="21"/>
  <c r="I10" i="21"/>
  <c r="J10" i="21" s="1"/>
  <c r="E12" i="26" l="1"/>
  <c r="F12" i="26" s="1"/>
  <c r="G12" i="26" s="1"/>
  <c r="K17" i="21"/>
  <c r="J17" i="21"/>
  <c r="I17" i="21"/>
  <c r="J8" i="21"/>
  <c r="J3" i="21"/>
  <c r="K3" i="21" s="1"/>
  <c r="J7" i="21"/>
  <c r="J5" i="21"/>
  <c r="G4" i="14"/>
  <c r="C10" i="14"/>
  <c r="D10" i="14"/>
  <c r="E10" i="14"/>
  <c r="F10" i="14"/>
  <c r="B10" i="14"/>
  <c r="G5" i="14"/>
  <c r="G6" i="14"/>
  <c r="G7" i="14"/>
  <c r="G8" i="14"/>
  <c r="C11" i="14"/>
  <c r="D11" i="14"/>
  <c r="E11" i="14"/>
  <c r="F11" i="14"/>
  <c r="B11" i="14"/>
  <c r="C12" i="14"/>
  <c r="D12" i="14"/>
  <c r="E12" i="14"/>
  <c r="F12" i="14"/>
  <c r="B12" i="14"/>
  <c r="F9" i="14"/>
  <c r="E4" i="10"/>
  <c r="C9" i="14"/>
  <c r="D9" i="14"/>
  <c r="E9" i="14"/>
  <c r="B9" i="14"/>
  <c r="F5" i="14"/>
  <c r="F6" i="14"/>
  <c r="F7" i="14"/>
  <c r="F8" i="14"/>
  <c r="F4" i="14"/>
  <c r="K5" i="12" l="1"/>
  <c r="K6" i="12"/>
  <c r="K7" i="12"/>
  <c r="K4" i="12"/>
  <c r="I5" i="12"/>
  <c r="I15" i="12"/>
  <c r="I16" i="12"/>
  <c r="I17" i="12"/>
  <c r="I14" i="12"/>
  <c r="F18" i="12"/>
  <c r="E18" i="12"/>
  <c r="D18" i="12"/>
  <c r="G17" i="12"/>
  <c r="H17" i="12" s="1"/>
  <c r="G16" i="12"/>
  <c r="H16" i="12" s="1"/>
  <c r="G15" i="12"/>
  <c r="G14" i="12"/>
  <c r="H14" i="12" s="1"/>
  <c r="E22" i="13"/>
  <c r="E21" i="13"/>
  <c r="E20" i="13"/>
  <c r="D19" i="13"/>
  <c r="D18" i="13"/>
  <c r="H4" i="13"/>
  <c r="J10" i="13"/>
  <c r="H7" i="11"/>
  <c r="I8" i="13"/>
  <c r="I7" i="13"/>
  <c r="I6" i="13"/>
  <c r="H5" i="13"/>
  <c r="B4" i="13"/>
  <c r="B5" i="13"/>
  <c r="C8" i="13"/>
  <c r="C7" i="13"/>
  <c r="C6" i="13"/>
  <c r="D8" i="12"/>
  <c r="F8" i="12"/>
  <c r="E8" i="12"/>
  <c r="E9" i="12" s="1"/>
  <c r="G7" i="12"/>
  <c r="I7" i="12" s="1"/>
  <c r="I6" i="12"/>
  <c r="J11" i="13" s="1"/>
  <c r="G6" i="12"/>
  <c r="H6" i="12" s="1"/>
  <c r="G5" i="12"/>
  <c r="G4" i="12"/>
  <c r="I4" i="12" s="1"/>
  <c r="G24" i="11"/>
  <c r="E22" i="11"/>
  <c r="G7" i="11"/>
  <c r="H9" i="11"/>
  <c r="G8" i="9"/>
  <c r="E5" i="10"/>
  <c r="F25" i="13" l="1"/>
  <c r="D11" i="13"/>
  <c r="H5" i="12"/>
  <c r="D9" i="13"/>
  <c r="J9" i="13"/>
  <c r="F23" i="13"/>
  <c r="F20" i="12"/>
  <c r="G18" i="12"/>
  <c r="G19" i="12" s="1"/>
  <c r="H15" i="12"/>
  <c r="D19" i="12"/>
  <c r="D20" i="12" s="1"/>
  <c r="E19" i="12"/>
  <c r="E20" i="12" s="1"/>
  <c r="F19" i="12"/>
  <c r="E10" i="12"/>
  <c r="H7" i="12"/>
  <c r="F9" i="12"/>
  <c r="F10" i="12" s="1"/>
  <c r="D9" i="12"/>
  <c r="D10" i="12" s="1"/>
  <c r="H4" i="12"/>
  <c r="G8" i="12"/>
  <c r="G9" i="12" s="1"/>
  <c r="G10" i="12" s="1"/>
  <c r="H8" i="11"/>
  <c r="H10" i="11"/>
  <c r="H11" i="11"/>
  <c r="H12" i="11"/>
  <c r="H13" i="11"/>
  <c r="H14" i="11"/>
  <c r="H15" i="11"/>
  <c r="H16" i="11"/>
  <c r="G12" i="11"/>
  <c r="F19" i="11" s="1"/>
  <c r="G8" i="11"/>
  <c r="G9" i="11"/>
  <c r="G10" i="11"/>
  <c r="G11" i="11"/>
  <c r="G13" i="11"/>
  <c r="G14" i="11"/>
  <c r="G15" i="11"/>
  <c r="G16" i="11"/>
  <c r="F20" i="11" s="1"/>
  <c r="F18" i="11"/>
  <c r="G20" i="12" l="1"/>
  <c r="D10" i="13"/>
  <c r="F24" i="13"/>
  <c r="B18" i="11"/>
  <c r="I18" i="11" s="1"/>
  <c r="D6" i="10"/>
  <c r="F15" i="10"/>
  <c r="D5" i="10"/>
  <c r="F5" i="10" s="1"/>
  <c r="G5" i="10" s="1"/>
  <c r="F6" i="10"/>
  <c r="D7" i="10"/>
  <c r="F7" i="10" s="1"/>
  <c r="G7" i="10" s="1"/>
  <c r="D8" i="10"/>
  <c r="D9" i="10"/>
  <c r="F9" i="10" s="1"/>
  <c r="D10" i="10"/>
  <c r="F10" i="10" s="1"/>
  <c r="D11" i="10"/>
  <c r="F11" i="10" s="1"/>
  <c r="G11" i="10" s="1"/>
  <c r="D12" i="10"/>
  <c r="F12" i="10" s="1"/>
  <c r="D13" i="10"/>
  <c r="F13" i="10" s="1"/>
  <c r="G13" i="10" s="1"/>
  <c r="D14" i="10"/>
  <c r="F14" i="10" s="1"/>
  <c r="D15" i="10"/>
  <c r="D4" i="10"/>
  <c r="E6" i="10"/>
  <c r="E7" i="10"/>
  <c r="E8" i="10"/>
  <c r="E9" i="10"/>
  <c r="E10" i="10"/>
  <c r="E11" i="10"/>
  <c r="E12" i="10"/>
  <c r="E13" i="10"/>
  <c r="E14" i="10"/>
  <c r="E15" i="10"/>
  <c r="G8" i="10" l="1"/>
  <c r="G10" i="10"/>
  <c r="G6" i="10"/>
  <c r="F8" i="10"/>
  <c r="G14" i="10"/>
  <c r="F4" i="10"/>
  <c r="G4" i="10" s="1"/>
  <c r="G12" i="10"/>
  <c r="G15" i="10"/>
  <c r="G9" i="10"/>
  <c r="E7" i="9"/>
  <c r="E11" i="9"/>
  <c r="E12" i="9"/>
  <c r="E8" i="9"/>
  <c r="E9" i="9"/>
  <c r="E10" i="9"/>
  <c r="F2" i="9"/>
  <c r="F8" i="9" s="1"/>
  <c r="C24" i="8"/>
  <c r="D17" i="8"/>
  <c r="D18" i="8"/>
  <c r="D16" i="8"/>
  <c r="D19" i="8"/>
  <c r="I21" i="8"/>
  <c r="I22" i="8"/>
  <c r="I25" i="8"/>
  <c r="I26" i="8"/>
  <c r="H27" i="8"/>
  <c r="I24" i="8" s="1"/>
  <c r="E3" i="8"/>
  <c r="D8" i="8" s="1"/>
  <c r="E8" i="8" s="1"/>
  <c r="D3" i="8"/>
  <c r="G17" i="10" l="1"/>
  <c r="G19" i="10"/>
  <c r="D10" i="8"/>
  <c r="E10" i="8" s="1"/>
  <c r="I23" i="8"/>
  <c r="I20" i="8"/>
  <c r="I27" i="8" s="1"/>
  <c r="D9" i="8"/>
  <c r="E9" i="8" s="1"/>
  <c r="E11" i="8" s="1"/>
  <c r="C26" i="8" s="1"/>
  <c r="F12" i="9"/>
  <c r="G12" i="9" s="1"/>
  <c r="H12" i="9" s="1"/>
  <c r="I12" i="9" s="1"/>
  <c r="J12" i="9" s="1"/>
  <c r="F11" i="9"/>
  <c r="G11" i="9" s="1"/>
  <c r="I11" i="9" s="1"/>
  <c r="J11" i="9" s="1"/>
  <c r="H11" i="9"/>
  <c r="F9" i="9"/>
  <c r="G9" i="9" s="1"/>
  <c r="F7" i="9"/>
  <c r="G7" i="9" s="1"/>
  <c r="H7" i="9" s="1"/>
  <c r="I7" i="9" s="1"/>
  <c r="J7" i="9" s="1"/>
  <c r="F10" i="9"/>
  <c r="G10" i="9" s="1"/>
  <c r="E3" i="6"/>
  <c r="E4" i="6"/>
  <c r="E5" i="6"/>
  <c r="E6" i="6"/>
  <c r="E7" i="6"/>
  <c r="B8" i="6"/>
  <c r="C8" i="6"/>
  <c r="D8" i="6"/>
  <c r="E8" i="6"/>
  <c r="E10" i="6"/>
  <c r="E11" i="6"/>
  <c r="E12" i="6"/>
  <c r="E13" i="6"/>
  <c r="B14" i="6"/>
  <c r="C14" i="6"/>
  <c r="D14" i="6"/>
  <c r="E14" i="6"/>
  <c r="E18" i="6" s="1"/>
  <c r="E19" i="6" s="1"/>
  <c r="B17" i="6"/>
  <c r="C17" i="6"/>
  <c r="D17" i="6"/>
  <c r="D19" i="6" s="1"/>
  <c r="E17" i="6"/>
  <c r="B18" i="6"/>
  <c r="C18" i="6"/>
  <c r="C19" i="6" s="1"/>
  <c r="D18" i="6"/>
  <c r="B19" i="6"/>
  <c r="G18" i="10" l="1"/>
  <c r="G20" i="10"/>
  <c r="G21" i="10" s="1"/>
  <c r="H10" i="9"/>
  <c r="I10" i="9"/>
  <c r="J10" i="9" s="1"/>
  <c r="H9" i="9"/>
  <c r="I9" i="9" s="1"/>
  <c r="J9" i="9" s="1"/>
  <c r="H8" i="9"/>
  <c r="I8" i="9" s="1"/>
  <c r="J8" i="9" s="1"/>
  <c r="E2" i="5"/>
  <c r="F10" i="5" s="1"/>
  <c r="I10" i="5" s="1"/>
  <c r="C20" i="3"/>
  <c r="D20" i="3"/>
  <c r="E20" i="3"/>
  <c r="F20" i="3"/>
  <c r="G20" i="3"/>
  <c r="H20" i="3"/>
  <c r="I20" i="3"/>
  <c r="J20" i="3"/>
  <c r="B20" i="3"/>
  <c r="C19" i="3"/>
  <c r="D19" i="3"/>
  <c r="E19" i="3"/>
  <c r="F19" i="3"/>
  <c r="G19" i="3"/>
  <c r="H19" i="3"/>
  <c r="I19" i="3"/>
  <c r="J19" i="3"/>
  <c r="B19" i="3"/>
  <c r="C18" i="3"/>
  <c r="D18" i="3"/>
  <c r="E18" i="3"/>
  <c r="F18" i="3"/>
  <c r="G18" i="3"/>
  <c r="H18" i="3"/>
  <c r="I18" i="3"/>
  <c r="J18" i="3"/>
  <c r="B18" i="3"/>
  <c r="C16" i="3"/>
  <c r="D16" i="3"/>
  <c r="E16" i="3"/>
  <c r="F16" i="3"/>
  <c r="G16" i="3"/>
  <c r="H16" i="3"/>
  <c r="I16" i="3"/>
  <c r="J16" i="3"/>
  <c r="B16" i="3"/>
  <c r="K4" i="3"/>
  <c r="K5" i="3"/>
  <c r="K6" i="3"/>
  <c r="K7" i="3"/>
  <c r="K8" i="3"/>
  <c r="K9" i="3"/>
  <c r="K10" i="3"/>
  <c r="K11" i="3"/>
  <c r="K12" i="3"/>
  <c r="K13" i="3"/>
  <c r="K14" i="3"/>
  <c r="K3" i="3"/>
  <c r="K19" i="3" s="1"/>
  <c r="I17" i="3" l="1"/>
  <c r="L13" i="3"/>
  <c r="L9" i="3"/>
  <c r="G17" i="3"/>
  <c r="C17" i="3"/>
  <c r="L6" i="3"/>
  <c r="J17" i="3"/>
  <c r="K16" i="3"/>
  <c r="L3" i="3"/>
  <c r="K18" i="3"/>
  <c r="K20" i="3"/>
  <c r="F6" i="5"/>
  <c r="I6" i="5" s="1"/>
  <c r="F4" i="5"/>
  <c r="I4" i="5" s="1"/>
  <c r="F11" i="5"/>
  <c r="I11" i="5" s="1"/>
  <c r="G4" i="5"/>
  <c r="F18" i="5"/>
  <c r="I18" i="5" s="1"/>
  <c r="F14" i="5"/>
  <c r="I14" i="5" s="1"/>
  <c r="F17" i="5"/>
  <c r="I17" i="5" s="1"/>
  <c r="F13" i="5"/>
  <c r="I13" i="5" s="1"/>
  <c r="F9" i="5"/>
  <c r="I9" i="5" s="1"/>
  <c r="F5" i="5"/>
  <c r="I5" i="5" s="1"/>
  <c r="F20" i="5"/>
  <c r="I20" i="5" s="1"/>
  <c r="F16" i="5"/>
  <c r="I16" i="5" s="1"/>
  <c r="F12" i="5"/>
  <c r="I12" i="5" s="1"/>
  <c r="F8" i="5"/>
  <c r="I8" i="5" s="1"/>
  <c r="F19" i="5"/>
  <c r="I19" i="5" s="1"/>
  <c r="F15" i="5"/>
  <c r="I15" i="5" s="1"/>
  <c r="F7" i="5"/>
  <c r="I7" i="5" s="1"/>
  <c r="H9" i="1"/>
  <c r="J11" i="1"/>
  <c r="D4" i="1"/>
  <c r="K11" i="1"/>
  <c r="K14" i="1"/>
  <c r="K15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2" i="1"/>
  <c r="K12" i="1" s="1"/>
  <c r="J13" i="1"/>
  <c r="K13" i="1" s="1"/>
  <c r="J14" i="1"/>
  <c r="J15" i="1"/>
  <c r="J4" i="1"/>
  <c r="K4" i="1" s="1"/>
  <c r="H5" i="1"/>
  <c r="H6" i="1"/>
  <c r="H7" i="1"/>
  <c r="H8" i="1"/>
  <c r="H10" i="1"/>
  <c r="H11" i="1"/>
  <c r="H12" i="1"/>
  <c r="H13" i="1"/>
  <c r="H14" i="1"/>
  <c r="H15" i="1"/>
  <c r="F17" i="1"/>
  <c r="D15" i="1"/>
  <c r="D14" i="1"/>
  <c r="D13" i="1"/>
  <c r="D12" i="1"/>
  <c r="D11" i="1"/>
  <c r="D10" i="1"/>
  <c r="D9" i="1"/>
  <c r="D8" i="1"/>
  <c r="D7" i="1"/>
  <c r="D6" i="1"/>
  <c r="D5" i="1"/>
  <c r="F18" i="1" s="1"/>
  <c r="F19" i="1" l="1"/>
  <c r="H22" i="1" s="1"/>
  <c r="B17" i="3"/>
  <c r="K17" i="3"/>
  <c r="D17" i="3"/>
  <c r="H17" i="3"/>
  <c r="L7" i="3"/>
  <c r="L4" i="3"/>
  <c r="L11" i="3"/>
  <c r="L10" i="3"/>
  <c r="L8" i="3"/>
  <c r="L12" i="3"/>
  <c r="F17" i="3"/>
  <c r="L14" i="3"/>
  <c r="E17" i="3"/>
  <c r="L5" i="3"/>
  <c r="G5" i="5"/>
  <c r="H4" i="5"/>
  <c r="G6" i="5" l="1"/>
  <c r="H5" i="5"/>
  <c r="G7" i="5" l="1"/>
  <c r="H6" i="5"/>
  <c r="G8" i="5" l="1"/>
  <c r="H7" i="5"/>
  <c r="G9" i="5" l="1"/>
  <c r="H8" i="5"/>
  <c r="G10" i="5" l="1"/>
  <c r="H9" i="5"/>
  <c r="G11" i="5" l="1"/>
  <c r="H10" i="5"/>
  <c r="G12" i="5" l="1"/>
  <c r="H11" i="5"/>
  <c r="G13" i="5" l="1"/>
  <c r="H12" i="5"/>
  <c r="G14" i="5" l="1"/>
  <c r="H13" i="5"/>
  <c r="G15" i="5" l="1"/>
  <c r="H14" i="5"/>
  <c r="G16" i="5" l="1"/>
  <c r="H15" i="5"/>
  <c r="G17" i="5" l="1"/>
  <c r="H16" i="5"/>
  <c r="G18" i="5" l="1"/>
  <c r="H17" i="5"/>
  <c r="G19" i="5" l="1"/>
  <c r="H18" i="5"/>
  <c r="G20" i="5" l="1"/>
  <c r="H20" i="5" s="1"/>
  <c r="H19" i="5"/>
</calcChain>
</file>

<file path=xl/sharedStrings.xml><?xml version="1.0" encoding="utf-8"?>
<sst xmlns="http://schemas.openxmlformats.org/spreadsheetml/2006/main" count="521" uniqueCount="359">
  <si>
    <t xml:space="preserve"> </t>
  </si>
  <si>
    <t>ETAT DES VENTES DE L'ANNEE</t>
  </si>
  <si>
    <t>Désignation</t>
  </si>
  <si>
    <t>Prix Unitaire</t>
  </si>
  <si>
    <t>Quantité</t>
  </si>
  <si>
    <t>Ordinateur</t>
  </si>
  <si>
    <t>Scanner</t>
  </si>
  <si>
    <t>Caméra</t>
  </si>
  <si>
    <t>Souris</t>
  </si>
  <si>
    <t>Clavier</t>
  </si>
  <si>
    <t>Imprimante</t>
  </si>
  <si>
    <t>H, Parleur</t>
  </si>
  <si>
    <t>Lecteur DVD</t>
  </si>
  <si>
    <t>Lecteur CD</t>
  </si>
  <si>
    <t>Lecteur Disquettes</t>
  </si>
  <si>
    <t>Flash Mémoire</t>
  </si>
  <si>
    <t>Modem</t>
  </si>
  <si>
    <t>STOCK RESTANT</t>
  </si>
  <si>
    <t>Montat Stock</t>
  </si>
  <si>
    <t>Quantié</t>
  </si>
  <si>
    <t>Total Ventes</t>
  </si>
  <si>
    <t>Total Achats</t>
  </si>
  <si>
    <t>Total Stocks</t>
  </si>
  <si>
    <t>Charges Fixes</t>
  </si>
  <si>
    <t>GAIN ANNUEL (DH)</t>
  </si>
  <si>
    <t>ACHATS</t>
  </si>
  <si>
    <t>VENTES</t>
  </si>
  <si>
    <t>Mois</t>
  </si>
  <si>
    <t>DTS1</t>
  </si>
  <si>
    <t>DTS2</t>
  </si>
  <si>
    <t>DT1</t>
  </si>
  <si>
    <t>DT2</t>
  </si>
  <si>
    <t>DQ1</t>
  </si>
  <si>
    <t>DQ2</t>
  </si>
  <si>
    <t>Cours du Soir</t>
  </si>
  <si>
    <t>Form, cotinue</t>
  </si>
  <si>
    <t>Form, Accélérée</t>
  </si>
  <si>
    <t>Total / Mois</t>
  </si>
  <si>
    <t>%</t>
  </si>
  <si>
    <t>Janvier</t>
  </si>
  <si>
    <t>Février</t>
  </si>
  <si>
    <t>Mars</t>
  </si>
  <si>
    <t>Juin</t>
  </si>
  <si>
    <t>Juillet</t>
  </si>
  <si>
    <t>Août</t>
  </si>
  <si>
    <t>September</t>
  </si>
  <si>
    <t>Décembere</t>
  </si>
  <si>
    <t>Avril</t>
  </si>
  <si>
    <t>Mai</t>
  </si>
  <si>
    <t>October</t>
  </si>
  <si>
    <t>TOTAL</t>
  </si>
  <si>
    <t>Moyenne</t>
  </si>
  <si>
    <t>Valeur Max</t>
  </si>
  <si>
    <t>Valeur Min</t>
  </si>
  <si>
    <t>ETAT  DES RECETTES DE L'ANNEE</t>
  </si>
  <si>
    <t>Novemb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</t>
  </si>
  <si>
    <t>Nom</t>
  </si>
  <si>
    <t>Prénom</t>
  </si>
  <si>
    <t>Ethnie</t>
  </si>
  <si>
    <t>Recruté le</t>
  </si>
  <si>
    <t>Ancienneté</t>
  </si>
  <si>
    <t>Date début de congé</t>
  </si>
  <si>
    <t>Date d'entrée</t>
  </si>
  <si>
    <t>Salaire fixe</t>
  </si>
  <si>
    <t>20FIT6</t>
  </si>
  <si>
    <t>20FIT10</t>
  </si>
  <si>
    <t>20FIT14</t>
  </si>
  <si>
    <t>20FIT18</t>
  </si>
  <si>
    <t>20FIT22</t>
  </si>
  <si>
    <t>20FIT26</t>
  </si>
  <si>
    <t>20FIT30</t>
  </si>
  <si>
    <t>20FIT34</t>
  </si>
  <si>
    <t>20FIT38</t>
  </si>
  <si>
    <t>20FIT42</t>
  </si>
  <si>
    <t>20FIT46</t>
  </si>
  <si>
    <t>20FIT50</t>
  </si>
  <si>
    <t>20FIT54</t>
  </si>
  <si>
    <t>20FIT58</t>
  </si>
  <si>
    <t>20FIT62</t>
  </si>
  <si>
    <t>20FIT66</t>
  </si>
  <si>
    <t>20FIT67</t>
  </si>
  <si>
    <t>DAKKI</t>
  </si>
  <si>
    <t>TOUMI</t>
  </si>
  <si>
    <t>BABA</t>
  </si>
  <si>
    <t>HAMOU</t>
  </si>
  <si>
    <t>BIDAN</t>
  </si>
  <si>
    <t>AZMI</t>
  </si>
  <si>
    <t>RAHI</t>
  </si>
  <si>
    <t>BATAL</t>
  </si>
  <si>
    <t>AMMI</t>
  </si>
  <si>
    <t>TAMIR</t>
  </si>
  <si>
    <t>ZIANI</t>
  </si>
  <si>
    <t>BENANI</t>
  </si>
  <si>
    <t>NGUI</t>
  </si>
  <si>
    <t>BADRA</t>
  </si>
  <si>
    <t>SAFI</t>
  </si>
  <si>
    <t>MOUH</t>
  </si>
  <si>
    <t>TAKI</t>
  </si>
  <si>
    <t>Ali</t>
  </si>
  <si>
    <t>Fatima</t>
  </si>
  <si>
    <t>Houda</t>
  </si>
  <si>
    <t>Badr</t>
  </si>
  <si>
    <t>Anass</t>
  </si>
  <si>
    <t>Loubna</t>
  </si>
  <si>
    <t>Ahmed</t>
  </si>
  <si>
    <t>Asmae</t>
  </si>
  <si>
    <t>Rida</t>
  </si>
  <si>
    <t>Moussa</t>
  </si>
  <si>
    <t>Hamid</t>
  </si>
  <si>
    <t>Noura</t>
  </si>
  <si>
    <t>Aicha</t>
  </si>
  <si>
    <t>Mohamed</t>
  </si>
  <si>
    <t>Souad</t>
  </si>
  <si>
    <t>Hind</t>
  </si>
  <si>
    <r>
      <t>M</t>
    </r>
    <r>
      <rPr>
        <b/>
        <vertAlign val="superscript"/>
        <sz val="10"/>
        <color theme="1"/>
        <rFont val="Arial"/>
        <family val="2"/>
        <scheme val="minor"/>
      </rPr>
      <t>le</t>
    </r>
  </si>
  <si>
    <t xml:space="preserve">        </t>
  </si>
  <si>
    <t>Aujourd'hui nous le sommes :</t>
  </si>
  <si>
    <t>,,,,,,,,,,</t>
  </si>
  <si>
    <t xml:space="preserve">   </t>
  </si>
  <si>
    <t>BENEFICES</t>
  </si>
  <si>
    <t>TOTAL DEPENSES</t>
  </si>
  <si>
    <t>TOTAL RECETTES</t>
  </si>
  <si>
    <t>RECAPITULATIF</t>
  </si>
  <si>
    <t>Téléphone</t>
  </si>
  <si>
    <t>Loyer</t>
  </si>
  <si>
    <t>Formateurs</t>
  </si>
  <si>
    <t>Personnel</t>
  </si>
  <si>
    <t>DEPENSES</t>
  </si>
  <si>
    <t>TOTAL recettes</t>
  </si>
  <si>
    <t>Diplôme DEES</t>
  </si>
  <si>
    <t>Opérateur de saisie</t>
  </si>
  <si>
    <t>Technicien</t>
  </si>
  <si>
    <t>Technicien Spécialisé</t>
  </si>
  <si>
    <t>RCETTES</t>
  </si>
  <si>
    <t>TOTAL (DH)</t>
  </si>
  <si>
    <t>Décembre 2016</t>
  </si>
  <si>
    <t>Novembre 2016</t>
  </si>
  <si>
    <t>Octobre 2016</t>
  </si>
  <si>
    <t>DESIGNATIONS</t>
  </si>
  <si>
    <t>Distance</t>
  </si>
  <si>
    <t>Larache - oujda</t>
  </si>
  <si>
    <t xml:space="preserve">Larache - Ksar </t>
  </si>
  <si>
    <t>Ksar - Oujda</t>
  </si>
  <si>
    <t>Distance Parcourir</t>
  </si>
  <si>
    <t>Consomation Voiture</t>
  </si>
  <si>
    <t>Designation</t>
  </si>
  <si>
    <t>Unités</t>
  </si>
  <si>
    <t>Montant</t>
  </si>
  <si>
    <t>Essence</t>
  </si>
  <si>
    <t>Filter</t>
  </si>
  <si>
    <t>Huile</t>
  </si>
  <si>
    <t>total</t>
  </si>
  <si>
    <t>Filtre</t>
  </si>
  <si>
    <t>Nourriture</t>
  </si>
  <si>
    <t>Petit Dejeuner</t>
  </si>
  <si>
    <t>Dejeuner</t>
  </si>
  <si>
    <t>Diner</t>
  </si>
  <si>
    <t>Total</t>
  </si>
  <si>
    <t>Nombre Jours</t>
  </si>
  <si>
    <t>Nombre Personnes</t>
  </si>
  <si>
    <t>Bâtiment</t>
  </si>
  <si>
    <t>Prix Par Jour</t>
  </si>
  <si>
    <t>MT</t>
  </si>
  <si>
    <t>Budget</t>
  </si>
  <si>
    <t>Pourcentage</t>
  </si>
  <si>
    <t>Date Début</t>
  </si>
  <si>
    <t>Date Fin</t>
  </si>
  <si>
    <t>Période de travail</t>
  </si>
  <si>
    <t>Nombre jour Fériés</t>
  </si>
  <si>
    <t>Nombre Jour Travailler</t>
  </si>
  <si>
    <t>Fonction</t>
  </si>
  <si>
    <t>Taux Horaire</t>
  </si>
  <si>
    <t>Total Heures Travaillées</t>
  </si>
  <si>
    <t>Salaire Net</t>
  </si>
  <si>
    <t>Salaire Brut</t>
  </si>
  <si>
    <t>M1</t>
  </si>
  <si>
    <t>M2</t>
  </si>
  <si>
    <t>M4</t>
  </si>
  <si>
    <t>M5</t>
  </si>
  <si>
    <t>M7</t>
  </si>
  <si>
    <t>Saad</t>
  </si>
  <si>
    <t>AMRO</t>
  </si>
  <si>
    <t>MADANI</t>
  </si>
  <si>
    <t>Directeur</t>
  </si>
  <si>
    <t>Secrétaire</t>
  </si>
  <si>
    <t>Comptable</t>
  </si>
  <si>
    <r>
      <t>M</t>
    </r>
    <r>
      <rPr>
        <b/>
        <vertAlign val="superscript"/>
        <sz val="11"/>
        <color rgb="FFFF0000"/>
        <rFont val="Times New Roman"/>
        <family val="1"/>
      </rPr>
      <t>le</t>
    </r>
  </si>
  <si>
    <t>Deduction</t>
  </si>
  <si>
    <t>Prime</t>
  </si>
  <si>
    <t>M6</t>
  </si>
  <si>
    <t>SAMADI</t>
  </si>
  <si>
    <t>Hiba</t>
  </si>
  <si>
    <t>Facture N°</t>
  </si>
  <si>
    <t>Date :</t>
  </si>
  <si>
    <t>Quantité Vendue</t>
  </si>
  <si>
    <t>Montant Vente</t>
  </si>
  <si>
    <t>% Remise</t>
  </si>
  <si>
    <t>Remise</t>
  </si>
  <si>
    <t>Montant à payer (H,T)</t>
  </si>
  <si>
    <t>Renault Exp,</t>
  </si>
  <si>
    <t>Renault Trafic</t>
  </si>
  <si>
    <t>Renault Kangoo</t>
  </si>
  <si>
    <t>Fiat 124</t>
  </si>
  <si>
    <t>Isuzu</t>
  </si>
  <si>
    <t>Tracteur JhonD,</t>
  </si>
  <si>
    <t>Tracteur Frag,</t>
  </si>
  <si>
    <t>Tracteur Ford</t>
  </si>
  <si>
    <t>Camion Mitsubi,</t>
  </si>
  <si>
    <t>Camion Berlier</t>
  </si>
  <si>
    <t>Camion Volvo</t>
  </si>
  <si>
    <t>Minichageuse</t>
  </si>
  <si>
    <t>Total Ventes sans remise</t>
  </si>
  <si>
    <t>TotalRemise</t>
  </si>
  <si>
    <t>Total Ventes avec remise</t>
  </si>
  <si>
    <t>TVA 20%</t>
  </si>
  <si>
    <t>NET A PAYER</t>
  </si>
  <si>
    <t>Mention</t>
  </si>
  <si>
    <t>RESULTAT</t>
  </si>
  <si>
    <t>Moyenne Module 3</t>
  </si>
  <si>
    <t>Moyenne Module 2</t>
  </si>
  <si>
    <t>Moyenne Générale</t>
  </si>
  <si>
    <t>Moyenne Module 1</t>
  </si>
  <si>
    <t>TOTAL MOYENNE</t>
  </si>
  <si>
    <t>Bases de données</t>
  </si>
  <si>
    <t>Informatique Bureautique</t>
  </si>
  <si>
    <t>Visual Basic</t>
  </si>
  <si>
    <t>Module 3</t>
  </si>
  <si>
    <t>Création d'Entreprise</t>
  </si>
  <si>
    <t>G,R,H</t>
  </si>
  <si>
    <t>Comptabilité</t>
  </si>
  <si>
    <t>Droit Des affaires</t>
  </si>
  <si>
    <t>Module 2</t>
  </si>
  <si>
    <t>Arabe</t>
  </si>
  <si>
    <t>Anglais Commerciale</t>
  </si>
  <si>
    <t>Communication</t>
  </si>
  <si>
    <t>Module 1</t>
  </si>
  <si>
    <t>Appréciation des profs</t>
  </si>
  <si>
    <t>Note* Coeff,</t>
  </si>
  <si>
    <t>Coeff,</t>
  </si>
  <si>
    <t>Note/20</t>
  </si>
  <si>
    <t>Matière</t>
  </si>
  <si>
    <t>Filière :</t>
  </si>
  <si>
    <t>Prénom :</t>
  </si>
  <si>
    <t>Etat :</t>
  </si>
  <si>
    <t>Nom :</t>
  </si>
  <si>
    <r>
      <rPr>
        <b/>
        <i/>
        <u/>
        <sz val="12"/>
        <color theme="1"/>
        <rFont val="Arial"/>
        <family val="2"/>
        <scheme val="minor"/>
      </rPr>
      <t>BULLETION DES NOTES DU 2</t>
    </r>
    <r>
      <rPr>
        <b/>
        <i/>
        <u/>
        <vertAlign val="superscript"/>
        <sz val="12"/>
        <color theme="1"/>
        <rFont val="Arial"/>
        <family val="2"/>
        <scheme val="minor"/>
      </rPr>
      <t>ième</t>
    </r>
    <r>
      <rPr>
        <b/>
        <i/>
        <u/>
        <sz val="12"/>
        <color theme="1"/>
        <rFont val="Arial"/>
        <family val="2"/>
        <scheme val="minor"/>
      </rPr>
      <t xml:space="preserve"> SEMESTRE</t>
    </r>
  </si>
  <si>
    <t>LAAGUILI</t>
  </si>
  <si>
    <t>MOHAMED</t>
  </si>
  <si>
    <r>
      <t>TSDI 1</t>
    </r>
    <r>
      <rPr>
        <b/>
        <vertAlign val="superscript"/>
        <sz val="12"/>
        <color theme="1"/>
        <rFont val="Arial"/>
        <family val="2"/>
        <scheme val="minor"/>
      </rPr>
      <t>er</t>
    </r>
    <r>
      <rPr>
        <b/>
        <sz val="12"/>
        <color theme="1"/>
        <rFont val="Arial"/>
        <family val="2"/>
        <scheme val="minor"/>
      </rPr>
      <t xml:space="preserve"> Année</t>
    </r>
  </si>
  <si>
    <t>Très Médiocre</t>
  </si>
  <si>
    <t>Médiocre</t>
  </si>
  <si>
    <t>Très Mal</t>
  </si>
  <si>
    <t>Mal</t>
  </si>
  <si>
    <t>Très Insuffisant</t>
  </si>
  <si>
    <t>Insuffisant</t>
  </si>
  <si>
    <t>Travail Moyen</t>
  </si>
  <si>
    <t>Assez Bien Travail</t>
  </si>
  <si>
    <t>Bon Travail</t>
  </si>
  <si>
    <t>Très Bien Travail</t>
  </si>
  <si>
    <t>Excellent Travail</t>
  </si>
  <si>
    <t>Observation</t>
  </si>
  <si>
    <t>Mle</t>
  </si>
  <si>
    <t>Français</t>
  </si>
  <si>
    <t>Anglais</t>
  </si>
  <si>
    <t>Moyenne Génerale</t>
  </si>
  <si>
    <t>Résultat</t>
  </si>
  <si>
    <t>M001</t>
  </si>
  <si>
    <t>M002</t>
  </si>
  <si>
    <t>M003</t>
  </si>
  <si>
    <t>FALAH</t>
  </si>
  <si>
    <t>M004</t>
  </si>
  <si>
    <t>SIDKI</t>
  </si>
  <si>
    <t>Moyenne Classe</t>
  </si>
  <si>
    <t>Note Minimale</t>
  </si>
  <si>
    <t>NoteMaximale</t>
  </si>
  <si>
    <t>Mle :</t>
  </si>
  <si>
    <r>
      <rPr>
        <b/>
        <u/>
        <sz val="14"/>
        <color theme="1"/>
        <rFont val="Times New Roman"/>
        <family val="1"/>
      </rPr>
      <t>BULLETIN DES NOTES</t>
    </r>
    <r>
      <rPr>
        <b/>
        <sz val="14"/>
        <color theme="1"/>
        <rFont val="Times New Roman"/>
        <family val="1"/>
      </rPr>
      <t xml:space="preserve"> V2</t>
    </r>
  </si>
  <si>
    <r>
      <t>BULLETIN DES NOTES</t>
    </r>
    <r>
      <rPr>
        <b/>
        <sz val="14"/>
        <color theme="1"/>
        <rFont val="Times New Roman"/>
        <family val="1"/>
      </rPr>
      <t xml:space="preserve"> V1</t>
    </r>
  </si>
  <si>
    <r>
      <t>BULLETIN DES NOTES</t>
    </r>
    <r>
      <rPr>
        <b/>
        <sz val="14"/>
        <color theme="1"/>
        <rFont val="Times New Roman"/>
        <family val="1"/>
      </rPr>
      <t xml:space="preserve"> V3</t>
    </r>
  </si>
  <si>
    <t>V1</t>
  </si>
  <si>
    <t>V2</t>
  </si>
  <si>
    <t>Pas de Mention</t>
  </si>
  <si>
    <t>Passable</t>
  </si>
  <si>
    <t>Bien</t>
  </si>
  <si>
    <t>Excellent</t>
  </si>
  <si>
    <t>Etat</t>
  </si>
  <si>
    <t>Nouveau</t>
  </si>
  <si>
    <t>Redoublant</t>
  </si>
  <si>
    <t>Septembre</t>
  </si>
  <si>
    <t>Décembre</t>
  </si>
  <si>
    <t>Octobre</t>
  </si>
  <si>
    <t>TOTAL (U)</t>
  </si>
  <si>
    <t>Pourcentage (%)</t>
  </si>
  <si>
    <t>Ecran</t>
  </si>
  <si>
    <t>Valeur Minimale</t>
  </si>
  <si>
    <t>Société MAROC-INFOTEC - Répartition des ventes en Quantité (U)</t>
  </si>
  <si>
    <t>Durant les 4 derniers Mois de l'année</t>
  </si>
  <si>
    <t>Valeur Maximale</t>
  </si>
  <si>
    <t>Novembre</t>
  </si>
  <si>
    <t>EP1</t>
  </si>
  <si>
    <t>EP2</t>
  </si>
  <si>
    <t>EP3</t>
  </si>
  <si>
    <t>EP4</t>
  </si>
  <si>
    <t>EP5</t>
  </si>
  <si>
    <t>EP6</t>
  </si>
  <si>
    <t>EP7</t>
  </si>
  <si>
    <t>EP8</t>
  </si>
  <si>
    <t>EMPLOIYES</t>
  </si>
  <si>
    <t>Heures travaillées</t>
  </si>
  <si>
    <t>Tarif</t>
  </si>
  <si>
    <t>%prime</t>
  </si>
  <si>
    <t>prime</t>
  </si>
  <si>
    <t>Net à Payer</t>
  </si>
  <si>
    <t>Suivi Des Paiements Des Employes</t>
  </si>
  <si>
    <t>DOUMI</t>
  </si>
  <si>
    <t>RAFIK</t>
  </si>
  <si>
    <t>IDDO</t>
  </si>
  <si>
    <t>ZAKI</t>
  </si>
  <si>
    <t>BIKR</t>
  </si>
  <si>
    <t>SABRI</t>
  </si>
  <si>
    <t>Sayf</t>
  </si>
  <si>
    <t>Said</t>
  </si>
  <si>
    <t>Hicham</t>
  </si>
  <si>
    <t>Fatiha</t>
  </si>
  <si>
    <t>RESUME</t>
  </si>
  <si>
    <t>Total Salaire Brut</t>
  </si>
  <si>
    <t>Total Prime</t>
  </si>
  <si>
    <t>Total Net à Payer</t>
  </si>
  <si>
    <t>Montant Total</t>
  </si>
  <si>
    <t>Montant Ventes</t>
  </si>
  <si>
    <t>Montant Achats</t>
  </si>
  <si>
    <t>Adresse</t>
  </si>
  <si>
    <t>Ancien Index</t>
  </si>
  <si>
    <t>Nouvel Index</t>
  </si>
  <si>
    <t>% Consom.</t>
  </si>
  <si>
    <t>CL1</t>
  </si>
  <si>
    <t>CL2</t>
  </si>
  <si>
    <t>CL3</t>
  </si>
  <si>
    <t>CL4</t>
  </si>
  <si>
    <t>FATHI</t>
  </si>
  <si>
    <t>Achraf</t>
  </si>
  <si>
    <t>Mrina</t>
  </si>
  <si>
    <t>Andalous</t>
  </si>
  <si>
    <t>Skrinia</t>
  </si>
  <si>
    <t>Arbaoua</t>
  </si>
  <si>
    <t>Abonnée</t>
  </si>
  <si>
    <t>Quittance Eau Mois Avril</t>
  </si>
  <si>
    <t>PU (DH) Tranche 1</t>
  </si>
  <si>
    <t>PU (DH) Tranche 2</t>
  </si>
  <si>
    <t>Montant Tranche 2</t>
  </si>
  <si>
    <t>Montant Consommation (Dh)</t>
  </si>
  <si>
    <t>TVA 15%</t>
  </si>
  <si>
    <t>Montant à Payer (DH)</t>
  </si>
  <si>
    <r>
      <t>Tranche 1 en M</t>
    </r>
    <r>
      <rPr>
        <b/>
        <vertAlign val="superscript"/>
        <sz val="11"/>
        <color theme="1"/>
        <rFont val="Arial"/>
        <family val="2"/>
        <scheme val="minor"/>
      </rPr>
      <t>3</t>
    </r>
  </si>
  <si>
    <r>
      <t>Tranche 2 en M</t>
    </r>
    <r>
      <rPr>
        <b/>
        <vertAlign val="superscript"/>
        <sz val="11"/>
        <color theme="1"/>
        <rFont val="Arial"/>
        <family val="2"/>
        <scheme val="minor"/>
      </rPr>
      <t>3</t>
    </r>
  </si>
  <si>
    <r>
      <t>Consommation en M</t>
    </r>
    <r>
      <rPr>
        <b/>
        <vertAlign val="superscript"/>
        <sz val="11"/>
        <color theme="1"/>
        <rFont val="Arial"/>
        <family val="2"/>
        <scheme val="minor"/>
      </rPr>
      <t>3</t>
    </r>
  </si>
  <si>
    <t>Montant Trache 1</t>
  </si>
  <si>
    <t>Fx  Recherche V</t>
  </si>
  <si>
    <t>Donnés --- Validation des Données---Liste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</si>
</sst>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\ &quot;MADH&quot;"/>
    <numFmt numFmtId="167" formatCode="0.000"/>
  </numFmts>
  <fonts count="3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sz val="11"/>
      <color theme="1"/>
      <name val="Baskerville Old Face"/>
      <family val="1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0"/>
      <color theme="1"/>
      <name val="Bodoni MT"/>
      <family val="1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vertAlign val="superscript"/>
      <sz val="10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1"/>
      <color rgb="FFFF0000"/>
      <name val="Times New Roman"/>
      <family val="1"/>
      <scheme val="major"/>
    </font>
    <font>
      <b/>
      <sz val="11"/>
      <color theme="0"/>
      <name val="Times New Roman"/>
      <family val="1"/>
      <scheme val="major"/>
    </font>
    <font>
      <b/>
      <sz val="16"/>
      <color rgb="FFFF0000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vertAlign val="superscript"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i/>
      <sz val="12"/>
      <color theme="1"/>
      <name val="Arial"/>
      <family val="2"/>
      <scheme val="minor"/>
    </font>
    <font>
      <b/>
      <i/>
      <u/>
      <sz val="12"/>
      <color theme="1"/>
      <name val="Arial"/>
      <family val="2"/>
      <scheme val="minor"/>
    </font>
    <font>
      <b/>
      <i/>
      <u/>
      <vertAlign val="superscript"/>
      <sz val="12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vertAlign val="superscript"/>
      <sz val="12"/>
      <color theme="1"/>
      <name val="Arial"/>
      <family val="2"/>
      <scheme val="minor"/>
    </font>
    <font>
      <b/>
      <u/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u/>
      <sz val="14"/>
      <color theme="1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6"/>
      <color theme="1"/>
      <name val="Times New Roman"/>
      <family val="1"/>
    </font>
    <font>
      <b/>
      <vertAlign val="superscript"/>
      <sz val="11"/>
      <color theme="1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85">
    <xf numFmtId="0" fontId="0" fillId="0" borderId="0" xfId="0"/>
    <xf numFmtId="0" fontId="1" fillId="0" borderId="0" xfId="0" applyFont="1"/>
    <xf numFmtId="0" fontId="5" fillId="2" borderId="7" xfId="0" applyFont="1" applyFill="1" applyBorder="1"/>
    <xf numFmtId="0" fontId="5" fillId="2" borderId="8" xfId="0" applyFont="1" applyFill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2" borderId="19" xfId="0" applyFont="1" applyFill="1" applyBorder="1"/>
    <xf numFmtId="0" fontId="7" fillId="4" borderId="9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0" borderId="28" xfId="0" applyBorder="1"/>
    <xf numFmtId="0" fontId="0" fillId="0" borderId="31" xfId="0" applyBorder="1"/>
    <xf numFmtId="0" fontId="0" fillId="0" borderId="34" xfId="0" applyBorder="1"/>
    <xf numFmtId="0" fontId="1" fillId="7" borderId="27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8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1" fillId="6" borderId="35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10" fontId="0" fillId="0" borderId="31" xfId="0" applyNumberFormat="1" applyBorder="1"/>
    <xf numFmtId="0" fontId="1" fillId="9" borderId="27" xfId="0" applyFont="1" applyFill="1" applyBorder="1"/>
    <xf numFmtId="0" fontId="1" fillId="9" borderId="28" xfId="0" applyFont="1" applyFill="1" applyBorder="1"/>
    <xf numFmtId="10" fontId="1" fillId="9" borderId="29" xfId="1" applyNumberFormat="1" applyFont="1" applyFill="1" applyBorder="1"/>
    <xf numFmtId="0" fontId="1" fillId="9" borderId="30" xfId="0" applyFont="1" applyFill="1" applyBorder="1"/>
    <xf numFmtId="0" fontId="1" fillId="9" borderId="31" xfId="0" applyFont="1" applyFill="1" applyBorder="1"/>
    <xf numFmtId="0" fontId="1" fillId="9" borderId="34" xfId="0" applyFont="1" applyFill="1" applyBorder="1"/>
    <xf numFmtId="10" fontId="1" fillId="9" borderId="32" xfId="1" applyNumberFormat="1" applyFont="1" applyFill="1" applyBorder="1"/>
    <xf numFmtId="0" fontId="1" fillId="9" borderId="33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11" fillId="0" borderId="41" xfId="0" applyFont="1" applyBorder="1"/>
    <xf numFmtId="0" fontId="11" fillId="0" borderId="25" xfId="0" applyFont="1" applyBorder="1"/>
    <xf numFmtId="0" fontId="11" fillId="0" borderId="25" xfId="0" applyFont="1" applyBorder="1" applyAlignment="1">
      <alignment horizontal="center" vertical="center"/>
    </xf>
    <xf numFmtId="14" fontId="11" fillId="0" borderId="25" xfId="0" applyNumberFormat="1" applyFont="1" applyBorder="1" applyAlignment="1">
      <alignment horizontal="center" vertical="center"/>
    </xf>
    <xf numFmtId="0" fontId="11" fillId="0" borderId="3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11" fillId="0" borderId="26" xfId="0" applyFont="1" applyBorder="1"/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14" fontId="11" fillId="0" borderId="1" xfId="0" applyNumberFormat="1" applyFont="1" applyBorder="1"/>
    <xf numFmtId="14" fontId="11" fillId="0" borderId="25" xfId="0" applyNumberFormat="1" applyFont="1" applyBorder="1"/>
    <xf numFmtId="0" fontId="12" fillId="2" borderId="42" xfId="0" applyFont="1" applyFill="1" applyBorder="1" applyAlignment="1"/>
    <xf numFmtId="0" fontId="12" fillId="10" borderId="42" xfId="0" applyFont="1" applyFill="1" applyBorder="1" applyAlignment="1"/>
    <xf numFmtId="0" fontId="12" fillId="0" borderId="42" xfId="0" applyFont="1" applyBorder="1" applyAlignment="1"/>
    <xf numFmtId="0" fontId="12" fillId="8" borderId="42" xfId="0" applyFont="1" applyFill="1" applyBorder="1" applyAlignment="1">
      <alignment horizontal="left"/>
    </xf>
    <xf numFmtId="0" fontId="9" fillId="0" borderId="0" xfId="0" applyFont="1" applyAlignment="1"/>
    <xf numFmtId="0" fontId="9" fillId="9" borderId="0" xfId="0" applyFont="1" applyFill="1" applyAlignment="1"/>
    <xf numFmtId="0" fontId="13" fillId="2" borderId="42" xfId="0" applyFont="1" applyFill="1" applyBorder="1" applyAlignment="1"/>
    <xf numFmtId="0" fontId="12" fillId="8" borderId="42" xfId="0" applyFont="1" applyFill="1" applyBorder="1" applyAlignment="1"/>
    <xf numFmtId="17" fontId="12" fillId="8" borderId="42" xfId="0" quotePrefix="1" applyNumberFormat="1" applyFont="1" applyFill="1" applyBorder="1" applyAlignment="1"/>
    <xf numFmtId="0" fontId="14" fillId="5" borderId="42" xfId="0" applyFont="1" applyFill="1" applyBorder="1" applyAlignment="1">
      <alignment horizontal="center"/>
    </xf>
    <xf numFmtId="0" fontId="0" fillId="0" borderId="31" xfId="0" applyBorder="1" applyAlignment="1"/>
    <xf numFmtId="9" fontId="0" fillId="0" borderId="31" xfId="0" applyNumberFormat="1" applyBorder="1"/>
    <xf numFmtId="10" fontId="0" fillId="0" borderId="31" xfId="1" applyNumberFormat="1" applyFont="1" applyBorder="1"/>
    <xf numFmtId="0" fontId="15" fillId="2" borderId="31" xfId="0" applyFont="1" applyFill="1" applyBorder="1"/>
    <xf numFmtId="0" fontId="1" fillId="0" borderId="31" xfId="0" applyFont="1" applyBorder="1"/>
    <xf numFmtId="0" fontId="17" fillId="0" borderId="0" xfId="0" applyFont="1"/>
    <xf numFmtId="0" fontId="17" fillId="0" borderId="37" xfId="0" applyFont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14" fontId="1" fillId="0" borderId="29" xfId="0" applyNumberFormat="1" applyFont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22" fillId="2" borderId="46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8" fillId="2" borderId="3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18" fillId="2" borderId="54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165" fontId="17" fillId="0" borderId="53" xfId="2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 wrapText="1"/>
      <protection hidden="1"/>
    </xf>
    <xf numFmtId="166" fontId="0" fillId="0" borderId="31" xfId="0" applyNumberFormat="1" applyBorder="1" applyProtection="1">
      <protection hidden="1"/>
    </xf>
    <xf numFmtId="0" fontId="9" fillId="12" borderId="31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0" fontId="0" fillId="15" borderId="31" xfId="0" applyFill="1" applyBorder="1" applyAlignment="1" applyProtection="1">
      <alignment horizontal="center" vertical="center"/>
      <protection locked="0"/>
    </xf>
    <xf numFmtId="0" fontId="0" fillId="14" borderId="31" xfId="0" applyFill="1" applyBorder="1" applyProtection="1">
      <protection locked="0"/>
    </xf>
    <xf numFmtId="0" fontId="9" fillId="11" borderId="31" xfId="0" applyFont="1" applyFill="1" applyBorder="1" applyProtection="1">
      <protection locked="0"/>
    </xf>
    <xf numFmtId="0" fontId="0" fillId="0" borderId="31" xfId="0" applyBorder="1" applyProtection="1">
      <protection locked="0" hidden="1"/>
    </xf>
    <xf numFmtId="0" fontId="1" fillId="0" borderId="31" xfId="0" applyFont="1" applyBorder="1" applyAlignment="1">
      <alignment horizontal="center" vertical="center"/>
    </xf>
    <xf numFmtId="0" fontId="1" fillId="16" borderId="31" xfId="0" applyFont="1" applyFill="1" applyBorder="1" applyAlignment="1">
      <alignment horizontal="center" vertical="center" wrapText="1"/>
    </xf>
    <xf numFmtId="0" fontId="1" fillId="16" borderId="31" xfId="0" applyFont="1" applyFill="1" applyBorder="1" applyAlignment="1">
      <alignment horizontal="center" vertical="center"/>
    </xf>
    <xf numFmtId="0" fontId="23" fillId="0" borderId="0" xfId="0" applyFont="1" applyAlignment="1"/>
    <xf numFmtId="2" fontId="1" fillId="15" borderId="31" xfId="0" applyNumberFormat="1" applyFont="1" applyFill="1" applyBorder="1" applyAlignment="1">
      <alignment horizontal="center" vertical="center" wrapText="1"/>
    </xf>
    <xf numFmtId="0" fontId="26" fillId="2" borderId="31" xfId="0" applyFont="1" applyFill="1" applyBorder="1" applyAlignment="1">
      <alignment horizontal="center" vertical="center" shrinkToFit="1"/>
    </xf>
    <xf numFmtId="0" fontId="27" fillId="12" borderId="31" xfId="0" applyFont="1" applyFill="1" applyBorder="1" applyAlignment="1">
      <alignment horizontal="center" vertical="center" shrinkToFit="1"/>
    </xf>
    <xf numFmtId="0" fontId="27" fillId="11" borderId="31" xfId="0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17" fillId="10" borderId="0" xfId="0" applyFont="1" applyFill="1"/>
    <xf numFmtId="0" fontId="16" fillId="10" borderId="0" xfId="0" applyFont="1" applyFill="1"/>
    <xf numFmtId="0" fontId="16" fillId="18" borderId="31" xfId="0" applyFont="1" applyFill="1" applyBorder="1"/>
    <xf numFmtId="0" fontId="16" fillId="10" borderId="31" xfId="0" applyFont="1" applyFill="1" applyBorder="1" applyAlignment="1">
      <alignment horizontal="center"/>
    </xf>
    <xf numFmtId="2" fontId="16" fillId="10" borderId="31" xfId="0" applyNumberFormat="1" applyFont="1" applyFill="1" applyBorder="1" applyAlignment="1">
      <alignment horizontal="center"/>
    </xf>
    <xf numFmtId="0" fontId="16" fillId="0" borderId="67" xfId="0" applyFont="1" applyBorder="1" applyAlignment="1">
      <alignment vertical="center" textRotation="45" wrapText="1"/>
    </xf>
    <xf numFmtId="0" fontId="16" fillId="0" borderId="68" xfId="0" applyFont="1" applyBorder="1" applyAlignment="1">
      <alignment vertical="center" textRotation="45" wrapText="1"/>
    </xf>
    <xf numFmtId="0" fontId="0" fillId="10" borderId="0" xfId="0" applyFill="1"/>
    <xf numFmtId="0" fontId="1" fillId="10" borderId="3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10" fontId="4" fillId="0" borderId="31" xfId="1" applyNumberFormat="1" applyFont="1" applyBorder="1" applyAlignment="1">
      <alignment horizontal="center" vertical="center" wrapText="1"/>
    </xf>
    <xf numFmtId="0" fontId="34" fillId="2" borderId="3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31" xfId="0" applyFont="1" applyBorder="1" applyAlignment="1">
      <alignment horizontal="center"/>
    </xf>
    <xf numFmtId="0" fontId="31" fillId="0" borderId="31" xfId="0" applyFont="1" applyBorder="1" applyAlignment="1">
      <alignment horizontal="left"/>
    </xf>
    <xf numFmtId="0" fontId="31" fillId="0" borderId="28" xfId="0" applyFont="1" applyBorder="1" applyAlignment="1">
      <alignment horizontal="left"/>
    </xf>
    <xf numFmtId="0" fontId="31" fillId="0" borderId="28" xfId="0" applyFont="1" applyBorder="1" applyAlignment="1">
      <alignment horizontal="center"/>
    </xf>
    <xf numFmtId="0" fontId="31" fillId="0" borderId="34" xfId="0" applyFont="1" applyBorder="1" applyAlignment="1">
      <alignment horizontal="left"/>
    </xf>
    <xf numFmtId="0" fontId="31" fillId="0" borderId="34" xfId="0" applyFont="1" applyBorder="1" applyAlignment="1">
      <alignment horizontal="center"/>
    </xf>
    <xf numFmtId="0" fontId="31" fillId="0" borderId="28" xfId="0" applyFont="1" applyBorder="1"/>
    <xf numFmtId="0" fontId="35" fillId="0" borderId="31" xfId="0" applyFont="1" applyBorder="1" applyAlignment="1">
      <alignment horizontal="center" vertical="center" wrapText="1"/>
    </xf>
    <xf numFmtId="0" fontId="31" fillId="18" borderId="27" xfId="0" applyFont="1" applyFill="1" applyBorder="1" applyAlignment="1">
      <alignment horizontal="center"/>
    </xf>
    <xf numFmtId="0" fontId="31" fillId="18" borderId="30" xfId="0" applyFont="1" applyFill="1" applyBorder="1" applyAlignment="1">
      <alignment horizontal="center"/>
    </xf>
    <xf numFmtId="0" fontId="31" fillId="18" borderId="33" xfId="0" applyFont="1" applyFill="1" applyBorder="1" applyAlignment="1">
      <alignment horizontal="center"/>
    </xf>
    <xf numFmtId="0" fontId="31" fillId="2" borderId="37" xfId="0" applyFont="1" applyFill="1" applyBorder="1" applyAlignment="1">
      <alignment horizontal="center" vertical="center" wrapText="1"/>
    </xf>
    <xf numFmtId="0" fontId="31" fillId="2" borderId="35" xfId="0" applyFont="1" applyFill="1" applyBorder="1" applyAlignment="1">
      <alignment horizontal="center" vertical="center" wrapText="1"/>
    </xf>
    <xf numFmtId="0" fontId="31" fillId="2" borderId="36" xfId="0" applyFont="1" applyFill="1" applyBorder="1" applyAlignment="1">
      <alignment horizontal="center" vertical="center" wrapText="1"/>
    </xf>
    <xf numFmtId="0" fontId="31" fillId="0" borderId="27" xfId="0" applyNumberFormat="1" applyFont="1" applyBorder="1"/>
    <xf numFmtId="2" fontId="31" fillId="0" borderId="29" xfId="0" applyNumberFormat="1" applyFont="1" applyBorder="1" applyAlignment="1">
      <alignment horizontal="right"/>
    </xf>
    <xf numFmtId="2" fontId="31" fillId="0" borderId="32" xfId="0" applyNumberFormat="1" applyFont="1" applyBorder="1" applyAlignment="1">
      <alignment horizontal="right"/>
    </xf>
    <xf numFmtId="2" fontId="31" fillId="0" borderId="50" xfId="0" applyNumberFormat="1" applyFont="1" applyBorder="1" applyAlignment="1">
      <alignment horizontal="right"/>
    </xf>
    <xf numFmtId="0" fontId="35" fillId="15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/>
    <xf numFmtId="0" fontId="1" fillId="0" borderId="2" xfId="0" applyFont="1" applyBorder="1" applyAlignment="1"/>
    <xf numFmtId="0" fontId="1" fillId="0" borderId="17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24" xfId="0" applyFont="1" applyBorder="1" applyAlignment="1">
      <alignment horizontal="center"/>
    </xf>
    <xf numFmtId="14" fontId="11" fillId="8" borderId="24" xfId="0" applyNumberFormat="1" applyFont="1" applyFill="1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 shrinkToFit="1"/>
    </xf>
    <xf numFmtId="0" fontId="0" fillId="0" borderId="44" xfId="0" applyBorder="1" applyAlignment="1">
      <alignment horizontal="center" vertical="center" wrapText="1" shrinkToFit="1"/>
    </xf>
    <xf numFmtId="0" fontId="0" fillId="0" borderId="45" xfId="0" applyBorder="1" applyAlignment="1">
      <alignment horizontal="center" vertical="center" wrapText="1" shrinkToFit="1"/>
    </xf>
    <xf numFmtId="0" fontId="21" fillId="2" borderId="27" xfId="0" applyFont="1" applyFill="1" applyBorder="1" applyAlignment="1">
      <alignment horizontal="left" vertical="center" wrapText="1"/>
    </xf>
    <xf numFmtId="0" fontId="21" fillId="2" borderId="28" xfId="0" applyFont="1" applyFill="1" applyBorder="1" applyAlignment="1">
      <alignment horizontal="left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2" borderId="34" xfId="0" applyFont="1" applyFill="1" applyBorder="1" applyAlignment="1">
      <alignment horizontal="left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hidden="1"/>
    </xf>
    <xf numFmtId="0" fontId="1" fillId="15" borderId="43" xfId="0" applyFont="1" applyFill="1" applyBorder="1" applyAlignment="1" applyProtection="1">
      <alignment horizontal="left" vertical="center" wrapText="1"/>
      <protection hidden="1"/>
    </xf>
    <xf numFmtId="0" fontId="1" fillId="15" borderId="44" xfId="0" applyFont="1" applyFill="1" applyBorder="1" applyAlignment="1" applyProtection="1">
      <alignment horizontal="left" vertical="center" wrapText="1"/>
      <protection hidden="1"/>
    </xf>
    <xf numFmtId="0" fontId="1" fillId="15" borderId="45" xfId="0" applyFont="1" applyFill="1" applyBorder="1" applyAlignment="1" applyProtection="1">
      <alignment horizontal="left" vertical="center" wrapText="1"/>
      <protection hidden="1"/>
    </xf>
    <xf numFmtId="0" fontId="1" fillId="14" borderId="43" xfId="0" applyFont="1" applyFill="1" applyBorder="1" applyAlignment="1" applyProtection="1">
      <alignment horizontal="left" vertical="center" wrapText="1"/>
      <protection hidden="1"/>
    </xf>
    <xf numFmtId="0" fontId="1" fillId="14" borderId="44" xfId="0" applyFont="1" applyFill="1" applyBorder="1" applyAlignment="1" applyProtection="1">
      <alignment horizontal="left" vertical="center" wrapText="1"/>
      <protection hidden="1"/>
    </xf>
    <xf numFmtId="0" fontId="1" fillId="14" borderId="45" xfId="0" applyFont="1" applyFill="1" applyBorder="1" applyAlignment="1" applyProtection="1">
      <alignment horizontal="left" vertical="center" wrapText="1"/>
      <protection hidden="1"/>
    </xf>
    <xf numFmtId="0" fontId="1" fillId="2" borderId="43" xfId="0" applyFont="1" applyFill="1" applyBorder="1" applyAlignment="1" applyProtection="1">
      <alignment horizontal="left" vertical="center" wrapText="1"/>
      <protection hidden="1"/>
    </xf>
    <xf numFmtId="0" fontId="1" fillId="2" borderId="44" xfId="0" applyFont="1" applyFill="1" applyBorder="1" applyAlignment="1" applyProtection="1">
      <alignment horizontal="left" vertical="center" wrapText="1"/>
      <protection hidden="1"/>
    </xf>
    <xf numFmtId="0" fontId="1" fillId="2" borderId="45" xfId="0" applyFont="1" applyFill="1" applyBorder="1" applyAlignment="1" applyProtection="1">
      <alignment horizontal="left" vertical="center" wrapText="1"/>
      <protection hidden="1"/>
    </xf>
    <xf numFmtId="0" fontId="9" fillId="13" borderId="43" xfId="0" applyFont="1" applyFill="1" applyBorder="1" applyAlignment="1" applyProtection="1">
      <alignment horizontal="left" vertical="center" wrapText="1"/>
      <protection hidden="1"/>
    </xf>
    <xf numFmtId="0" fontId="9" fillId="13" borderId="44" xfId="0" applyFont="1" applyFill="1" applyBorder="1" applyAlignment="1" applyProtection="1">
      <alignment horizontal="left" vertical="center" wrapText="1"/>
      <protection hidden="1"/>
    </xf>
    <xf numFmtId="0" fontId="9" fillId="13" borderId="45" xfId="0" applyFont="1" applyFill="1" applyBorder="1" applyAlignment="1" applyProtection="1">
      <alignment horizontal="left" vertical="center" wrapText="1"/>
      <protection hidden="1"/>
    </xf>
    <xf numFmtId="0" fontId="1" fillId="12" borderId="43" xfId="0" applyFont="1" applyFill="1" applyBorder="1" applyAlignment="1" applyProtection="1">
      <alignment horizontal="left" vertical="center" wrapText="1"/>
      <protection hidden="1"/>
    </xf>
    <xf numFmtId="0" fontId="1" fillId="12" borderId="44" xfId="0" applyFont="1" applyFill="1" applyBorder="1" applyAlignment="1" applyProtection="1">
      <alignment horizontal="left" vertical="center" wrapText="1"/>
      <protection hidden="1"/>
    </xf>
    <xf numFmtId="0" fontId="1" fillId="12" borderId="45" xfId="0" applyFont="1" applyFill="1" applyBorder="1" applyAlignment="1" applyProtection="1">
      <alignment horizontal="left" vertical="center" wrapText="1"/>
      <protection hidden="1"/>
    </xf>
    <xf numFmtId="0" fontId="1" fillId="0" borderId="57" xfId="0" applyFont="1" applyBorder="1" applyAlignment="1" applyProtection="1">
      <alignment horizontal="center"/>
      <protection hidden="1"/>
    </xf>
    <xf numFmtId="0" fontId="26" fillId="17" borderId="43" xfId="0" applyFont="1" applyFill="1" applyBorder="1" applyAlignment="1">
      <alignment horizontal="center"/>
    </xf>
    <xf numFmtId="0" fontId="26" fillId="17" borderId="45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4" fillId="0" borderId="31" xfId="0" applyFont="1" applyBorder="1" applyAlignment="1">
      <alignment horizontal="center"/>
    </xf>
    <xf numFmtId="0" fontId="26" fillId="2" borderId="43" xfId="0" applyFont="1" applyFill="1" applyBorder="1" applyAlignment="1">
      <alignment horizontal="left"/>
    </xf>
    <xf numFmtId="0" fontId="26" fillId="2" borderId="44" xfId="0" applyFont="1" applyFill="1" applyBorder="1" applyAlignment="1">
      <alignment horizontal="left"/>
    </xf>
    <xf numFmtId="0" fontId="26" fillId="2" borderId="45" xfId="0" applyFont="1" applyFill="1" applyBorder="1" applyAlignment="1">
      <alignment horizontal="left"/>
    </xf>
    <xf numFmtId="0" fontId="27" fillId="12" borderId="43" xfId="0" applyFont="1" applyFill="1" applyBorder="1" applyAlignment="1">
      <alignment horizontal="left"/>
    </xf>
    <xf numFmtId="0" fontId="27" fillId="12" borderId="44" xfId="0" applyFont="1" applyFill="1" applyBorder="1" applyAlignment="1">
      <alignment horizontal="left"/>
    </xf>
    <xf numFmtId="0" fontId="27" fillId="12" borderId="45" xfId="0" applyFont="1" applyFill="1" applyBorder="1" applyAlignment="1">
      <alignment horizontal="left"/>
    </xf>
    <xf numFmtId="0" fontId="1" fillId="16" borderId="31" xfId="0" applyFont="1" applyFill="1" applyBorder="1" applyAlignment="1">
      <alignment horizontal="center"/>
    </xf>
    <xf numFmtId="0" fontId="1" fillId="14" borderId="31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11" fillId="16" borderId="45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16" borderId="31" xfId="0" applyFont="1" applyFill="1" applyBorder="1" applyAlignment="1">
      <alignment horizontal="center" vertical="center" wrapText="1"/>
    </xf>
    <xf numFmtId="0" fontId="1" fillId="16" borderId="31" xfId="0" applyFont="1" applyFill="1" applyBorder="1" applyAlignment="1">
      <alignment horizontal="center" vertical="center"/>
    </xf>
    <xf numFmtId="0" fontId="11" fillId="16" borderId="31" xfId="0" applyFont="1" applyFill="1" applyBorder="1" applyAlignment="1">
      <alignment horizontal="left" wrapText="1"/>
    </xf>
    <xf numFmtId="0" fontId="11" fillId="16" borderId="31" xfId="0" applyFont="1" applyFill="1" applyBorder="1" applyAlignment="1">
      <alignment horizontal="left"/>
    </xf>
    <xf numFmtId="2" fontId="1" fillId="15" borderId="31" xfId="0" applyNumberFormat="1" applyFont="1" applyFill="1" applyBorder="1" applyAlignment="1">
      <alignment horizontal="center" vertical="center" wrapText="1"/>
    </xf>
    <xf numFmtId="0" fontId="1" fillId="15" borderId="31" xfId="0" applyFont="1" applyFill="1" applyBorder="1" applyAlignment="1">
      <alignment horizontal="center" vertical="center" wrapText="1"/>
    </xf>
    <xf numFmtId="0" fontId="1" fillId="16" borderId="43" xfId="0" applyFont="1" applyFill="1" applyBorder="1" applyAlignment="1">
      <alignment horizontal="center" vertical="center" wrapText="1"/>
    </xf>
    <xf numFmtId="0" fontId="1" fillId="16" borderId="44" xfId="0" applyFont="1" applyFill="1" applyBorder="1" applyAlignment="1">
      <alignment horizontal="center" vertical="center" wrapText="1"/>
    </xf>
    <xf numFmtId="0" fontId="1" fillId="16" borderId="45" xfId="0" applyFont="1" applyFill="1" applyBorder="1" applyAlignment="1">
      <alignment horizontal="center" vertical="center" wrapText="1"/>
    </xf>
    <xf numFmtId="0" fontId="1" fillId="16" borderId="62" xfId="0" applyFont="1" applyFill="1" applyBorder="1" applyAlignment="1">
      <alignment horizontal="center" vertical="center" wrapText="1"/>
    </xf>
    <xf numFmtId="0" fontId="1" fillId="16" borderId="61" xfId="0" applyFont="1" applyFill="1" applyBorder="1" applyAlignment="1">
      <alignment horizontal="center" vertical="center" wrapText="1"/>
    </xf>
    <xf numFmtId="0" fontId="1" fillId="16" borderId="60" xfId="0" applyFont="1" applyFill="1" applyBorder="1" applyAlignment="1">
      <alignment horizontal="center" vertical="center" wrapText="1"/>
    </xf>
    <xf numFmtId="0" fontId="1" fillId="16" borderId="59" xfId="0" applyFont="1" applyFill="1" applyBorder="1" applyAlignment="1">
      <alignment horizontal="center" vertical="center" wrapText="1"/>
    </xf>
    <xf numFmtId="0" fontId="1" fillId="16" borderId="55" xfId="0" applyFont="1" applyFill="1" applyBorder="1" applyAlignment="1">
      <alignment horizontal="center" vertical="center" wrapText="1"/>
    </xf>
    <xf numFmtId="0" fontId="1" fillId="16" borderId="58" xfId="0" applyFont="1" applyFill="1" applyBorder="1" applyAlignment="1">
      <alignment horizontal="center" vertical="center" wrapText="1"/>
    </xf>
    <xf numFmtId="0" fontId="1" fillId="16" borderId="31" xfId="0" applyFont="1" applyFill="1" applyBorder="1" applyAlignment="1">
      <alignment horizontal="center" vertical="center" textRotation="45"/>
    </xf>
    <xf numFmtId="0" fontId="27" fillId="11" borderId="43" xfId="0" applyFont="1" applyFill="1" applyBorder="1" applyAlignment="1">
      <alignment horizontal="left"/>
    </xf>
    <xf numFmtId="0" fontId="27" fillId="11" borderId="44" xfId="0" applyFont="1" applyFill="1" applyBorder="1" applyAlignment="1">
      <alignment horizontal="left"/>
    </xf>
    <xf numFmtId="0" fontId="27" fillId="11" borderId="45" xfId="0" applyFont="1" applyFill="1" applyBorder="1" applyAlignment="1">
      <alignment horizontal="left"/>
    </xf>
    <xf numFmtId="0" fontId="1" fillId="16" borderId="43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45" xfId="0" applyFont="1" applyFill="1" applyBorder="1" applyAlignment="1">
      <alignment horizontal="center"/>
    </xf>
    <xf numFmtId="0" fontId="1" fillId="14" borderId="43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45" xfId="0" applyFont="1" applyFill="1" applyBorder="1" applyAlignment="1">
      <alignment horizontal="center"/>
    </xf>
    <xf numFmtId="167" fontId="1" fillId="15" borderId="47" xfId="0" applyNumberFormat="1" applyFont="1" applyFill="1" applyBorder="1" applyAlignment="1">
      <alignment horizontal="center" vertical="center" wrapText="1"/>
    </xf>
    <xf numFmtId="167" fontId="1" fillId="15" borderId="63" xfId="0" applyNumberFormat="1" applyFont="1" applyFill="1" applyBorder="1" applyAlignment="1">
      <alignment horizontal="center" vertical="center" wrapText="1"/>
    </xf>
    <xf numFmtId="167" fontId="1" fillId="15" borderId="52" xfId="0" applyNumberFormat="1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16" fillId="12" borderId="64" xfId="0" applyFont="1" applyFill="1" applyBorder="1" applyAlignment="1">
      <alignment horizontal="left" vertical="center" wrapText="1"/>
    </xf>
    <xf numFmtId="0" fontId="16" fillId="12" borderId="65" xfId="0" applyFont="1" applyFill="1" applyBorder="1" applyAlignment="1">
      <alignment horizontal="left" vertical="center" wrapText="1"/>
    </xf>
    <xf numFmtId="0" fontId="16" fillId="12" borderId="66" xfId="0" applyFont="1" applyFill="1" applyBorder="1" applyAlignment="1">
      <alignment horizontal="left" vertical="center" wrapText="1"/>
    </xf>
    <xf numFmtId="0" fontId="30" fillId="0" borderId="69" xfId="0" applyFont="1" applyBorder="1" applyAlignment="1">
      <alignment horizontal="center"/>
    </xf>
    <xf numFmtId="0" fontId="32" fillId="0" borderId="69" xfId="0" applyFont="1" applyBorder="1" applyAlignment="1">
      <alignment horizontal="center"/>
    </xf>
    <xf numFmtId="0" fontId="30" fillId="10" borderId="0" xfId="0" applyFont="1" applyFill="1" applyAlignment="1">
      <alignment horizontal="center"/>
    </xf>
    <xf numFmtId="0" fontId="29" fillId="10" borderId="0" xfId="0" applyFont="1" applyFill="1" applyAlignment="1">
      <alignment horizontal="center"/>
    </xf>
    <xf numFmtId="0" fontId="33" fillId="0" borderId="57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4" fillId="0" borderId="62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35" fillId="2" borderId="31" xfId="0" applyFont="1" applyFill="1" applyBorder="1" applyAlignment="1">
      <alignment horizontal="center" vertical="center" wrapText="1"/>
    </xf>
    <xf numFmtId="0" fontId="35" fillId="10" borderId="31" xfId="0" applyFont="1" applyFill="1" applyBorder="1" applyAlignment="1">
      <alignment horizontal="center" vertical="center" wrapText="1"/>
    </xf>
    <xf numFmtId="0" fontId="31" fillId="2" borderId="70" xfId="0" applyFont="1" applyFill="1" applyBorder="1" applyAlignment="1">
      <alignment horizontal="center" vertical="center" textRotation="90"/>
    </xf>
    <xf numFmtId="0" fontId="31" fillId="2" borderId="71" xfId="0" applyFont="1" applyFill="1" applyBorder="1" applyAlignment="1">
      <alignment horizontal="center" vertical="center" textRotation="90"/>
    </xf>
    <xf numFmtId="0" fontId="31" fillId="2" borderId="72" xfId="0" applyFont="1" applyFill="1" applyBorder="1" applyAlignment="1">
      <alignment horizontal="center" vertical="center" textRotation="90"/>
    </xf>
    <xf numFmtId="0" fontId="31" fillId="0" borderId="0" xfId="0" applyFont="1" applyAlignment="1">
      <alignment horizontal="center" vertical="center"/>
    </xf>
    <xf numFmtId="0" fontId="35" fillId="18" borderId="31" xfId="0" applyFont="1" applyFill="1" applyBorder="1" applyAlignment="1">
      <alignment horizontal="center" vertical="center" wrapText="1"/>
    </xf>
    <xf numFmtId="0" fontId="35" fillId="15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7" xfId="0" applyBorder="1" applyAlignment="1">
      <alignment horizontal="center" vertical="center"/>
    </xf>
    <xf numFmtId="10" fontId="1" fillId="0" borderId="31" xfId="0" applyNumberFormat="1" applyFont="1" applyBorder="1"/>
    <xf numFmtId="0" fontId="1" fillId="2" borderId="31" xfId="0" applyFont="1" applyFill="1" applyBorder="1" applyAlignment="1">
      <alignment horizontal="center" vertical="center" wrapText="1"/>
    </xf>
    <xf numFmtId="0" fontId="1" fillId="2" borderId="31" xfId="0" applyFont="1" applyFill="1" applyBorder="1"/>
    <xf numFmtId="0" fontId="1" fillId="2" borderId="31" xfId="0" applyFont="1" applyFill="1" applyBorder="1" applyAlignment="1">
      <alignment horizontal="center" vertical="center" textRotation="90"/>
    </xf>
    <xf numFmtId="0" fontId="1" fillId="18" borderId="31" xfId="0" applyFont="1" applyFill="1" applyBorder="1"/>
    <xf numFmtId="0" fontId="0" fillId="10" borderId="31" xfId="0" applyFill="1" applyBorder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EEBF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u="sng">
                <a:solidFill>
                  <a:sysClr val="windowText" lastClr="000000"/>
                </a:solidFill>
              </a:rPr>
              <a:t>Répartition des ventes en Quantité (U) Durant les 4 derniers Mois de l'année</a:t>
            </a:r>
          </a:p>
        </c:rich>
      </c:tx>
      <c:layout>
        <c:manualLayout>
          <c:xMode val="edge"/>
          <c:yMode val="edge"/>
          <c:x val="0.1182095981671874"/>
          <c:y val="3.4497513533333565E-2"/>
        </c:manualLayout>
      </c:layout>
      <c:overlay val="0"/>
      <c:spPr>
        <a:noFill/>
        <a:ln>
          <a:solidFill>
            <a:schemeClr val="accent6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ar-MA"/>
        </a:p>
      </c:txPr>
    </c:title>
    <c:autoTitleDeleted val="0"/>
    <c:plotArea>
      <c:layout>
        <c:manualLayout>
          <c:layoutTarget val="inner"/>
          <c:xMode val="edge"/>
          <c:yMode val="edge"/>
          <c:x val="0.10263812925675705"/>
          <c:y val="8.9226112039034328E-2"/>
          <c:w val="0.88234568884557796"/>
          <c:h val="0.7952539484188797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'10-1'!$A$5</c:f>
              <c:strCache>
                <c:ptCount val="1"/>
                <c:pt idx="0">
                  <c:v>Imprimante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'10-1'!$B$3:$E$3</c:f>
              <c:strCache>
                <c:ptCount val="4"/>
                <c:pt idx="0">
                  <c:v>Septembre</c:v>
                </c:pt>
                <c:pt idx="1">
                  <c:v>Octobre</c:v>
                </c:pt>
                <c:pt idx="2">
                  <c:v>Novembre</c:v>
                </c:pt>
                <c:pt idx="3">
                  <c:v>Décembre</c:v>
                </c:pt>
              </c:strCache>
            </c:strRef>
          </c:cat>
          <c:val>
            <c:numRef>
              <c:f>'10-1'!$B$5:$E$5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D-488B-B8CD-33A8F72434B8}"/>
            </c:ext>
          </c:extLst>
        </c:ser>
        <c:ser>
          <c:idx val="2"/>
          <c:order val="2"/>
          <c:tx>
            <c:strRef>
              <c:f>'10-1'!$A$6</c:f>
              <c:strCache>
                <c:ptCount val="1"/>
                <c:pt idx="0">
                  <c:v>Ecran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'10-1'!$B$3:$E$3</c:f>
              <c:strCache>
                <c:ptCount val="4"/>
                <c:pt idx="0">
                  <c:v>Septembre</c:v>
                </c:pt>
                <c:pt idx="1">
                  <c:v>Octobre</c:v>
                </c:pt>
                <c:pt idx="2">
                  <c:v>Novembre</c:v>
                </c:pt>
                <c:pt idx="3">
                  <c:v>Décembre</c:v>
                </c:pt>
              </c:strCache>
            </c:strRef>
          </c:cat>
          <c:val>
            <c:numRef>
              <c:f>'10-1'!$B$6:$E$6</c:f>
              <c:numCache>
                <c:formatCode>General</c:formatCode>
                <c:ptCount val="4"/>
                <c:pt idx="0">
                  <c:v>4000</c:v>
                </c:pt>
                <c:pt idx="1">
                  <c:v>2500</c:v>
                </c:pt>
                <c:pt idx="2">
                  <c:v>1000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D-488B-B8CD-33A8F72434B8}"/>
            </c:ext>
          </c:extLst>
        </c:ser>
        <c:ser>
          <c:idx val="3"/>
          <c:order val="3"/>
          <c:tx>
            <c:strRef>
              <c:f>'10-1'!$A$7</c:f>
              <c:strCache>
                <c:ptCount val="1"/>
                <c:pt idx="0">
                  <c:v>Modem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'10-1'!$B$3:$E$3</c:f>
              <c:strCache>
                <c:ptCount val="4"/>
                <c:pt idx="0">
                  <c:v>Septembre</c:v>
                </c:pt>
                <c:pt idx="1">
                  <c:v>Octobre</c:v>
                </c:pt>
                <c:pt idx="2">
                  <c:v>Novembre</c:v>
                </c:pt>
                <c:pt idx="3">
                  <c:v>Décembre</c:v>
                </c:pt>
              </c:strCache>
            </c:strRef>
          </c:cat>
          <c:val>
            <c:numRef>
              <c:f>'10-1'!$B$7:$E$7</c:f>
              <c:numCache>
                <c:formatCode>General</c:formatCode>
                <c:ptCount val="4"/>
                <c:pt idx="0">
                  <c:v>8000</c:v>
                </c:pt>
                <c:pt idx="1">
                  <c:v>2000</c:v>
                </c:pt>
                <c:pt idx="2">
                  <c:v>3000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D-488B-B8CD-33A8F72434B8}"/>
            </c:ext>
          </c:extLst>
        </c:ser>
        <c:ser>
          <c:idx val="4"/>
          <c:order val="4"/>
          <c:tx>
            <c:strRef>
              <c:f>'10-1'!$A$8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'10-1'!$B$3:$E$3</c:f>
              <c:strCache>
                <c:ptCount val="4"/>
                <c:pt idx="0">
                  <c:v>Septembre</c:v>
                </c:pt>
                <c:pt idx="1">
                  <c:v>Octobre</c:v>
                </c:pt>
                <c:pt idx="2">
                  <c:v>Novembre</c:v>
                </c:pt>
                <c:pt idx="3">
                  <c:v>Décembre</c:v>
                </c:pt>
              </c:strCache>
            </c:strRef>
          </c:cat>
          <c:val>
            <c:numRef>
              <c:f>'10-1'!$B$8:$E$8</c:f>
              <c:numCache>
                <c:formatCode>General</c:formatCode>
                <c:ptCount val="4"/>
                <c:pt idx="0">
                  <c:v>2500</c:v>
                </c:pt>
                <c:pt idx="1">
                  <c:v>2000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4D-488B-B8CD-33A8F7243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216816"/>
        <c:axId val="1215228048"/>
      </c:barChart>
      <c:lineChart>
        <c:grouping val="standard"/>
        <c:varyColors val="0"/>
        <c:ser>
          <c:idx val="0"/>
          <c:order val="0"/>
          <c:tx>
            <c:strRef>
              <c:f>'10-1'!$A$4</c:f>
              <c:strCache>
                <c:ptCount val="1"/>
                <c:pt idx="0">
                  <c:v>Ordinateur</c:v>
                </c:pt>
              </c:strCache>
            </c:strRef>
          </c:tx>
          <c:spPr>
            <a:ln w="28575" cap="rnd">
              <a:gradFill>
                <a:gsLst>
                  <a:gs pos="58386">
                    <a:srgbClr val="C3DAF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50800" cap="rnd">
                <a:gradFill>
                  <a:gsLst>
                    <a:gs pos="58386">
                      <a:srgbClr val="C3DAF0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4D-488B-B8CD-33A8F72434B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44450" cap="rnd">
                <a:gradFill>
                  <a:gsLst>
                    <a:gs pos="58386">
                      <a:srgbClr val="C3DAF0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E4D-488B-B8CD-33A8F72434B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47625" cap="rnd">
                <a:gradFill>
                  <a:gsLst>
                    <a:gs pos="58386">
                      <a:srgbClr val="C3DAF0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4D-488B-B8CD-33A8F7243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'10-1'!$B$3:$E$3</c:f>
              <c:strCache>
                <c:ptCount val="4"/>
                <c:pt idx="0">
                  <c:v>Septembre</c:v>
                </c:pt>
                <c:pt idx="1">
                  <c:v>Octobre</c:v>
                </c:pt>
                <c:pt idx="2">
                  <c:v>Novembre</c:v>
                </c:pt>
                <c:pt idx="3">
                  <c:v>Décembre</c:v>
                </c:pt>
              </c:strCache>
            </c:strRef>
          </c:cat>
          <c:val>
            <c:numRef>
              <c:f>'10-1'!$B$4:$E$4</c:f>
              <c:numCache>
                <c:formatCode>General</c:formatCode>
                <c:ptCount val="4"/>
                <c:pt idx="0">
                  <c:v>2000</c:v>
                </c:pt>
                <c:pt idx="1">
                  <c:v>6000</c:v>
                </c:pt>
                <c:pt idx="2">
                  <c:v>1000</c:v>
                </c:pt>
                <c:pt idx="3">
                  <c:v>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D-488B-B8CD-33A8F724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216816"/>
        <c:axId val="1215228048"/>
      </c:lineChart>
      <c:catAx>
        <c:axId val="12152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alpha val="7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MA"/>
          </a:p>
        </c:txPr>
        <c:crossAx val="1215228048"/>
        <c:crosses val="autoZero"/>
        <c:auto val="1"/>
        <c:lblAlgn val="ctr"/>
        <c:lblOffset val="100"/>
        <c:noMultiLvlLbl val="0"/>
      </c:catAx>
      <c:valAx>
        <c:axId val="12152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 b="1" u="sng">
                    <a:solidFill>
                      <a:schemeClr val="tx1"/>
                    </a:solidFill>
                  </a:rPr>
                  <a:t>Quantité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ar-M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ar-MA"/>
          </a:p>
        </c:txPr>
        <c:crossAx val="1215216816"/>
        <c:crosses val="autoZero"/>
        <c:crossBetween val="between"/>
      </c:valAx>
      <c:spPr>
        <a:gradFill>
          <a:gsLst>
            <a:gs pos="7000">
              <a:schemeClr val="tx1"/>
            </a:gs>
            <a:gs pos="22000">
              <a:schemeClr val="bg2">
                <a:lumMod val="25000"/>
              </a:schemeClr>
            </a:gs>
            <a:gs pos="58000">
              <a:schemeClr val="bg2">
                <a:lumMod val="50000"/>
              </a:schemeClr>
            </a:gs>
            <a:gs pos="100000">
              <a:schemeClr val="bg2">
                <a:lumMod val="9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solidFill>
          <a:schemeClr val="tx1"/>
        </a:solidFill>
        <a:ln>
          <a:solidFill>
            <a:schemeClr val="bg2">
              <a:lumMod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ar-MA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22000">
          <a:schemeClr val="accent1">
            <a:lumMod val="45000"/>
            <a:lumOff val="55000"/>
          </a:schemeClr>
        </a:gs>
        <a:gs pos="58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ar-MA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u="sng" strike="noStrike" baseline="0">
                <a:effectLst/>
              </a:rPr>
              <a:t>Répartition des ventes en Pourcentages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M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'10-1'!$G$3</c:f>
              <c:strCache>
                <c:ptCount val="1"/>
                <c:pt idx="0">
                  <c:v>Pourcentage (%)</c:v>
                </c:pt>
              </c:strCache>
            </c:strRef>
          </c:tx>
          <c:dPt>
            <c:idx val="0"/>
            <c:bubble3D val="0"/>
            <c:explosion val="4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8B-4067-87B6-1A9484A52F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8B-4067-87B6-1A9484A52F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8B-4067-87B6-1A9484A52F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8B-4067-87B6-1A9484A52F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8B-4067-87B6-1A9484A52F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'10-1'!$A$4:$A$8</c:f>
              <c:strCache>
                <c:ptCount val="5"/>
                <c:pt idx="0">
                  <c:v>Ordinateur</c:v>
                </c:pt>
                <c:pt idx="1">
                  <c:v>Imprimante</c:v>
                </c:pt>
                <c:pt idx="2">
                  <c:v>Ecran</c:v>
                </c:pt>
                <c:pt idx="3">
                  <c:v>Modem</c:v>
                </c:pt>
                <c:pt idx="4">
                  <c:v>Scanner</c:v>
                </c:pt>
              </c:strCache>
            </c:strRef>
          </c:cat>
          <c:val>
            <c:numRef>
              <c:f>'10-1'!$G$4:$G$8</c:f>
              <c:numCache>
                <c:formatCode>0.00%</c:formatCode>
                <c:ptCount val="5"/>
                <c:pt idx="0">
                  <c:v>0.22807017543859648</c:v>
                </c:pt>
                <c:pt idx="1">
                  <c:v>0.13157894736842105</c:v>
                </c:pt>
                <c:pt idx="2">
                  <c:v>0.14035087719298245</c:v>
                </c:pt>
                <c:pt idx="3">
                  <c:v>0.33333333333333331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8B-4067-87B6-1A9484A52F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MA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Paiments De Salaire</a:t>
            </a:r>
          </a:p>
        </c:rich>
      </c:tx>
      <c:layout>
        <c:manualLayout>
          <c:xMode val="edge"/>
          <c:yMode val="edge"/>
          <c:x val="0.43368293743965736"/>
          <c:y val="1.253012079891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MA"/>
        </a:p>
      </c:txPr>
    </c:title>
    <c:autoTitleDeleted val="0"/>
    <c:plotArea>
      <c:layout>
        <c:manualLayout>
          <c:layoutTarget val="inner"/>
          <c:xMode val="edge"/>
          <c:yMode val="edge"/>
          <c:x val="6.1702756912484988E-2"/>
          <c:y val="9.4163857803848047E-2"/>
          <c:w val="0.92737860755586776"/>
          <c:h val="0.82632545492395926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'11-1'!$I$13</c:f>
              <c:strCache>
                <c:ptCount val="1"/>
                <c:pt idx="0">
                  <c:v>Total Salaire Brut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'11-1'!$F$14:$F$16</c:f>
              <c:strCache>
                <c:ptCount val="3"/>
                <c:pt idx="0">
                  <c:v>Directeur</c:v>
                </c:pt>
                <c:pt idx="1">
                  <c:v>Comptable</c:v>
                </c:pt>
                <c:pt idx="2">
                  <c:v>Secrétaire</c:v>
                </c:pt>
              </c:strCache>
            </c:strRef>
          </c:cat>
          <c:val>
            <c:numRef>
              <c:f>'11-1'!$I$14:$I$16</c:f>
              <c:numCache>
                <c:formatCode>General</c:formatCode>
                <c:ptCount val="3"/>
                <c:pt idx="0">
                  <c:v>44210</c:v>
                </c:pt>
                <c:pt idx="1">
                  <c:v>20800</c:v>
                </c:pt>
                <c:pt idx="2">
                  <c:v>17640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2-49EB-B590-E3D599F2CDE6}"/>
            </c:ext>
          </c:extLst>
        </c:ser>
        <c:ser>
          <c:idx val="3"/>
          <c:order val="3"/>
          <c:tx>
            <c:strRef>
              <c:f>'11-1'!$J$13</c:f>
              <c:strCache>
                <c:ptCount val="1"/>
                <c:pt idx="0">
                  <c:v>Total Prime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'11-1'!$F$14:$F$16</c:f>
              <c:strCache>
                <c:ptCount val="3"/>
                <c:pt idx="0">
                  <c:v>Directeur</c:v>
                </c:pt>
                <c:pt idx="1">
                  <c:v>Comptable</c:v>
                </c:pt>
                <c:pt idx="2">
                  <c:v>Secrétaire</c:v>
                </c:pt>
              </c:strCache>
            </c:strRef>
          </c:cat>
          <c:val>
            <c:numRef>
              <c:f>'11-1'!$J$14:$J$16</c:f>
              <c:numCache>
                <c:formatCode>General</c:formatCode>
                <c:ptCount val="3"/>
                <c:pt idx="0">
                  <c:v>7045</c:v>
                </c:pt>
                <c:pt idx="1">
                  <c:v>1136</c:v>
                </c:pt>
                <c:pt idx="2">
                  <c:v>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32-49EB-B590-E3D599F2CDE6}"/>
            </c:ext>
          </c:extLst>
        </c:ser>
        <c:ser>
          <c:idx val="4"/>
          <c:order val="4"/>
          <c:tx>
            <c:strRef>
              <c:f>'11-1'!$K$13</c:f>
              <c:strCache>
                <c:ptCount val="1"/>
                <c:pt idx="0">
                  <c:v>Total Net à Payer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'11-1'!$F$14:$F$16</c:f>
              <c:strCache>
                <c:ptCount val="3"/>
                <c:pt idx="0">
                  <c:v>Directeur</c:v>
                </c:pt>
                <c:pt idx="1">
                  <c:v>Comptable</c:v>
                </c:pt>
                <c:pt idx="2">
                  <c:v>Secrétaire</c:v>
                </c:pt>
              </c:strCache>
            </c:strRef>
          </c:cat>
          <c:val>
            <c:numRef>
              <c:f>'11-1'!$K$14:$K$16</c:f>
              <c:numCache>
                <c:formatCode>General</c:formatCode>
                <c:ptCount val="3"/>
                <c:pt idx="0">
                  <c:v>51255</c:v>
                </c:pt>
                <c:pt idx="1">
                  <c:v>21936</c:v>
                </c:pt>
                <c:pt idx="2">
                  <c:v>20808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32-49EB-B590-E3D599F2CD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4154176"/>
        <c:axId val="384169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'11-1'!$G$13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ar-MA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'11-1'!$F$14:$F$16</c15:sqref>
                        </c15:formulaRef>
                      </c:ext>
                    </c:extLst>
                    <c:strCache>
                      <c:ptCount val="3"/>
                      <c:pt idx="0">
                        <c:v>Directeur</c:v>
                      </c:pt>
                      <c:pt idx="1">
                        <c:v>Comptable</c:v>
                      </c:pt>
                      <c:pt idx="2">
                        <c:v>Secrétaire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'11-1'!$G$14:$G$16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332-49EB-B590-E3D599F2CDE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'11-1'!$H$13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ar-MA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'11-1'!$F$14:$F$16</c15:sqref>
                        </c15:formulaRef>
                      </c:ext>
                    </c:extLst>
                    <c:strCache>
                      <c:ptCount val="3"/>
                      <c:pt idx="0">
                        <c:v>Directeur</c:v>
                      </c:pt>
                      <c:pt idx="1">
                        <c:v>Comptable</c:v>
                      </c:pt>
                      <c:pt idx="2">
                        <c:v>Secrétaire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'11-1'!$H$14:$H$16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32-49EB-B590-E3D599F2CDE6}"/>
                  </c:ext>
                </c:extLst>
              </c15:ser>
            </c15:filteredBarSeries>
          </c:ext>
        </c:extLst>
      </c:barChart>
      <c:catAx>
        <c:axId val="3841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MA"/>
          </a:p>
        </c:txPr>
        <c:crossAx val="384169152"/>
        <c:crosses val="autoZero"/>
        <c:auto val="1"/>
        <c:lblAlgn val="ctr"/>
        <c:lblOffset val="100"/>
        <c:noMultiLvlLbl val="0"/>
      </c:catAx>
      <c:valAx>
        <c:axId val="3841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MA"/>
          </a:p>
        </c:txPr>
        <c:crossAx val="3841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M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ar-MA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Quitance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M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'12-1'!$F$2</c:f>
              <c:strCache>
                <c:ptCount val="1"/>
                <c:pt idx="0">
                  <c:v>Ancien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'12-1'!$C$3:$C$6</c:f>
              <c:strCache>
                <c:ptCount val="4"/>
                <c:pt idx="0">
                  <c:v>TAKI</c:v>
                </c:pt>
                <c:pt idx="1">
                  <c:v>BATAL</c:v>
                </c:pt>
                <c:pt idx="2">
                  <c:v>FATHI</c:v>
                </c:pt>
                <c:pt idx="3">
                  <c:v>SAFI</c:v>
                </c:pt>
              </c:strCache>
            </c:strRef>
          </c:cat>
          <c:val>
            <c:numRef>
              <c:f>'12-1'!$F$3:$F$6</c:f>
              <c:numCache>
                <c:formatCode>General</c:formatCode>
                <c:ptCount val="4"/>
                <c:pt idx="0">
                  <c:v>560</c:v>
                </c:pt>
                <c:pt idx="1">
                  <c:v>410</c:v>
                </c:pt>
                <c:pt idx="2">
                  <c:v>320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9-420A-9777-255E727DF83E}"/>
            </c:ext>
          </c:extLst>
        </c:ser>
        <c:ser>
          <c:idx val="1"/>
          <c:order val="1"/>
          <c:tx>
            <c:strRef>
              <c:f>'12-1'!$G$2</c:f>
              <c:strCache>
                <c:ptCount val="1"/>
                <c:pt idx="0">
                  <c:v>Nouvel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M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'12-1'!$C$3:$C$6</c:f>
              <c:strCache>
                <c:ptCount val="4"/>
                <c:pt idx="0">
                  <c:v>TAKI</c:v>
                </c:pt>
                <c:pt idx="1">
                  <c:v>BATAL</c:v>
                </c:pt>
                <c:pt idx="2">
                  <c:v>FATHI</c:v>
                </c:pt>
                <c:pt idx="3">
                  <c:v>SAFI</c:v>
                </c:pt>
              </c:strCache>
            </c:strRef>
          </c:cat>
          <c:val>
            <c:numRef>
              <c:f>'12-1'!$G$3:$G$6</c:f>
              <c:numCache>
                <c:formatCode>General</c:formatCode>
                <c:ptCount val="4"/>
                <c:pt idx="0">
                  <c:v>594</c:v>
                </c:pt>
                <c:pt idx="1">
                  <c:v>430</c:v>
                </c:pt>
                <c:pt idx="2">
                  <c:v>328</c:v>
                </c:pt>
                <c:pt idx="3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9-420A-9777-255E727DF8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5923136"/>
        <c:axId val="525926088"/>
      </c:barChart>
      <c:catAx>
        <c:axId val="52592313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MA"/>
          </a:p>
        </c:txPr>
        <c:crossAx val="525926088"/>
        <c:crosses val="autoZero"/>
        <c:auto val="1"/>
        <c:lblAlgn val="ctr"/>
        <c:lblOffset val="100"/>
        <c:noMultiLvlLbl val="0"/>
      </c:catAx>
      <c:valAx>
        <c:axId val="52592608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5259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M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MA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>
    <tabColor theme="5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zoomScale="116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9" tint="-0.499984740745262"/>
  </sheetPr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271765-CA06-4AEA-BDED-38ACD6FD81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K131"/>
  <sheetViews>
    <sheetView workbookViewId="0"/>
  </sheetViews>
  <sheetFormatPr baseColWidth="10" defaultColWidth="11.375" defaultRowHeight="14.25" x14ac:dyDescent="0.2"/>
  <cols>
    <col min="1" max="1" width="19.375" customWidth="1"/>
    <col min="2" max="2" width="12.625" customWidth="1"/>
    <col min="3" max="3" width="14.125" customWidth="1"/>
    <col min="4" max="4" width="14.625" customWidth="1"/>
    <col min="5" max="5" width="12.375" customWidth="1"/>
  </cols>
  <sheetData>
    <row r="1" spans="1:6" x14ac:dyDescent="0.2">
      <c r="A1" s="74" t="s">
        <v>138</v>
      </c>
      <c r="B1" s="73" t="s">
        <v>137</v>
      </c>
      <c r="C1" s="73" t="s">
        <v>136</v>
      </c>
      <c r="D1" s="73" t="s">
        <v>135</v>
      </c>
      <c r="E1" s="72" t="s">
        <v>134</v>
      </c>
    </row>
    <row r="2" spans="1:6" x14ac:dyDescent="0.2">
      <c r="A2" s="72" t="s">
        <v>133</v>
      </c>
    </row>
    <row r="3" spans="1:6" x14ac:dyDescent="0.2">
      <c r="A3" s="66" t="s">
        <v>132</v>
      </c>
      <c r="B3" s="67">
        <v>80000</v>
      </c>
      <c r="C3" s="67">
        <v>75000</v>
      </c>
      <c r="D3" s="67">
        <v>81000</v>
      </c>
      <c r="E3" s="65">
        <f t="shared" ref="E3:E8" si="0">SUM(B3:D3)</f>
        <v>236000</v>
      </c>
    </row>
    <row r="4" spans="1:6" x14ac:dyDescent="0.2">
      <c r="A4" s="66" t="s">
        <v>131</v>
      </c>
      <c r="B4" s="67">
        <v>50000</v>
      </c>
      <c r="C4" s="67">
        <v>70000</v>
      </c>
      <c r="D4" s="67">
        <v>25000</v>
      </c>
      <c r="E4" s="65">
        <f t="shared" si="0"/>
        <v>145000</v>
      </c>
    </row>
    <row r="5" spans="1:6" x14ac:dyDescent="0.2">
      <c r="A5" s="66" t="s">
        <v>130</v>
      </c>
      <c r="B5" s="67">
        <v>25000</v>
      </c>
      <c r="C5" s="67">
        <v>30000</v>
      </c>
      <c r="D5" s="67">
        <v>25000</v>
      </c>
      <c r="E5" s="65">
        <f t="shared" si="0"/>
        <v>80000</v>
      </c>
    </row>
    <row r="6" spans="1:6" x14ac:dyDescent="0.2">
      <c r="A6" s="66" t="s">
        <v>129</v>
      </c>
      <c r="B6" s="67">
        <v>20000</v>
      </c>
      <c r="C6" s="67">
        <v>25000</v>
      </c>
      <c r="D6" s="67">
        <v>32000</v>
      </c>
      <c r="E6" s="65">
        <f t="shared" si="0"/>
        <v>77000</v>
      </c>
    </row>
    <row r="7" spans="1:6" x14ac:dyDescent="0.2">
      <c r="A7" s="66" t="s">
        <v>34</v>
      </c>
      <c r="B7" s="67">
        <v>15000</v>
      </c>
      <c r="C7" s="67">
        <v>20000</v>
      </c>
      <c r="D7" s="67">
        <v>20000</v>
      </c>
      <c r="E7" s="65">
        <f t="shared" si="0"/>
        <v>55000</v>
      </c>
    </row>
    <row r="8" spans="1:6" x14ac:dyDescent="0.2">
      <c r="A8" s="66" t="s">
        <v>128</v>
      </c>
      <c r="B8" s="65">
        <f>SUM(B3:B7)</f>
        <v>190000</v>
      </c>
      <c r="C8" s="65">
        <f>SUM(C3:C7)</f>
        <v>220000</v>
      </c>
      <c r="D8" s="65">
        <f>SUM(D3:D7)</f>
        <v>183000</v>
      </c>
      <c r="E8" s="71">
        <f t="shared" si="0"/>
        <v>593000</v>
      </c>
    </row>
    <row r="9" spans="1:6" x14ac:dyDescent="0.2">
      <c r="A9" s="72" t="s">
        <v>127</v>
      </c>
    </row>
    <row r="10" spans="1:6" x14ac:dyDescent="0.2">
      <c r="A10" s="66" t="s">
        <v>126</v>
      </c>
      <c r="B10" s="67">
        <v>50000</v>
      </c>
      <c r="C10" s="67">
        <v>54000</v>
      </c>
      <c r="D10" s="67">
        <v>46000</v>
      </c>
      <c r="E10" s="65">
        <f>SUM(B10:D10)</f>
        <v>150000</v>
      </c>
    </row>
    <row r="11" spans="1:6" x14ac:dyDescent="0.2">
      <c r="A11" s="66" t="s">
        <v>125</v>
      </c>
      <c r="B11" s="67">
        <v>20000</v>
      </c>
      <c r="C11" s="67">
        <v>15000</v>
      </c>
      <c r="D11" s="67">
        <v>12000</v>
      </c>
      <c r="E11" s="65">
        <f>SUM(B11:D11)</f>
        <v>47000</v>
      </c>
    </row>
    <row r="12" spans="1:6" x14ac:dyDescent="0.2">
      <c r="A12" s="66" t="s">
        <v>124</v>
      </c>
      <c r="B12" s="67">
        <v>9000</v>
      </c>
      <c r="C12" s="67">
        <v>9000</v>
      </c>
      <c r="D12" s="67">
        <v>9000</v>
      </c>
      <c r="E12" s="65">
        <f>SUM(B12:D12)</f>
        <v>27000</v>
      </c>
    </row>
    <row r="13" spans="1:6" x14ac:dyDescent="0.2">
      <c r="A13" s="66" t="s">
        <v>123</v>
      </c>
      <c r="B13" s="67">
        <v>2000</v>
      </c>
      <c r="C13" s="67">
        <v>1500</v>
      </c>
      <c r="D13" s="67">
        <v>1800</v>
      </c>
      <c r="E13" s="65">
        <f>SUM(B13:D13)</f>
        <v>5300</v>
      </c>
    </row>
    <row r="14" spans="1:6" x14ac:dyDescent="0.2">
      <c r="A14" s="66" t="s">
        <v>120</v>
      </c>
      <c r="B14" s="65">
        <f>SUM(B10:B13)</f>
        <v>81000</v>
      </c>
      <c r="C14" s="65">
        <f>SUM(C10:C13)</f>
        <v>79500</v>
      </c>
      <c r="D14" s="65">
        <f>SUM(D10:D13)</f>
        <v>68800</v>
      </c>
      <c r="E14" s="71">
        <f>SUM(B14:D14)</f>
        <v>229300</v>
      </c>
    </row>
    <row r="15" spans="1:6" ht="15" x14ac:dyDescent="0.25">
      <c r="A15" s="70" t="s">
        <v>0</v>
      </c>
      <c r="B15" s="69" t="s">
        <v>0</v>
      </c>
      <c r="C15" s="69" t="s">
        <v>0</v>
      </c>
      <c r="D15" s="69" t="s">
        <v>0</v>
      </c>
      <c r="E15" s="69" t="s">
        <v>0</v>
      </c>
      <c r="F15" t="s">
        <v>0</v>
      </c>
    </row>
    <row r="16" spans="1:6" x14ac:dyDescent="0.2">
      <c r="A16" s="68" t="s">
        <v>122</v>
      </c>
    </row>
    <row r="17" spans="1:6" x14ac:dyDescent="0.2">
      <c r="A17" s="66" t="s">
        <v>121</v>
      </c>
      <c r="B17" s="67">
        <f>B8</f>
        <v>190000</v>
      </c>
      <c r="C17" s="67">
        <f>C8</f>
        <v>220000</v>
      </c>
      <c r="D17" s="67">
        <f>D8</f>
        <v>183000</v>
      </c>
      <c r="E17" s="67">
        <f>E8</f>
        <v>593000</v>
      </c>
    </row>
    <row r="18" spans="1:6" x14ac:dyDescent="0.2">
      <c r="A18" s="66" t="s">
        <v>120</v>
      </c>
      <c r="B18" s="67">
        <f>B14</f>
        <v>81000</v>
      </c>
      <c r="C18" s="67">
        <f>C14</f>
        <v>79500</v>
      </c>
      <c r="D18" s="67">
        <f>D14</f>
        <v>68800</v>
      </c>
      <c r="E18" s="67">
        <f>E14</f>
        <v>229300</v>
      </c>
    </row>
    <row r="19" spans="1:6" x14ac:dyDescent="0.2">
      <c r="A19" s="66" t="s">
        <v>119</v>
      </c>
      <c r="B19" s="65">
        <f>B17-B18</f>
        <v>109000</v>
      </c>
      <c r="C19" s="65">
        <f>C17-C18</f>
        <v>140500</v>
      </c>
      <c r="D19" s="65">
        <f>D17-D18</f>
        <v>114200</v>
      </c>
      <c r="E19" s="65">
        <f>E17-E18</f>
        <v>363700</v>
      </c>
    </row>
    <row r="21" spans="1:6" x14ac:dyDescent="0.2">
      <c r="F21" t="s">
        <v>0</v>
      </c>
    </row>
    <row r="103" spans="2:11" x14ac:dyDescent="0.2">
      <c r="B103" t="s">
        <v>118</v>
      </c>
    </row>
    <row r="108" spans="2:11" x14ac:dyDescent="0.2">
      <c r="K108" t="s">
        <v>117</v>
      </c>
    </row>
    <row r="131" spans="8:9" x14ac:dyDescent="0.2">
      <c r="H131" t="s">
        <v>0</v>
      </c>
      <c r="I13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K26"/>
  <sheetViews>
    <sheetView workbookViewId="0">
      <selection activeCell="F23" sqref="F23"/>
    </sheetView>
  </sheetViews>
  <sheetFormatPr baseColWidth="10" defaultColWidth="11.375" defaultRowHeight="14.25" x14ac:dyDescent="0.2"/>
  <cols>
    <col min="1" max="1" width="14.625" customWidth="1"/>
    <col min="2" max="2" width="20.625" customWidth="1"/>
    <col min="3" max="3" width="20.875" customWidth="1"/>
    <col min="4" max="4" width="17.125" customWidth="1"/>
    <col min="5" max="5" width="20.375" customWidth="1"/>
    <col min="7" max="7" width="14.25" customWidth="1"/>
    <col min="8" max="8" width="15.125" customWidth="1"/>
    <col min="9" max="9" width="20.375" customWidth="1"/>
    <col min="10" max="10" width="19.75" customWidth="1"/>
    <col min="11" max="11" width="13.125" customWidth="1"/>
  </cols>
  <sheetData>
    <row r="1" spans="1:11" ht="18.75" x14ac:dyDescent="0.3">
      <c r="A1" s="262" t="s">
        <v>277</v>
      </c>
      <c r="B1" s="263"/>
      <c r="C1" s="263"/>
      <c r="D1" s="263"/>
      <c r="E1" s="131"/>
      <c r="G1" s="262" t="s">
        <v>276</v>
      </c>
      <c r="H1" s="263"/>
      <c r="I1" s="263"/>
      <c r="J1" s="263"/>
      <c r="K1" s="263"/>
    </row>
    <row r="2" spans="1:11" ht="15.75" thickBot="1" x14ac:dyDescent="0.3">
      <c r="A2" s="132"/>
      <c r="B2" s="132"/>
      <c r="C2" s="132"/>
      <c r="D2" s="132"/>
      <c r="E2" s="131"/>
      <c r="G2" s="132"/>
      <c r="H2" s="132"/>
      <c r="I2" s="132"/>
      <c r="J2" s="132"/>
      <c r="K2" s="131"/>
    </row>
    <row r="3" spans="1:11" ht="16.5" thickTop="1" thickBot="1" x14ac:dyDescent="0.3">
      <c r="A3" s="133" t="s">
        <v>275</v>
      </c>
      <c r="B3" s="134" t="s">
        <v>266</v>
      </c>
      <c r="C3" s="132"/>
      <c r="D3" s="132"/>
      <c r="E3" s="131"/>
      <c r="G3" s="133" t="s">
        <v>275</v>
      </c>
      <c r="H3" s="134" t="s">
        <v>268</v>
      </c>
      <c r="I3" s="132"/>
      <c r="J3" s="132"/>
      <c r="K3" s="131"/>
    </row>
    <row r="4" spans="1:11" ht="16.5" thickTop="1" thickBot="1" x14ac:dyDescent="0.3">
      <c r="A4" s="133" t="s">
        <v>244</v>
      </c>
      <c r="B4" s="134" t="str">
        <f>IF($B$3="","",VLOOKUP($B$3,'9-1'!$A$4:$I$7,2))</f>
        <v>SAFI</v>
      </c>
      <c r="C4" s="132"/>
      <c r="D4" s="132"/>
      <c r="E4" s="131"/>
      <c r="G4" s="133" t="s">
        <v>244</v>
      </c>
      <c r="H4" s="134" t="str">
        <f>VLOOKUP($H$3,'9-1'!$A$4:$I$7,2,FALSE)</f>
        <v>FALAH</v>
      </c>
      <c r="I4" s="132"/>
      <c r="J4" s="132"/>
      <c r="K4" s="131"/>
    </row>
    <row r="5" spans="1:11" ht="16.5" thickTop="1" thickBot="1" x14ac:dyDescent="0.3">
      <c r="A5" s="133" t="s">
        <v>242</v>
      </c>
      <c r="B5" s="134" t="str">
        <f>IF($B$3="","",VLOOKUP($B$3,'9-1'!$A$4:$I$7,3))</f>
        <v>Ali</v>
      </c>
      <c r="C5" s="132"/>
      <c r="D5" s="132"/>
      <c r="E5" s="131"/>
      <c r="G5" s="133" t="s">
        <v>242</v>
      </c>
      <c r="H5" s="134" t="str">
        <f>VLOOKUP($H$3,'9-1'!$A$4:$I$7,3,FALSE)</f>
        <v>Badr</v>
      </c>
      <c r="I5" s="132"/>
      <c r="J5" s="132"/>
      <c r="K5" s="131"/>
    </row>
    <row r="6" spans="1:11" ht="16.5" thickTop="1" thickBot="1" x14ac:dyDescent="0.3">
      <c r="A6" s="132"/>
      <c r="B6" s="133" t="s">
        <v>232</v>
      </c>
      <c r="C6" s="134">
        <f>IF($B$3="","",VLOOKUP($B$3,'9-1'!$A$4:$I$7,4))</f>
        <v>15</v>
      </c>
      <c r="D6" s="132"/>
      <c r="E6" s="131"/>
      <c r="G6" s="132"/>
      <c r="H6" s="133" t="s">
        <v>232</v>
      </c>
      <c r="I6" s="134">
        <f>VLOOKUP($H$3,'9-1'!$A$4:$I$7,4,FALSE)</f>
        <v>18</v>
      </c>
      <c r="J6" s="132"/>
      <c r="K6" s="131"/>
    </row>
    <row r="7" spans="1:11" ht="16.5" thickTop="1" thickBot="1" x14ac:dyDescent="0.3">
      <c r="A7" s="132"/>
      <c r="B7" s="133" t="s">
        <v>262</v>
      </c>
      <c r="C7" s="134">
        <f>IF($B$3="","",VLOOKUP($B$3,'9-1'!$A$4:$I$7,5))</f>
        <v>12</v>
      </c>
      <c r="D7" s="132"/>
      <c r="E7" s="131"/>
      <c r="G7" s="132"/>
      <c r="H7" s="133" t="s">
        <v>262</v>
      </c>
      <c r="I7" s="134">
        <f>VLOOKUP($H$3,'9-1'!$A$4:$I$7,5,FALSE)</f>
        <v>14</v>
      </c>
      <c r="J7" s="132"/>
      <c r="K7" s="131"/>
    </row>
    <row r="8" spans="1:11" ht="16.5" thickTop="1" thickBot="1" x14ac:dyDescent="0.3">
      <c r="A8" s="132"/>
      <c r="B8" s="133" t="s">
        <v>263</v>
      </c>
      <c r="C8" s="134">
        <f>IF($B$3="","",VLOOKUP($B$3,'9-1'!$A$4:$I$7,6))</f>
        <v>11</v>
      </c>
      <c r="D8" s="132"/>
      <c r="E8" s="131"/>
      <c r="G8" s="132"/>
      <c r="H8" s="133" t="s">
        <v>263</v>
      </c>
      <c r="I8" s="134">
        <f>VLOOKUP($H$3,'9-1'!$A$4:$I$7,6,FALSE)</f>
        <v>16</v>
      </c>
      <c r="J8" s="132"/>
      <c r="K8" s="131"/>
    </row>
    <row r="9" spans="1:11" ht="16.5" thickTop="1" thickBot="1" x14ac:dyDescent="0.3">
      <c r="A9" s="132"/>
      <c r="B9" s="132"/>
      <c r="C9" s="133" t="s">
        <v>264</v>
      </c>
      <c r="D9" s="135">
        <f>IF($B$3="","",VLOOKUP($B$3,'9-1'!$A$4:$I$7,7))</f>
        <v>12.666666666666666</v>
      </c>
      <c r="E9" s="131"/>
      <c r="G9" s="132"/>
      <c r="H9" s="132"/>
      <c r="I9" s="133" t="s">
        <v>264</v>
      </c>
      <c r="J9" s="135">
        <f>VLOOKUP($H$3,'9-1'!$A$4:$I$7,7,FALSE)</f>
        <v>16</v>
      </c>
      <c r="K9" s="131"/>
    </row>
    <row r="10" spans="1:11" ht="16.5" thickTop="1" thickBot="1" x14ac:dyDescent="0.3">
      <c r="A10" s="132"/>
      <c r="B10" s="132"/>
      <c r="C10" s="133" t="s">
        <v>265</v>
      </c>
      <c r="D10" s="134" t="str">
        <f>IF($B$3="","",VLOOKUP($B$3,'9-1'!$A$4:$I$7,8))</f>
        <v>Admis</v>
      </c>
      <c r="E10" s="131"/>
      <c r="G10" s="132"/>
      <c r="H10" s="132"/>
      <c r="I10" s="133" t="s">
        <v>265</v>
      </c>
      <c r="J10" s="134" t="str">
        <f>VLOOKUP($H$3,'9-1'!$A$4:$I$7,8,FALSE)</f>
        <v>Admis</v>
      </c>
      <c r="K10" s="131"/>
    </row>
    <row r="11" spans="1:11" ht="16.5" thickTop="1" thickBot="1" x14ac:dyDescent="0.3">
      <c r="A11" s="132"/>
      <c r="B11" s="132"/>
      <c r="C11" s="133" t="s">
        <v>216</v>
      </c>
      <c r="D11" s="134" t="str">
        <f>IF($B$3="","",VLOOKUP($B$3,'9-1'!$A$4:$I$7,9))</f>
        <v>Passable</v>
      </c>
      <c r="E11" s="131"/>
      <c r="G11" s="132"/>
      <c r="H11" s="132"/>
      <c r="I11" s="133" t="s">
        <v>216</v>
      </c>
      <c r="J11" s="134" t="str">
        <f>VLOOKUP($H$3,'9-1'!$A$4:$I$7,9,FALSE)</f>
        <v>Excellent</v>
      </c>
      <c r="K11" s="131"/>
    </row>
    <row r="12" spans="1:11" ht="15.75" thickTop="1" x14ac:dyDescent="0.25">
      <c r="A12" s="131"/>
      <c r="B12" s="131"/>
      <c r="C12" s="131"/>
      <c r="D12" s="131"/>
      <c r="E12" s="131"/>
      <c r="G12" s="131"/>
      <c r="H12" s="131"/>
      <c r="I12" s="131"/>
      <c r="J12" s="131"/>
      <c r="K12" s="131"/>
    </row>
    <row r="13" spans="1:11" ht="15" x14ac:dyDescent="0.25">
      <c r="A13" s="80"/>
      <c r="B13" s="80"/>
      <c r="C13" s="80"/>
      <c r="D13" s="80"/>
      <c r="E13" s="80"/>
    </row>
    <row r="14" spans="1:11" ht="15" x14ac:dyDescent="0.25">
      <c r="A14" s="80"/>
      <c r="B14" s="80"/>
      <c r="C14" s="80"/>
      <c r="D14" s="80"/>
      <c r="E14" s="80"/>
    </row>
    <row r="15" spans="1:11" ht="18.75" x14ac:dyDescent="0.3">
      <c r="C15" s="262" t="s">
        <v>278</v>
      </c>
      <c r="D15" s="262"/>
      <c r="E15" s="262"/>
      <c r="F15" s="262"/>
      <c r="G15" s="262"/>
      <c r="H15" s="262"/>
    </row>
    <row r="16" spans="1:11" ht="15.75" thickBot="1" x14ac:dyDescent="0.3">
      <c r="C16" s="132"/>
      <c r="D16" s="132"/>
      <c r="E16" s="132"/>
      <c r="F16" s="132"/>
      <c r="G16" s="131"/>
      <c r="H16" s="138"/>
    </row>
    <row r="17" spans="3:8" ht="16.5" thickTop="1" thickBot="1" x14ac:dyDescent="0.3">
      <c r="C17" s="133" t="s">
        <v>275</v>
      </c>
      <c r="D17" s="134" t="s">
        <v>266</v>
      </c>
      <c r="E17" s="132"/>
      <c r="F17" s="132"/>
      <c r="G17" s="131"/>
      <c r="H17" s="138"/>
    </row>
    <row r="18" spans="3:8" ht="16.5" thickTop="1" thickBot="1" x14ac:dyDescent="0.3">
      <c r="C18" s="133" t="s">
        <v>244</v>
      </c>
      <c r="D18" s="134" t="str">
        <f>VLOOKUP($D$17,'9-1'!$A$4:$I$7,$H$18:$H$25)</f>
        <v>SAFI</v>
      </c>
      <c r="E18" s="132"/>
      <c r="F18" s="132"/>
      <c r="G18" s="131"/>
      <c r="H18" s="139">
        <v>2</v>
      </c>
    </row>
    <row r="19" spans="3:8" ht="16.5" thickTop="1" thickBot="1" x14ac:dyDescent="0.3">
      <c r="C19" s="133" t="s">
        <v>242</v>
      </c>
      <c r="D19" s="134" t="str">
        <f>VLOOKUP($D$17,'9-1'!$A$4:$I$7,$H$19:$H$25)</f>
        <v>Ali</v>
      </c>
      <c r="E19" s="132"/>
      <c r="F19" s="132"/>
      <c r="G19" s="131"/>
      <c r="H19" s="139">
        <v>3</v>
      </c>
    </row>
    <row r="20" spans="3:8" ht="15" customHeight="1" thickTop="1" thickBot="1" x14ac:dyDescent="0.3">
      <c r="C20" s="132"/>
      <c r="D20" s="133" t="s">
        <v>232</v>
      </c>
      <c r="E20" s="134">
        <f>VLOOKUP($D$17,'9-1'!$A$4:$I$7,$H$20:$H$25)</f>
        <v>15</v>
      </c>
      <c r="F20" s="132"/>
      <c r="G20" s="131"/>
      <c r="H20" s="139">
        <v>4</v>
      </c>
    </row>
    <row r="21" spans="3:8" ht="15" customHeight="1" thickTop="1" thickBot="1" x14ac:dyDescent="0.3">
      <c r="C21" s="132"/>
      <c r="D21" s="133" t="s">
        <v>262</v>
      </c>
      <c r="E21" s="134">
        <f>VLOOKUP($D$17,'9-1'!$A$4:$I$7,$H$21:$H$25)</f>
        <v>12</v>
      </c>
      <c r="F21" s="132"/>
      <c r="G21" s="131"/>
      <c r="H21" s="139">
        <v>5</v>
      </c>
    </row>
    <row r="22" spans="3:8" ht="15" customHeight="1" thickTop="1" thickBot="1" x14ac:dyDescent="0.3">
      <c r="C22" s="132"/>
      <c r="D22" s="133" t="s">
        <v>263</v>
      </c>
      <c r="E22" s="134">
        <f>VLOOKUP($D$17,'9-1'!$A$4:$I$7,$H$22:$H$25)</f>
        <v>11</v>
      </c>
      <c r="F22" s="132"/>
      <c r="G22" s="131"/>
      <c r="H22" s="139">
        <v>6</v>
      </c>
    </row>
    <row r="23" spans="3:8" ht="16.5" thickTop="1" thickBot="1" x14ac:dyDescent="0.3">
      <c r="C23" s="132"/>
      <c r="D23" s="132"/>
      <c r="E23" s="133" t="s">
        <v>264</v>
      </c>
      <c r="F23" s="135">
        <f>VLOOKUP($D$17,'9-1'!$A$4:$I$7,$H$23:$H$25)</f>
        <v>12.666666666666666</v>
      </c>
      <c r="G23" s="131"/>
      <c r="H23" s="139">
        <v>7</v>
      </c>
    </row>
    <row r="24" spans="3:8" ht="16.5" thickTop="1" thickBot="1" x14ac:dyDescent="0.3">
      <c r="C24" s="132"/>
      <c r="D24" s="132"/>
      <c r="E24" s="133" t="s">
        <v>265</v>
      </c>
      <c r="F24" s="134" t="str">
        <f>VLOOKUP($D$17,'9-1'!$A$4:$I$7,$H$24:$H$25)</f>
        <v>Admis</v>
      </c>
      <c r="G24" s="131"/>
      <c r="H24" s="139">
        <v>8</v>
      </c>
    </row>
    <row r="25" spans="3:8" ht="16.5" thickTop="1" thickBot="1" x14ac:dyDescent="0.3">
      <c r="C25" s="132"/>
      <c r="D25" s="132"/>
      <c r="E25" s="133" t="s">
        <v>216</v>
      </c>
      <c r="F25" s="134" t="str">
        <f>VLOOKUP($D$17,'9-1'!$A$4:$I$7,$H$25:$H$25)</f>
        <v>Passable</v>
      </c>
      <c r="G25" s="131"/>
      <c r="H25" s="139">
        <v>9</v>
      </c>
    </row>
    <row r="26" spans="3:8" ht="15.75" thickTop="1" x14ac:dyDescent="0.25">
      <c r="C26" s="131"/>
      <c r="D26" s="131"/>
      <c r="E26" s="131"/>
      <c r="F26" s="131"/>
      <c r="G26" s="131"/>
      <c r="H26" s="138"/>
    </row>
  </sheetData>
  <mergeCells count="3">
    <mergeCell ref="A1:D1"/>
    <mergeCell ref="G1:K1"/>
    <mergeCell ref="C15:H15"/>
  </mergeCells>
  <dataValidations count="1">
    <dataValidation type="list" allowBlank="1" showInputMessage="1" showErrorMessage="1" sqref="D17">
      <formula1>$A$4:$A$7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'9-1'!$A$4:$A$7</xm:f>
          </x14:formula1>
          <xm:sqref>H3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A1:G13"/>
  <sheetViews>
    <sheetView workbookViewId="0">
      <selection activeCell="A3" sqref="A3"/>
    </sheetView>
  </sheetViews>
  <sheetFormatPr baseColWidth="10" defaultColWidth="9" defaultRowHeight="14.25" x14ac:dyDescent="0.2"/>
  <cols>
    <col min="1" max="1" width="20.25" customWidth="1"/>
    <col min="2" max="5" width="11.375" customWidth="1"/>
    <col min="6" max="6" width="9.25" customWidth="1"/>
    <col min="7" max="7" width="13.75" customWidth="1"/>
    <col min="8" max="8" width="11.375" customWidth="1"/>
  </cols>
  <sheetData>
    <row r="1" spans="1:7" ht="18" x14ac:dyDescent="0.25">
      <c r="A1" s="265" t="s">
        <v>295</v>
      </c>
      <c r="B1" s="265"/>
      <c r="C1" s="265"/>
      <c r="D1" s="265"/>
      <c r="E1" s="265"/>
      <c r="F1" s="265"/>
      <c r="G1" s="265"/>
    </row>
    <row r="2" spans="1:7" ht="18.75" thickBot="1" x14ac:dyDescent="0.3">
      <c r="A2" s="264" t="s">
        <v>296</v>
      </c>
      <c r="B2" s="264"/>
      <c r="C2" s="264"/>
      <c r="D2" s="264"/>
      <c r="E2" s="264"/>
      <c r="F2" s="264"/>
      <c r="G2" s="264"/>
    </row>
    <row r="3" spans="1:7" ht="33" thickTop="1" thickBot="1" x14ac:dyDescent="0.25">
      <c r="A3" s="142" t="s">
        <v>2</v>
      </c>
      <c r="B3" s="142" t="s">
        <v>288</v>
      </c>
      <c r="C3" s="142" t="s">
        <v>290</v>
      </c>
      <c r="D3" s="142" t="s">
        <v>298</v>
      </c>
      <c r="E3" s="142" t="s">
        <v>289</v>
      </c>
      <c r="F3" s="142" t="s">
        <v>291</v>
      </c>
      <c r="G3" s="142" t="s">
        <v>292</v>
      </c>
    </row>
    <row r="4" spans="1:7" ht="19.5" customHeight="1" thickTop="1" thickBot="1" x14ac:dyDescent="0.25">
      <c r="A4" s="142" t="s">
        <v>5</v>
      </c>
      <c r="B4" s="141">
        <v>2000</v>
      </c>
      <c r="C4" s="141">
        <v>6000</v>
      </c>
      <c r="D4" s="141">
        <v>1000</v>
      </c>
      <c r="E4" s="141">
        <v>4000</v>
      </c>
      <c r="F4" s="141">
        <f>SUM(B4:E4)</f>
        <v>13000</v>
      </c>
      <c r="G4" s="143">
        <f>F4/$F$9</f>
        <v>0.22807017543859648</v>
      </c>
    </row>
    <row r="5" spans="1:7" ht="19.5" customHeight="1" thickTop="1" thickBot="1" x14ac:dyDescent="0.25">
      <c r="A5" s="142" t="s">
        <v>10</v>
      </c>
      <c r="B5" s="141">
        <v>1500</v>
      </c>
      <c r="C5" s="141">
        <v>3000</v>
      </c>
      <c r="D5" s="141">
        <v>1000</v>
      </c>
      <c r="E5" s="141">
        <v>2000</v>
      </c>
      <c r="F5" s="141">
        <f t="shared" ref="F5:F8" si="0">SUM(B5:E5)</f>
        <v>7500</v>
      </c>
      <c r="G5" s="143">
        <f t="shared" ref="G5:G8" si="1">F5/$F$9</f>
        <v>0.13157894736842105</v>
      </c>
    </row>
    <row r="6" spans="1:7" ht="19.5" customHeight="1" thickTop="1" thickBot="1" x14ac:dyDescent="0.25">
      <c r="A6" s="142" t="s">
        <v>293</v>
      </c>
      <c r="B6" s="141">
        <v>4000</v>
      </c>
      <c r="C6" s="141">
        <v>2500</v>
      </c>
      <c r="D6" s="141">
        <v>1000</v>
      </c>
      <c r="E6" s="141">
        <v>500</v>
      </c>
      <c r="F6" s="141">
        <f t="shared" si="0"/>
        <v>8000</v>
      </c>
      <c r="G6" s="143">
        <f t="shared" si="1"/>
        <v>0.14035087719298245</v>
      </c>
    </row>
    <row r="7" spans="1:7" ht="19.5" customHeight="1" thickTop="1" thickBot="1" x14ac:dyDescent="0.25">
      <c r="A7" s="142" t="s">
        <v>16</v>
      </c>
      <c r="B7" s="141">
        <v>8000</v>
      </c>
      <c r="C7" s="141">
        <v>2000</v>
      </c>
      <c r="D7" s="141">
        <v>3000</v>
      </c>
      <c r="E7" s="141">
        <v>6000</v>
      </c>
      <c r="F7" s="141">
        <f t="shared" si="0"/>
        <v>19000</v>
      </c>
      <c r="G7" s="143">
        <f t="shared" si="1"/>
        <v>0.33333333333333331</v>
      </c>
    </row>
    <row r="8" spans="1:7" ht="19.5" customHeight="1" thickTop="1" thickBot="1" x14ac:dyDescent="0.25">
      <c r="A8" s="142" t="s">
        <v>6</v>
      </c>
      <c r="B8" s="141">
        <v>2500</v>
      </c>
      <c r="C8" s="141">
        <v>2000</v>
      </c>
      <c r="D8" s="141">
        <v>1000</v>
      </c>
      <c r="E8" s="141">
        <v>4000</v>
      </c>
      <c r="F8" s="141">
        <f t="shared" si="0"/>
        <v>9500</v>
      </c>
      <c r="G8" s="143">
        <f t="shared" si="1"/>
        <v>0.16666666666666666</v>
      </c>
    </row>
    <row r="9" spans="1:7" ht="19.5" customHeight="1" thickTop="1" thickBot="1" x14ac:dyDescent="0.25">
      <c r="A9" s="142" t="s">
        <v>291</v>
      </c>
      <c r="B9" s="141">
        <f>SUM(B4:B8)</f>
        <v>18000</v>
      </c>
      <c r="C9" s="141">
        <f t="shared" ref="C9:E9" si="2">SUM(C4:C8)</f>
        <v>15500</v>
      </c>
      <c r="D9" s="141">
        <f t="shared" si="2"/>
        <v>7000</v>
      </c>
      <c r="E9" s="141">
        <f t="shared" si="2"/>
        <v>16500</v>
      </c>
      <c r="F9" s="144">
        <f>SUM(B9:E9)</f>
        <v>57000</v>
      </c>
      <c r="G9" s="266"/>
    </row>
    <row r="10" spans="1:7" ht="19.5" customHeight="1" thickTop="1" thickBot="1" x14ac:dyDescent="0.25">
      <c r="A10" s="142" t="s">
        <v>51</v>
      </c>
      <c r="B10" s="141">
        <f>AVERAGE(B4:B8)</f>
        <v>3600</v>
      </c>
      <c r="C10" s="141">
        <f t="shared" ref="C10:F10" si="3">AVERAGE(C4:C8)</f>
        <v>3100</v>
      </c>
      <c r="D10" s="141">
        <f t="shared" si="3"/>
        <v>1400</v>
      </c>
      <c r="E10" s="141">
        <f t="shared" si="3"/>
        <v>3300</v>
      </c>
      <c r="F10" s="141">
        <f t="shared" si="3"/>
        <v>11400</v>
      </c>
      <c r="G10" s="267"/>
    </row>
    <row r="11" spans="1:7" ht="19.5" customHeight="1" thickTop="1" thickBot="1" x14ac:dyDescent="0.25">
      <c r="A11" s="142" t="s">
        <v>297</v>
      </c>
      <c r="B11" s="141">
        <f>MAX(B4:B8)</f>
        <v>8000</v>
      </c>
      <c r="C11" s="141">
        <f t="shared" ref="C11:F11" si="4">MAX(C4:C8)</f>
        <v>6000</v>
      </c>
      <c r="D11" s="141">
        <f t="shared" si="4"/>
        <v>3000</v>
      </c>
      <c r="E11" s="141">
        <f t="shared" si="4"/>
        <v>6000</v>
      </c>
      <c r="F11" s="141">
        <f t="shared" si="4"/>
        <v>19000</v>
      </c>
      <c r="G11" s="267"/>
    </row>
    <row r="12" spans="1:7" ht="19.5" customHeight="1" thickTop="1" thickBot="1" x14ac:dyDescent="0.25">
      <c r="A12" s="142" t="s">
        <v>294</v>
      </c>
      <c r="B12" s="141">
        <f>MIN(B4:B8)</f>
        <v>1500</v>
      </c>
      <c r="C12" s="141">
        <f t="shared" ref="C12:F12" si="5">MIN(C4:C8)</f>
        <v>2000</v>
      </c>
      <c r="D12" s="141">
        <f t="shared" si="5"/>
        <v>1000</v>
      </c>
      <c r="E12" s="141">
        <f t="shared" si="5"/>
        <v>500</v>
      </c>
      <c r="F12" s="141">
        <f t="shared" si="5"/>
        <v>7500</v>
      </c>
      <c r="G12" s="267"/>
    </row>
    <row r="13" spans="1:7" ht="15" thickTop="1" x14ac:dyDescent="0.2"/>
  </sheetData>
  <mergeCells count="3">
    <mergeCell ref="A2:G2"/>
    <mergeCell ref="A1:G1"/>
    <mergeCell ref="G9:G1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K18"/>
  <sheetViews>
    <sheetView topLeftCell="B1" workbookViewId="0">
      <selection activeCell="F17" sqref="F17:H17"/>
    </sheetView>
  </sheetViews>
  <sheetFormatPr baseColWidth="10" defaultColWidth="9" defaultRowHeight="14.25" x14ac:dyDescent="0.2"/>
  <cols>
    <col min="1" max="1" width="6.25" customWidth="1"/>
    <col min="2" max="4" width="10.875" customWidth="1"/>
    <col min="5" max="5" width="13.375" customWidth="1"/>
    <col min="6" max="6" width="14" customWidth="1"/>
    <col min="7" max="7" width="10.875" customWidth="1"/>
    <col min="8" max="8" width="14.125" customWidth="1"/>
    <col min="9" max="9" width="12.125" customWidth="1"/>
    <col min="10" max="10" width="10.875" customWidth="1"/>
    <col min="11" max="11" width="20" customWidth="1"/>
    <col min="12" max="12" width="10.875" customWidth="1"/>
  </cols>
  <sheetData>
    <row r="1" spans="1:11" ht="24.75" customHeight="1" thickBot="1" x14ac:dyDescent="0.25">
      <c r="A1" s="273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</row>
    <row r="2" spans="1:11" ht="52.5" customHeight="1" thickTop="1" thickBot="1" x14ac:dyDescent="0.25">
      <c r="A2" s="145"/>
      <c r="B2" s="158" t="s">
        <v>261</v>
      </c>
      <c r="C2" s="159" t="s">
        <v>56</v>
      </c>
      <c r="D2" s="159" t="s">
        <v>57</v>
      </c>
      <c r="E2" s="159" t="s">
        <v>170</v>
      </c>
      <c r="F2" s="159" t="s">
        <v>308</v>
      </c>
      <c r="G2" s="159" t="s">
        <v>309</v>
      </c>
      <c r="H2" s="159" t="s">
        <v>174</v>
      </c>
      <c r="I2" s="159" t="s">
        <v>310</v>
      </c>
      <c r="J2" s="159" t="s">
        <v>311</v>
      </c>
      <c r="K2" s="157" t="s">
        <v>312</v>
      </c>
    </row>
    <row r="3" spans="1:11" ht="23.25" customHeight="1" thickTop="1" thickBot="1" x14ac:dyDescent="0.35">
      <c r="A3" s="270" t="s">
        <v>307</v>
      </c>
      <c r="B3" s="154" t="s">
        <v>299</v>
      </c>
      <c r="C3" s="148" t="s">
        <v>314</v>
      </c>
      <c r="D3" s="148" t="s">
        <v>98</v>
      </c>
      <c r="E3" s="148" t="s">
        <v>183</v>
      </c>
      <c r="F3" s="149">
        <v>208</v>
      </c>
      <c r="G3" s="161">
        <v>120</v>
      </c>
      <c r="H3" s="160">
        <f>F3*G3</f>
        <v>24960</v>
      </c>
      <c r="I3" s="152" t="str">
        <f>IF(F3&gt;200,"25%",IF(F3&gt;180,"15%",IF(F3&gt;150,"8%",IF(F3&gt;90,"5%","2%"))))</f>
        <v>25%</v>
      </c>
      <c r="J3" s="152">
        <f>H3*I3</f>
        <v>6240</v>
      </c>
      <c r="K3" s="152">
        <f>H3+J3</f>
        <v>31200</v>
      </c>
    </row>
    <row r="4" spans="1:11" ht="23.25" customHeight="1" thickTop="1" thickBot="1" x14ac:dyDescent="0.35">
      <c r="A4" s="271"/>
      <c r="B4" s="155" t="s">
        <v>300</v>
      </c>
      <c r="C4" s="147" t="s">
        <v>315</v>
      </c>
      <c r="D4" s="147" t="s">
        <v>180</v>
      </c>
      <c r="E4" s="147" t="s">
        <v>185</v>
      </c>
      <c r="F4" s="146">
        <v>160</v>
      </c>
      <c r="G4" s="162">
        <v>50</v>
      </c>
      <c r="H4" s="160">
        <f t="shared" ref="H4:H10" si="0">F4*G4</f>
        <v>8000</v>
      </c>
      <c r="I4" s="152" t="str">
        <f t="shared" ref="I4:I10" si="1">IF(F4&gt;200,"25%",IF(F4&gt;180,"15%",IF(F4&gt;150,"8%",IF(F4&gt;90,"5%","2%"))))</f>
        <v>8%</v>
      </c>
      <c r="J4" s="152">
        <f t="shared" ref="J4:J10" si="2">H4*I4</f>
        <v>640</v>
      </c>
      <c r="K4" s="152">
        <f t="shared" ref="K4:K10" si="3">H4+J4</f>
        <v>8640</v>
      </c>
    </row>
    <row r="5" spans="1:11" ht="23.25" customHeight="1" thickTop="1" thickBot="1" x14ac:dyDescent="0.35">
      <c r="A5" s="271"/>
      <c r="B5" s="155" t="s">
        <v>301</v>
      </c>
      <c r="C5" s="147" t="s">
        <v>316</v>
      </c>
      <c r="D5" s="147" t="s">
        <v>320</v>
      </c>
      <c r="E5" s="147" t="s">
        <v>185</v>
      </c>
      <c r="F5" s="146">
        <v>100</v>
      </c>
      <c r="G5" s="162">
        <v>80</v>
      </c>
      <c r="H5" s="160">
        <f t="shared" si="0"/>
        <v>8000</v>
      </c>
      <c r="I5" s="152" t="str">
        <f t="shared" si="1"/>
        <v>5%</v>
      </c>
      <c r="J5" s="152">
        <f t="shared" si="2"/>
        <v>400</v>
      </c>
      <c r="K5" s="152">
        <f t="shared" si="3"/>
        <v>8400</v>
      </c>
    </row>
    <row r="6" spans="1:11" ht="23.25" customHeight="1" thickTop="1" thickBot="1" x14ac:dyDescent="0.35">
      <c r="A6" s="271"/>
      <c r="B6" s="155" t="s">
        <v>302</v>
      </c>
      <c r="C6" s="147" t="s">
        <v>88</v>
      </c>
      <c r="D6" s="147" t="s">
        <v>100</v>
      </c>
      <c r="E6" s="147" t="s">
        <v>184</v>
      </c>
      <c r="F6" s="146">
        <v>90</v>
      </c>
      <c r="G6" s="162">
        <v>60</v>
      </c>
      <c r="H6" s="160">
        <f t="shared" si="0"/>
        <v>5400</v>
      </c>
      <c r="I6" s="152" t="str">
        <f t="shared" si="1"/>
        <v>2%</v>
      </c>
      <c r="J6" s="152">
        <f t="shared" si="2"/>
        <v>108</v>
      </c>
      <c r="K6" s="152">
        <f t="shared" si="3"/>
        <v>5508</v>
      </c>
    </row>
    <row r="7" spans="1:11" ht="23.25" customHeight="1" thickTop="1" thickBot="1" x14ac:dyDescent="0.35">
      <c r="A7" s="271"/>
      <c r="B7" s="155" t="s">
        <v>303</v>
      </c>
      <c r="C7" s="147" t="s">
        <v>317</v>
      </c>
      <c r="D7" s="147" t="s">
        <v>104</v>
      </c>
      <c r="E7" s="147" t="s">
        <v>183</v>
      </c>
      <c r="F7" s="146">
        <v>140</v>
      </c>
      <c r="G7" s="162">
        <v>100</v>
      </c>
      <c r="H7" s="160">
        <f t="shared" si="0"/>
        <v>14000</v>
      </c>
      <c r="I7" s="152" t="str">
        <f t="shared" si="1"/>
        <v>5%</v>
      </c>
      <c r="J7" s="152">
        <f t="shared" si="2"/>
        <v>700</v>
      </c>
      <c r="K7" s="152">
        <f t="shared" si="3"/>
        <v>14700</v>
      </c>
    </row>
    <row r="8" spans="1:11" ht="23.25" customHeight="1" thickTop="1" thickBot="1" x14ac:dyDescent="0.35">
      <c r="A8" s="271"/>
      <c r="B8" s="155" t="s">
        <v>304</v>
      </c>
      <c r="C8" s="147" t="s">
        <v>318</v>
      </c>
      <c r="D8" s="147" t="s">
        <v>321</v>
      </c>
      <c r="E8" s="147" t="s">
        <v>183</v>
      </c>
      <c r="F8" s="146">
        <v>70</v>
      </c>
      <c r="G8" s="162">
        <v>75</v>
      </c>
      <c r="H8" s="160">
        <f t="shared" si="0"/>
        <v>5250</v>
      </c>
      <c r="I8" s="152" t="str">
        <f t="shared" si="1"/>
        <v>2%</v>
      </c>
      <c r="J8" s="152">
        <f t="shared" si="2"/>
        <v>105</v>
      </c>
      <c r="K8" s="152">
        <f t="shared" si="3"/>
        <v>5355</v>
      </c>
    </row>
    <row r="9" spans="1:11" ht="23.25" customHeight="1" thickTop="1" thickBot="1" x14ac:dyDescent="0.35">
      <c r="A9" s="271"/>
      <c r="B9" s="155" t="s">
        <v>305</v>
      </c>
      <c r="C9" s="147" t="s">
        <v>319</v>
      </c>
      <c r="D9" s="147" t="s">
        <v>322</v>
      </c>
      <c r="E9" s="147" t="s">
        <v>185</v>
      </c>
      <c r="F9" s="146">
        <v>80</v>
      </c>
      <c r="G9" s="162">
        <v>60</v>
      </c>
      <c r="H9" s="160">
        <f t="shared" si="0"/>
        <v>4800</v>
      </c>
      <c r="I9" s="152" t="str">
        <f t="shared" si="1"/>
        <v>2%</v>
      </c>
      <c r="J9" s="152">
        <f t="shared" si="2"/>
        <v>96</v>
      </c>
      <c r="K9" s="152">
        <f t="shared" si="3"/>
        <v>4896</v>
      </c>
    </row>
    <row r="10" spans="1:11" ht="23.25" customHeight="1" thickTop="1" thickBot="1" x14ac:dyDescent="0.35">
      <c r="A10" s="272"/>
      <c r="B10" s="156" t="s">
        <v>306</v>
      </c>
      <c r="C10" s="150" t="s">
        <v>269</v>
      </c>
      <c r="D10" s="150" t="s">
        <v>323</v>
      </c>
      <c r="E10" s="150" t="s">
        <v>184</v>
      </c>
      <c r="F10" s="151">
        <v>204</v>
      </c>
      <c r="G10" s="163">
        <v>60</v>
      </c>
      <c r="H10" s="160">
        <f t="shared" si="0"/>
        <v>12240</v>
      </c>
      <c r="I10" s="152" t="str">
        <f t="shared" si="1"/>
        <v>25%</v>
      </c>
      <c r="J10" s="152">
        <f t="shared" si="2"/>
        <v>3060</v>
      </c>
      <c r="K10" s="152">
        <f t="shared" si="3"/>
        <v>15300</v>
      </c>
    </row>
    <row r="11" spans="1:11" ht="15.75" thickTop="1" thickBot="1" x14ac:dyDescent="0.25"/>
    <row r="12" spans="1:11" ht="19.5" customHeight="1" thickTop="1" thickBot="1" x14ac:dyDescent="0.25">
      <c r="F12" s="274" t="s">
        <v>324</v>
      </c>
      <c r="G12" s="274"/>
      <c r="H12" s="274"/>
      <c r="I12" s="274"/>
      <c r="J12" s="274"/>
      <c r="K12" s="274"/>
    </row>
    <row r="13" spans="1:11" ht="61.5" customHeight="1" thickTop="1" thickBot="1" x14ac:dyDescent="0.25">
      <c r="F13" s="275" t="s">
        <v>170</v>
      </c>
      <c r="G13" s="275"/>
      <c r="H13" s="275"/>
      <c r="I13" s="164" t="s">
        <v>325</v>
      </c>
      <c r="J13" s="164" t="s">
        <v>326</v>
      </c>
      <c r="K13" s="164" t="s">
        <v>327</v>
      </c>
    </row>
    <row r="14" spans="1:11" ht="21.75" thickTop="1" thickBot="1" x14ac:dyDescent="0.25">
      <c r="F14" s="268" t="s">
        <v>183</v>
      </c>
      <c r="G14" s="268"/>
      <c r="H14" s="268"/>
      <c r="I14" s="153">
        <f>SUMIF($E$3:$E$10,F14,$H$3:$H$10)</f>
        <v>44210</v>
      </c>
      <c r="J14" s="153">
        <f>SUMIF($E$3:$E$10,F14,$J$3:$J$10)</f>
        <v>7045</v>
      </c>
      <c r="K14" s="153">
        <f>SUMIF($E$3:$E$10,F14,$K$3:$K$10)</f>
        <v>51255</v>
      </c>
    </row>
    <row r="15" spans="1:11" ht="21.75" thickTop="1" thickBot="1" x14ac:dyDescent="0.25">
      <c r="F15" s="268" t="s">
        <v>185</v>
      </c>
      <c r="G15" s="268"/>
      <c r="H15" s="268"/>
      <c r="I15" s="153">
        <f>SUMIF($E$3:$E$10,F15,$H$3:$H$10)</f>
        <v>20800</v>
      </c>
      <c r="J15" s="153">
        <f>SUMIF($E$3:$E$10,"Comptable",$J$3:$J$10)</f>
        <v>1136</v>
      </c>
      <c r="K15" s="153">
        <f t="shared" ref="K15:K16" si="4">SUMIF($E$3:$E$10,F15,$K$3:$K$10)</f>
        <v>21936</v>
      </c>
    </row>
    <row r="16" spans="1:11" ht="21.75" thickTop="1" thickBot="1" x14ac:dyDescent="0.25">
      <c r="F16" s="268" t="s">
        <v>184</v>
      </c>
      <c r="G16" s="268"/>
      <c r="H16" s="268"/>
      <c r="I16" s="153">
        <f>SUMIF($E$3:$E$10,F16,$H$3:$H$10)</f>
        <v>17640</v>
      </c>
      <c r="J16" s="153">
        <f>SUMIF($E$5:$E$12,"Secrétaire",$J$5:$J$12)</f>
        <v>3168</v>
      </c>
      <c r="K16" s="153">
        <f t="shared" si="4"/>
        <v>20808</v>
      </c>
    </row>
    <row r="17" spans="6:11" ht="21.75" thickTop="1" thickBot="1" x14ac:dyDescent="0.25">
      <c r="F17" s="269" t="s">
        <v>328</v>
      </c>
      <c r="G17" s="269"/>
      <c r="H17" s="269"/>
      <c r="I17" s="153">
        <f>SUM(I14:I16)</f>
        <v>82650</v>
      </c>
      <c r="J17" s="153">
        <f>SUM(J14:J16)</f>
        <v>11349</v>
      </c>
      <c r="K17" s="153">
        <f>SUM(K14:K16)</f>
        <v>93999</v>
      </c>
    </row>
    <row r="18" spans="6:11" ht="15" thickTop="1" x14ac:dyDescent="0.2"/>
  </sheetData>
  <mergeCells count="8">
    <mergeCell ref="F16:H16"/>
    <mergeCell ref="F17:H17"/>
    <mergeCell ref="A3:A10"/>
    <mergeCell ref="A1:K1"/>
    <mergeCell ref="F12:K12"/>
    <mergeCell ref="F13:H13"/>
    <mergeCell ref="F14:H14"/>
    <mergeCell ref="F15:H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K7"/>
  <sheetViews>
    <sheetView workbookViewId="0">
      <selection activeCell="J30" sqref="J30"/>
    </sheetView>
  </sheetViews>
  <sheetFormatPr baseColWidth="10" defaultRowHeight="14.25" x14ac:dyDescent="0.2"/>
  <cols>
    <col min="8" max="8" width="14.625" customWidth="1"/>
    <col min="9" max="9" width="16.125" customWidth="1"/>
  </cols>
  <sheetData>
    <row r="1" spans="2:11" ht="15" thickBot="1" x14ac:dyDescent="0.25"/>
    <row r="2" spans="2:11" ht="35.25" customHeight="1" thickTop="1" thickBot="1" x14ac:dyDescent="0.25">
      <c r="B2" s="280" t="s">
        <v>261</v>
      </c>
      <c r="C2" s="280" t="s">
        <v>56</v>
      </c>
      <c r="D2" s="280" t="s">
        <v>57</v>
      </c>
      <c r="E2" s="280" t="s">
        <v>331</v>
      </c>
      <c r="F2" s="280" t="s">
        <v>332</v>
      </c>
      <c r="G2" s="280" t="s">
        <v>333</v>
      </c>
      <c r="H2" s="280" t="s">
        <v>355</v>
      </c>
      <c r="I2" s="280" t="s">
        <v>353</v>
      </c>
      <c r="J2" s="280" t="s">
        <v>354</v>
      </c>
      <c r="K2" s="280" t="s">
        <v>334</v>
      </c>
    </row>
    <row r="3" spans="2:11" ht="21" customHeight="1" thickTop="1" thickBot="1" x14ac:dyDescent="0.3">
      <c r="B3" s="281" t="s">
        <v>335</v>
      </c>
      <c r="C3" s="79" t="s">
        <v>97</v>
      </c>
      <c r="D3" s="79" t="s">
        <v>98</v>
      </c>
      <c r="E3" s="79" t="s">
        <v>341</v>
      </c>
      <c r="F3" s="116">
        <v>560</v>
      </c>
      <c r="G3" s="116">
        <v>594</v>
      </c>
      <c r="H3" s="79">
        <f>G3-F3</f>
        <v>34</v>
      </c>
      <c r="I3" s="79">
        <f>IF(H3&lt;30,H3,29)</f>
        <v>29</v>
      </c>
      <c r="J3" s="79">
        <f>H3-I3</f>
        <v>5</v>
      </c>
      <c r="K3" s="279">
        <f>H3/SUM(H3:H6)</f>
        <v>0.23943661971830985</v>
      </c>
    </row>
    <row r="4" spans="2:11" ht="21" customHeight="1" thickTop="1" thickBot="1" x14ac:dyDescent="0.3">
      <c r="B4" s="281" t="s">
        <v>336</v>
      </c>
      <c r="C4" s="79" t="s">
        <v>88</v>
      </c>
      <c r="D4" s="79" t="s">
        <v>101</v>
      </c>
      <c r="E4" s="79" t="s">
        <v>342</v>
      </c>
      <c r="F4" s="116">
        <v>410</v>
      </c>
      <c r="G4" s="116">
        <v>430</v>
      </c>
      <c r="H4" s="79">
        <f t="shared" ref="H4:H6" si="0">G4-F4</f>
        <v>20</v>
      </c>
      <c r="I4" s="79">
        <f t="shared" ref="I4:I6" si="1">IF(H4&lt;30,H4,29)</f>
        <v>20</v>
      </c>
      <c r="J4" s="79">
        <f t="shared" ref="J4:J6" si="2">H4-I4</f>
        <v>0</v>
      </c>
      <c r="K4" s="279">
        <f t="shared" ref="K4:K6" si="3">H4/SUM(H4:H7)</f>
        <v>0.18518518518518517</v>
      </c>
    </row>
    <row r="5" spans="2:11" ht="21" customHeight="1" thickTop="1" thickBot="1" x14ac:dyDescent="0.3">
      <c r="B5" s="281" t="s">
        <v>337</v>
      </c>
      <c r="C5" s="79" t="s">
        <v>339</v>
      </c>
      <c r="D5" s="79" t="s">
        <v>104</v>
      </c>
      <c r="E5" s="79" t="s">
        <v>343</v>
      </c>
      <c r="F5" s="116">
        <v>320</v>
      </c>
      <c r="G5" s="116">
        <v>328</v>
      </c>
      <c r="H5" s="79">
        <f t="shared" si="0"/>
        <v>8</v>
      </c>
      <c r="I5" s="79">
        <f t="shared" si="1"/>
        <v>8</v>
      </c>
      <c r="J5" s="79">
        <f t="shared" si="2"/>
        <v>0</v>
      </c>
      <c r="K5" s="279">
        <f t="shared" si="3"/>
        <v>9.0909090909090912E-2</v>
      </c>
    </row>
    <row r="6" spans="2:11" ht="21" customHeight="1" thickTop="1" thickBot="1" x14ac:dyDescent="0.3">
      <c r="B6" s="281" t="s">
        <v>338</v>
      </c>
      <c r="C6" s="79" t="s">
        <v>95</v>
      </c>
      <c r="D6" s="79" t="s">
        <v>340</v>
      </c>
      <c r="E6" s="79" t="s">
        <v>344</v>
      </c>
      <c r="F6" s="116">
        <v>500</v>
      </c>
      <c r="G6" s="116">
        <v>580</v>
      </c>
      <c r="H6" s="79">
        <f t="shared" si="0"/>
        <v>80</v>
      </c>
      <c r="I6" s="79">
        <f t="shared" si="1"/>
        <v>29</v>
      </c>
      <c r="J6" s="79">
        <f t="shared" si="2"/>
        <v>51</v>
      </c>
      <c r="K6" s="279">
        <f t="shared" si="3"/>
        <v>1</v>
      </c>
    </row>
    <row r="7" spans="2:11" ht="15" thickTop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I13"/>
  <sheetViews>
    <sheetView zoomScale="120" zoomScaleNormal="120" workbookViewId="0">
      <selection activeCell="F4" sqref="F4:H6"/>
    </sheetView>
  </sheetViews>
  <sheetFormatPr baseColWidth="10" defaultRowHeight="14.25" x14ac:dyDescent="0.2"/>
  <cols>
    <col min="4" max="4" width="21.875" customWidth="1"/>
    <col min="7" max="7" width="13.25" customWidth="1"/>
    <col min="8" max="8" width="16.25" customWidth="1"/>
  </cols>
  <sheetData>
    <row r="1" spans="2:9" x14ac:dyDescent="0.2">
      <c r="C1" s="276" t="s">
        <v>346</v>
      </c>
      <c r="D1" s="277"/>
    </row>
    <row r="2" spans="2:9" ht="15" thickBot="1" x14ac:dyDescent="0.25">
      <c r="C2" s="278"/>
      <c r="D2" s="278"/>
    </row>
    <row r="3" spans="2:9" ht="20.25" customHeight="1" thickTop="1" thickBot="1" x14ac:dyDescent="0.3">
      <c r="B3" s="282" t="s">
        <v>345</v>
      </c>
      <c r="C3" s="283" t="s">
        <v>261</v>
      </c>
      <c r="D3" s="284" t="s">
        <v>338</v>
      </c>
      <c r="F3" t="s">
        <v>358</v>
      </c>
    </row>
    <row r="4" spans="2:9" ht="20.25" customHeight="1" thickTop="1" thickBot="1" x14ac:dyDescent="0.3">
      <c r="B4" s="282"/>
      <c r="C4" s="283" t="s">
        <v>56</v>
      </c>
      <c r="D4" s="284" t="str">
        <f>VLOOKUP($D$3,'12-1'!$B$3:$K$6,2)</f>
        <v>SAFI</v>
      </c>
      <c r="F4" s="277" t="s">
        <v>357</v>
      </c>
      <c r="G4" s="277"/>
      <c r="H4" s="277"/>
    </row>
    <row r="5" spans="2:9" ht="20.25" customHeight="1" thickTop="1" thickBot="1" x14ac:dyDescent="0.3">
      <c r="B5" s="282"/>
      <c r="C5" s="283" t="s">
        <v>57</v>
      </c>
      <c r="D5" s="284" t="str">
        <f>VLOOKUP($D$3,'12-1'!$B$3:$K$6,3)</f>
        <v>Achraf</v>
      </c>
      <c r="F5" s="277"/>
      <c r="G5" s="277"/>
      <c r="H5" s="277"/>
    </row>
    <row r="6" spans="2:9" ht="20.25" customHeight="1" thickTop="1" thickBot="1" x14ac:dyDescent="0.3">
      <c r="B6" s="282"/>
      <c r="C6" s="283" t="s">
        <v>331</v>
      </c>
      <c r="D6" s="284" t="str">
        <f>VLOOKUP($D$3,'12-1'!$B$3:$K$6,4)</f>
        <v>Arbaoua</v>
      </c>
      <c r="F6" s="277"/>
      <c r="G6" s="277"/>
      <c r="H6" s="277"/>
    </row>
    <row r="7" spans="2:9" ht="15.75" thickTop="1" thickBot="1" x14ac:dyDescent="0.25"/>
    <row r="8" spans="2:9" ht="33.75" thickTop="1" thickBot="1" x14ac:dyDescent="0.25">
      <c r="B8" s="280" t="s">
        <v>332</v>
      </c>
      <c r="C8" s="280" t="s">
        <v>333</v>
      </c>
      <c r="D8" s="280" t="s">
        <v>353</v>
      </c>
      <c r="E8" s="280" t="s">
        <v>347</v>
      </c>
      <c r="F8" s="280" t="s">
        <v>356</v>
      </c>
      <c r="G8" s="280" t="s">
        <v>354</v>
      </c>
      <c r="H8" s="280" t="s">
        <v>348</v>
      </c>
      <c r="I8" s="280" t="s">
        <v>349</v>
      </c>
    </row>
    <row r="9" spans="2:9" ht="26.25" customHeight="1" thickTop="1" thickBot="1" x14ac:dyDescent="0.25">
      <c r="B9" s="165">
        <f>VLOOKUP($D$3,'12-1'!$B$3:$K$6,5)</f>
        <v>500</v>
      </c>
      <c r="C9" s="165">
        <f>VLOOKUP($D$3,'12-1'!$B$3:$K$6,6)</f>
        <v>580</v>
      </c>
      <c r="D9" s="165">
        <f>VLOOKUP($D$3,'12-1'!$B$3:$K$6,8)</f>
        <v>29</v>
      </c>
      <c r="E9" s="165">
        <v>2</v>
      </c>
      <c r="F9" s="165">
        <f>D9*E9</f>
        <v>58</v>
      </c>
      <c r="G9" s="165">
        <f>VLOOKUP($D$3,'12-1'!$B$3:$K$6,9)</f>
        <v>51</v>
      </c>
      <c r="H9" s="165">
        <v>6</v>
      </c>
      <c r="I9" s="165">
        <f>G9*H9</f>
        <v>306</v>
      </c>
    </row>
    <row r="10" spans="2:9" ht="15.75" thickTop="1" thickBot="1" x14ac:dyDescent="0.25"/>
    <row r="11" spans="2:9" ht="31.5" thickTop="1" thickBot="1" x14ac:dyDescent="0.25">
      <c r="D11" s="280" t="s">
        <v>350</v>
      </c>
      <c r="E11" s="280" t="s">
        <v>351</v>
      </c>
      <c r="F11" s="280" t="s">
        <v>352</v>
      </c>
      <c r="G11" s="280" t="s">
        <v>260</v>
      </c>
    </row>
    <row r="12" spans="2:9" ht="26.25" customHeight="1" thickTop="1" thickBot="1" x14ac:dyDescent="0.25">
      <c r="D12" s="165">
        <f>G9+I9</f>
        <v>357</v>
      </c>
      <c r="E12" s="165">
        <f>D12*15%</f>
        <v>53.55</v>
      </c>
      <c r="F12" s="165">
        <f>D12+E12</f>
        <v>410.55</v>
      </c>
      <c r="G12" s="165" t="str">
        <f>IF(F12&lt;200,"Normal","Warning")</f>
        <v>Warning</v>
      </c>
    </row>
    <row r="13" spans="2:9" ht="15" thickTop="1" x14ac:dyDescent="0.2"/>
  </sheetData>
  <mergeCells count="3">
    <mergeCell ref="B3:B6"/>
    <mergeCell ref="C1:D2"/>
    <mergeCell ref="F4:H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'12-1'!$B$3:$B$6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K23"/>
  <sheetViews>
    <sheetView workbookViewId="0">
      <selection activeCell="A10" sqref="A10"/>
    </sheetView>
  </sheetViews>
  <sheetFormatPr baseColWidth="10" defaultColWidth="11.375" defaultRowHeight="14.25" x14ac:dyDescent="0.2"/>
  <cols>
    <col min="1" max="1" width="18" customWidth="1"/>
    <col min="2" max="2" width="12.875" customWidth="1"/>
    <col min="4" max="4" width="14.75" customWidth="1"/>
    <col min="5" max="5" width="1" customWidth="1"/>
    <col min="8" max="8" width="11.375" customWidth="1"/>
    <col min="9" max="9" width="1.125" customWidth="1"/>
    <col min="11" max="11" width="10.75" customWidth="1"/>
  </cols>
  <sheetData>
    <row r="1" spans="1:11" ht="27" customHeight="1" thickBot="1" x14ac:dyDescent="0.25">
      <c r="B1" s="166" t="s">
        <v>1</v>
      </c>
      <c r="C1" s="166"/>
      <c r="D1" s="166"/>
      <c r="E1" s="166"/>
      <c r="F1" s="166"/>
      <c r="G1" s="166"/>
      <c r="H1" s="166"/>
      <c r="I1" s="166"/>
      <c r="J1" s="166"/>
      <c r="K1" s="166"/>
    </row>
    <row r="2" spans="1:11" ht="29.25" customHeight="1" thickTop="1" thickBot="1" x14ac:dyDescent="0.25">
      <c r="B2" s="167" t="s">
        <v>25</v>
      </c>
      <c r="C2" s="168"/>
      <c r="D2" s="169"/>
      <c r="E2" s="16"/>
      <c r="F2" s="167" t="s">
        <v>26</v>
      </c>
      <c r="G2" s="168"/>
      <c r="H2" s="169"/>
      <c r="I2" s="16"/>
      <c r="J2" s="167" t="s">
        <v>17</v>
      </c>
      <c r="K2" s="169"/>
    </row>
    <row r="3" spans="1:11" ht="30" customHeight="1" thickTop="1" thickBot="1" x14ac:dyDescent="0.25">
      <c r="A3" s="10" t="s">
        <v>2</v>
      </c>
      <c r="B3" s="18" t="s">
        <v>3</v>
      </c>
      <c r="C3" s="18" t="s">
        <v>4</v>
      </c>
      <c r="D3" s="19" t="s">
        <v>330</v>
      </c>
      <c r="E3" s="17"/>
      <c r="F3" s="14" t="s">
        <v>3</v>
      </c>
      <c r="G3" s="20" t="s">
        <v>4</v>
      </c>
      <c r="H3" s="15" t="s">
        <v>329</v>
      </c>
      <c r="I3" s="17"/>
      <c r="J3" s="14" t="s">
        <v>19</v>
      </c>
      <c r="K3" s="15" t="s">
        <v>18</v>
      </c>
    </row>
    <row r="4" spans="1:11" ht="16.5" thickTop="1" thickBot="1" x14ac:dyDescent="0.3">
      <c r="A4" s="9" t="s">
        <v>5</v>
      </c>
      <c r="B4" s="11">
        <v>4000</v>
      </c>
      <c r="C4" s="12">
        <v>1000</v>
      </c>
      <c r="D4" s="13">
        <f>C4*B4</f>
        <v>4000000</v>
      </c>
      <c r="E4" s="1"/>
      <c r="F4" s="11">
        <v>6500</v>
      </c>
      <c r="G4" s="12">
        <v>800</v>
      </c>
      <c r="H4" s="13">
        <f>G4*F4</f>
        <v>5200000</v>
      </c>
      <c r="J4" s="11">
        <f>C4-G4</f>
        <v>200</v>
      </c>
      <c r="K4" s="13">
        <f>B4*J4</f>
        <v>800000</v>
      </c>
    </row>
    <row r="5" spans="1:11" ht="15.75" thickBot="1" x14ac:dyDescent="0.3">
      <c r="A5" s="2" t="s">
        <v>6</v>
      </c>
      <c r="B5" s="4">
        <v>700</v>
      </c>
      <c r="C5" s="5">
        <v>600</v>
      </c>
      <c r="D5" s="13">
        <f t="shared" ref="D5:D15" si="0">C5*B5</f>
        <v>420000</v>
      </c>
      <c r="E5" s="1"/>
      <c r="F5" s="4">
        <v>1000</v>
      </c>
      <c r="G5" s="5">
        <v>500</v>
      </c>
      <c r="H5" s="13">
        <f t="shared" ref="H5:H15" si="1">G5*F5</f>
        <v>500000</v>
      </c>
      <c r="J5" s="11">
        <f t="shared" ref="J5:J15" si="2">C5-G5</f>
        <v>100</v>
      </c>
      <c r="K5" s="13">
        <f t="shared" ref="K5:K15" si="3">B5*J5</f>
        <v>70000</v>
      </c>
    </row>
    <row r="6" spans="1:11" ht="15.75" thickBot="1" x14ac:dyDescent="0.3">
      <c r="A6" s="2" t="s">
        <v>7</v>
      </c>
      <c r="B6" s="4">
        <v>600</v>
      </c>
      <c r="C6" s="5">
        <v>500</v>
      </c>
      <c r="D6" s="13">
        <f t="shared" si="0"/>
        <v>300000</v>
      </c>
      <c r="E6" s="1"/>
      <c r="F6" s="4">
        <v>900</v>
      </c>
      <c r="G6" s="5">
        <v>400</v>
      </c>
      <c r="H6" s="13">
        <f t="shared" si="1"/>
        <v>360000</v>
      </c>
      <c r="J6" s="11">
        <f t="shared" si="2"/>
        <v>100</v>
      </c>
      <c r="K6" s="13">
        <f t="shared" si="3"/>
        <v>60000</v>
      </c>
    </row>
    <row r="7" spans="1:11" ht="15.75" thickBot="1" x14ac:dyDescent="0.3">
      <c r="A7" s="2" t="s">
        <v>8</v>
      </c>
      <c r="B7" s="4">
        <v>70</v>
      </c>
      <c r="C7" s="5">
        <v>900</v>
      </c>
      <c r="D7" s="13">
        <f t="shared" si="0"/>
        <v>63000</v>
      </c>
      <c r="E7" s="1"/>
      <c r="F7" s="4">
        <v>100</v>
      </c>
      <c r="G7" s="5">
        <v>650</v>
      </c>
      <c r="H7" s="13">
        <f t="shared" si="1"/>
        <v>65000</v>
      </c>
      <c r="J7" s="11">
        <f t="shared" si="2"/>
        <v>250</v>
      </c>
      <c r="K7" s="13">
        <f t="shared" si="3"/>
        <v>17500</v>
      </c>
    </row>
    <row r="8" spans="1:11" ht="15.75" thickBot="1" x14ac:dyDescent="0.3">
      <c r="A8" s="2" t="s">
        <v>9</v>
      </c>
      <c r="B8" s="4">
        <v>80</v>
      </c>
      <c r="C8" s="5">
        <v>800</v>
      </c>
      <c r="D8" s="13">
        <f t="shared" si="0"/>
        <v>64000</v>
      </c>
      <c r="E8" s="1"/>
      <c r="F8" s="4">
        <v>100</v>
      </c>
      <c r="G8" s="5">
        <v>700</v>
      </c>
      <c r="H8" s="13">
        <f t="shared" si="1"/>
        <v>70000</v>
      </c>
      <c r="J8" s="11">
        <f t="shared" si="2"/>
        <v>100</v>
      </c>
      <c r="K8" s="13">
        <f t="shared" si="3"/>
        <v>8000</v>
      </c>
    </row>
    <row r="9" spans="1:11" ht="15.75" thickBot="1" x14ac:dyDescent="0.3">
      <c r="A9" s="2" t="s">
        <v>10</v>
      </c>
      <c r="B9" s="4">
        <v>800</v>
      </c>
      <c r="C9" s="5">
        <v>500</v>
      </c>
      <c r="D9" s="13">
        <f t="shared" si="0"/>
        <v>400000</v>
      </c>
      <c r="E9" s="1"/>
      <c r="F9" s="4">
        <v>1200</v>
      </c>
      <c r="G9" s="5">
        <v>450</v>
      </c>
      <c r="H9" s="13">
        <f>G9*F9</f>
        <v>540000</v>
      </c>
      <c r="J9" s="11">
        <f t="shared" si="2"/>
        <v>50</v>
      </c>
      <c r="K9" s="13">
        <f t="shared" si="3"/>
        <v>40000</v>
      </c>
    </row>
    <row r="10" spans="1:11" ht="15.75" thickBot="1" x14ac:dyDescent="0.3">
      <c r="A10" s="2" t="s">
        <v>11</v>
      </c>
      <c r="B10" s="4">
        <v>250</v>
      </c>
      <c r="C10" s="5">
        <v>300</v>
      </c>
      <c r="D10" s="13">
        <f t="shared" si="0"/>
        <v>75000</v>
      </c>
      <c r="E10" s="1"/>
      <c r="F10" s="4">
        <v>400</v>
      </c>
      <c r="G10" s="5">
        <v>300</v>
      </c>
      <c r="H10" s="13">
        <f t="shared" si="1"/>
        <v>120000</v>
      </c>
      <c r="J10" s="11">
        <f t="shared" si="2"/>
        <v>0</v>
      </c>
      <c r="K10" s="13">
        <f t="shared" si="3"/>
        <v>0</v>
      </c>
    </row>
    <row r="11" spans="1:11" ht="15.75" thickBot="1" x14ac:dyDescent="0.3">
      <c r="A11" s="2" t="s">
        <v>12</v>
      </c>
      <c r="B11" s="4">
        <v>500</v>
      </c>
      <c r="C11" s="5">
        <v>400</v>
      </c>
      <c r="D11" s="13">
        <f t="shared" si="0"/>
        <v>200000</v>
      </c>
      <c r="E11" s="1"/>
      <c r="F11" s="4">
        <v>700</v>
      </c>
      <c r="G11" s="5">
        <v>350</v>
      </c>
      <c r="H11" s="13">
        <f t="shared" si="1"/>
        <v>245000</v>
      </c>
      <c r="J11" s="11">
        <f>C11-G11</f>
        <v>50</v>
      </c>
      <c r="K11" s="13">
        <f t="shared" si="3"/>
        <v>25000</v>
      </c>
    </row>
    <row r="12" spans="1:11" ht="15.75" thickBot="1" x14ac:dyDescent="0.3">
      <c r="A12" s="2" t="s">
        <v>13</v>
      </c>
      <c r="B12" s="4">
        <v>180</v>
      </c>
      <c r="C12" s="5">
        <v>250</v>
      </c>
      <c r="D12" s="13">
        <f t="shared" si="0"/>
        <v>45000</v>
      </c>
      <c r="E12" s="1"/>
      <c r="F12" s="4">
        <v>240</v>
      </c>
      <c r="G12" s="5">
        <v>200</v>
      </c>
      <c r="H12" s="13">
        <f t="shared" si="1"/>
        <v>48000</v>
      </c>
      <c r="J12" s="11">
        <f t="shared" si="2"/>
        <v>50</v>
      </c>
      <c r="K12" s="13">
        <f t="shared" si="3"/>
        <v>9000</v>
      </c>
    </row>
    <row r="13" spans="1:11" ht="15.75" thickBot="1" x14ac:dyDescent="0.3">
      <c r="A13" s="2" t="s">
        <v>14</v>
      </c>
      <c r="B13" s="4">
        <v>60</v>
      </c>
      <c r="C13" s="5">
        <v>200</v>
      </c>
      <c r="D13" s="13">
        <f t="shared" si="0"/>
        <v>12000</v>
      </c>
      <c r="E13" s="1"/>
      <c r="F13" s="4">
        <v>90</v>
      </c>
      <c r="G13" s="5">
        <v>180</v>
      </c>
      <c r="H13" s="13">
        <f t="shared" si="1"/>
        <v>16200</v>
      </c>
      <c r="J13" s="11">
        <f t="shared" si="2"/>
        <v>20</v>
      </c>
      <c r="K13" s="13">
        <f t="shared" si="3"/>
        <v>1200</v>
      </c>
    </row>
    <row r="14" spans="1:11" ht="15.75" thickBot="1" x14ac:dyDescent="0.3">
      <c r="A14" s="2" t="s">
        <v>15</v>
      </c>
      <c r="B14" s="4">
        <v>850</v>
      </c>
      <c r="C14" s="5">
        <v>300</v>
      </c>
      <c r="D14" s="13">
        <f t="shared" si="0"/>
        <v>255000</v>
      </c>
      <c r="E14" s="1"/>
      <c r="F14" s="4">
        <v>1200</v>
      </c>
      <c r="G14" s="5">
        <v>260</v>
      </c>
      <c r="H14" s="13">
        <f t="shared" si="1"/>
        <v>312000</v>
      </c>
      <c r="J14" s="11">
        <f t="shared" si="2"/>
        <v>40</v>
      </c>
      <c r="K14" s="13">
        <f t="shared" si="3"/>
        <v>34000</v>
      </c>
    </row>
    <row r="15" spans="1:11" ht="15.75" thickBot="1" x14ac:dyDescent="0.3">
      <c r="A15" s="3" t="s">
        <v>16</v>
      </c>
      <c r="B15" s="6">
        <v>900</v>
      </c>
      <c r="C15" s="7">
        <v>400</v>
      </c>
      <c r="D15" s="8">
        <f t="shared" si="0"/>
        <v>360000</v>
      </c>
      <c r="E15" s="1"/>
      <c r="F15" s="6">
        <v>1400</v>
      </c>
      <c r="G15" s="7">
        <v>320</v>
      </c>
      <c r="H15" s="8">
        <f t="shared" si="1"/>
        <v>448000</v>
      </c>
      <c r="J15" s="6">
        <f t="shared" si="2"/>
        <v>80</v>
      </c>
      <c r="K15" s="8">
        <f t="shared" si="3"/>
        <v>72000</v>
      </c>
    </row>
    <row r="16" spans="1:11" ht="15.75" thickTop="1" thickBot="1" x14ac:dyDescent="0.25"/>
    <row r="17" spans="2:11" ht="17.25" thickTop="1" thickBot="1" x14ac:dyDescent="0.3">
      <c r="B17" s="175" t="s">
        <v>20</v>
      </c>
      <c r="C17" s="175"/>
      <c r="D17" s="175"/>
      <c r="E17" s="175"/>
      <c r="F17" s="176">
        <f>SUM(H4:H15)</f>
        <v>7924200</v>
      </c>
      <c r="G17" s="176"/>
      <c r="H17" s="176"/>
      <c r="I17" s="1"/>
      <c r="J17" s="1"/>
      <c r="K17" s="1"/>
    </row>
    <row r="18" spans="2:11" ht="16.5" thickBot="1" x14ac:dyDescent="0.3">
      <c r="B18" s="174" t="s">
        <v>21</v>
      </c>
      <c r="C18" s="174"/>
      <c r="D18" s="174"/>
      <c r="E18" s="174"/>
      <c r="F18" s="177">
        <f>SUM(D4:D15)</f>
        <v>6194000</v>
      </c>
      <c r="G18" s="177"/>
      <c r="H18" s="177"/>
      <c r="I18" s="1"/>
      <c r="J18" s="1"/>
      <c r="K18" s="1" t="s">
        <v>0</v>
      </c>
    </row>
    <row r="19" spans="2:11" ht="16.5" thickBot="1" x14ac:dyDescent="0.3">
      <c r="B19" s="174" t="s">
        <v>22</v>
      </c>
      <c r="C19" s="174"/>
      <c r="D19" s="174"/>
      <c r="E19" s="174"/>
      <c r="F19" s="177">
        <f>SUM(K4:K15)</f>
        <v>1136700</v>
      </c>
      <c r="G19" s="177"/>
      <c r="H19" s="177"/>
      <c r="I19" s="1"/>
      <c r="J19" s="1"/>
      <c r="K19" s="1"/>
    </row>
    <row r="20" spans="2:11" ht="16.5" thickBot="1" x14ac:dyDescent="0.3">
      <c r="B20" s="173" t="s">
        <v>23</v>
      </c>
      <c r="C20" s="173"/>
      <c r="D20" s="173"/>
      <c r="E20" s="173"/>
      <c r="F20" s="172">
        <v>18000</v>
      </c>
      <c r="G20" s="172"/>
      <c r="H20" s="172"/>
      <c r="I20" s="1"/>
      <c r="J20" s="1"/>
      <c r="K20" s="1"/>
    </row>
    <row r="21" spans="2:11" ht="16.5" thickTop="1" thickBot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ht="16.5" thickTop="1" thickBot="1" x14ac:dyDescent="0.3">
      <c r="B22" s="1"/>
      <c r="C22" s="1"/>
      <c r="D22" s="170" t="s">
        <v>24</v>
      </c>
      <c r="E22" s="170"/>
      <c r="F22" s="170"/>
      <c r="G22" s="170"/>
      <c r="H22" s="171">
        <f>F17-F18+F19-F20</f>
        <v>2848900</v>
      </c>
      <c r="I22" s="171"/>
      <c r="J22" s="171"/>
      <c r="K22" s="171"/>
    </row>
    <row r="23" spans="2:11" ht="15" thickTop="1" x14ac:dyDescent="0.2"/>
  </sheetData>
  <mergeCells count="14">
    <mergeCell ref="B1:K1"/>
    <mergeCell ref="B2:D2"/>
    <mergeCell ref="F2:H2"/>
    <mergeCell ref="D22:G22"/>
    <mergeCell ref="H22:K22"/>
    <mergeCell ref="J2:K2"/>
    <mergeCell ref="F20:H20"/>
    <mergeCell ref="B20:E20"/>
    <mergeCell ref="B19:E19"/>
    <mergeCell ref="B18:E18"/>
    <mergeCell ref="B17:E17"/>
    <mergeCell ref="F17:H17"/>
    <mergeCell ref="F18:H18"/>
    <mergeCell ref="F19:H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M47"/>
  <sheetViews>
    <sheetView workbookViewId="0">
      <selection activeCell="S11" sqref="S11"/>
    </sheetView>
  </sheetViews>
  <sheetFormatPr baseColWidth="10" defaultColWidth="11.375" defaultRowHeight="14.25" x14ac:dyDescent="0.2"/>
  <cols>
    <col min="2" max="2" width="7" customWidth="1"/>
    <col min="3" max="4" width="7.25" customWidth="1"/>
    <col min="5" max="5" width="5.875" customWidth="1"/>
    <col min="6" max="6" width="6.25" customWidth="1"/>
    <col min="7" max="7" width="6.375" customWidth="1"/>
    <col min="8" max="8" width="7.625" customWidth="1"/>
    <col min="9" max="9" width="7.875" customWidth="1"/>
    <col min="10" max="10" width="9.75" customWidth="1"/>
    <col min="11" max="11" width="8.375" customWidth="1"/>
    <col min="12" max="12" width="8.75" customWidth="1"/>
  </cols>
  <sheetData>
    <row r="1" spans="1:12" ht="24.75" customHeight="1" thickBot="1" x14ac:dyDescent="0.25">
      <c r="A1" s="178" t="s">
        <v>54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</row>
    <row r="2" spans="1:12" ht="41.25" customHeight="1" thickTop="1" thickBot="1" x14ac:dyDescent="0.25">
      <c r="A2" s="29" t="s">
        <v>27</v>
      </c>
      <c r="B2" s="33" t="s">
        <v>28</v>
      </c>
      <c r="C2" s="34" t="s">
        <v>29</v>
      </c>
      <c r="D2" s="34" t="s">
        <v>30</v>
      </c>
      <c r="E2" s="34" t="s">
        <v>31</v>
      </c>
      <c r="F2" s="34" t="s">
        <v>32</v>
      </c>
      <c r="G2" s="34" t="s">
        <v>33</v>
      </c>
      <c r="H2" s="34" t="s">
        <v>34</v>
      </c>
      <c r="I2" s="34" t="s">
        <v>35</v>
      </c>
      <c r="J2" s="34" t="s">
        <v>36</v>
      </c>
      <c r="K2" s="34" t="s">
        <v>37</v>
      </c>
      <c r="L2" s="35" t="s">
        <v>38</v>
      </c>
    </row>
    <row r="3" spans="1:12" ht="16.5" thickTop="1" thickBot="1" x14ac:dyDescent="0.3">
      <c r="A3" s="30" t="s">
        <v>39</v>
      </c>
      <c r="B3" s="37">
        <v>4000</v>
      </c>
      <c r="C3" s="38">
        <v>3500</v>
      </c>
      <c r="D3" s="38">
        <v>2500</v>
      </c>
      <c r="E3" s="38">
        <v>6500</v>
      </c>
      <c r="F3" s="38">
        <v>800</v>
      </c>
      <c r="G3" s="38">
        <v>1000</v>
      </c>
      <c r="H3" s="38">
        <v>800</v>
      </c>
      <c r="I3" s="38">
        <v>2000</v>
      </c>
      <c r="J3" s="38">
        <v>1500</v>
      </c>
      <c r="K3" s="38">
        <f>SUM(B3:J3)</f>
        <v>22600</v>
      </c>
      <c r="L3" s="39">
        <f>K3/K16</f>
        <v>0.1034703781704972</v>
      </c>
    </row>
    <row r="4" spans="1:12" ht="16.5" thickTop="1" thickBot="1" x14ac:dyDescent="0.3">
      <c r="A4" s="31" t="s">
        <v>40</v>
      </c>
      <c r="B4" s="40">
        <v>4000</v>
      </c>
      <c r="C4" s="41">
        <v>3500</v>
      </c>
      <c r="D4" s="41">
        <v>2500</v>
      </c>
      <c r="E4" s="41">
        <v>1000</v>
      </c>
      <c r="F4" s="41">
        <v>500</v>
      </c>
      <c r="G4" s="41">
        <v>1000</v>
      </c>
      <c r="H4" s="41">
        <v>800</v>
      </c>
      <c r="I4" s="41">
        <v>2500</v>
      </c>
      <c r="J4" s="41">
        <v>1800</v>
      </c>
      <c r="K4" s="38">
        <f t="shared" ref="K4:K14" si="0">SUM(B4:J4)</f>
        <v>17600</v>
      </c>
      <c r="L4" s="43">
        <f>K4/K16</f>
        <v>8.0578701584104018E-2</v>
      </c>
    </row>
    <row r="5" spans="1:12" ht="16.5" thickTop="1" thickBot="1" x14ac:dyDescent="0.3">
      <c r="A5" s="31" t="s">
        <v>41</v>
      </c>
      <c r="B5" s="40">
        <v>4000</v>
      </c>
      <c r="C5" s="41">
        <v>3500</v>
      </c>
      <c r="D5" s="41">
        <v>2500</v>
      </c>
      <c r="E5" s="41">
        <v>900</v>
      </c>
      <c r="F5" s="41">
        <v>400</v>
      </c>
      <c r="G5" s="41">
        <v>1000</v>
      </c>
      <c r="H5" s="41">
        <v>800</v>
      </c>
      <c r="I5" s="41">
        <v>2500</v>
      </c>
      <c r="J5" s="41">
        <v>1800</v>
      </c>
      <c r="K5" s="38">
        <f t="shared" si="0"/>
        <v>17400</v>
      </c>
      <c r="L5" s="43">
        <f>K5/K16</f>
        <v>7.9663034520648296E-2</v>
      </c>
    </row>
    <row r="6" spans="1:12" ht="16.5" thickTop="1" thickBot="1" x14ac:dyDescent="0.3">
      <c r="A6" s="31" t="s">
        <v>47</v>
      </c>
      <c r="B6" s="40">
        <v>4000</v>
      </c>
      <c r="C6" s="41">
        <v>4000</v>
      </c>
      <c r="D6" s="41">
        <v>2500</v>
      </c>
      <c r="E6" s="41">
        <v>100</v>
      </c>
      <c r="F6" s="41">
        <v>650</v>
      </c>
      <c r="G6" s="41">
        <v>1000</v>
      </c>
      <c r="H6" s="41">
        <v>800</v>
      </c>
      <c r="I6" s="41">
        <v>2500</v>
      </c>
      <c r="J6" s="41">
        <v>1800</v>
      </c>
      <c r="K6" s="38">
        <f t="shared" si="0"/>
        <v>17350</v>
      </c>
      <c r="L6" s="43">
        <f>K6/K16</f>
        <v>7.9434117754784359E-2</v>
      </c>
    </row>
    <row r="7" spans="1:12" ht="16.5" thickTop="1" thickBot="1" x14ac:dyDescent="0.3">
      <c r="A7" s="31" t="s">
        <v>48</v>
      </c>
      <c r="B7" s="40">
        <v>4500</v>
      </c>
      <c r="C7" s="41">
        <v>4000</v>
      </c>
      <c r="D7" s="41">
        <v>2500</v>
      </c>
      <c r="E7" s="41">
        <v>100</v>
      </c>
      <c r="F7" s="41">
        <v>700</v>
      </c>
      <c r="G7" s="41">
        <v>1000</v>
      </c>
      <c r="H7" s="41">
        <v>800</v>
      </c>
      <c r="I7" s="41">
        <v>2500</v>
      </c>
      <c r="J7" s="41">
        <v>1800</v>
      </c>
      <c r="K7" s="38">
        <f t="shared" si="0"/>
        <v>17900</v>
      </c>
      <c r="L7" s="43">
        <f>K7/$K$16</f>
        <v>8.1952202179287614E-2</v>
      </c>
    </row>
    <row r="8" spans="1:12" ht="16.5" thickTop="1" thickBot="1" x14ac:dyDescent="0.3">
      <c r="A8" s="31" t="s">
        <v>42</v>
      </c>
      <c r="B8" s="40">
        <v>4500</v>
      </c>
      <c r="C8" s="41">
        <v>4000</v>
      </c>
      <c r="D8" s="41">
        <v>2500</v>
      </c>
      <c r="E8" s="41">
        <v>1200</v>
      </c>
      <c r="F8" s="41">
        <v>450</v>
      </c>
      <c r="G8" s="41">
        <v>1500</v>
      </c>
      <c r="H8" s="41">
        <v>800</v>
      </c>
      <c r="I8" s="41">
        <v>2500</v>
      </c>
      <c r="J8" s="41">
        <v>1800</v>
      </c>
      <c r="K8" s="38">
        <f t="shared" si="0"/>
        <v>19250</v>
      </c>
      <c r="L8" s="43">
        <f t="shared" ref="L8:L14" si="1">K8/$K$16</f>
        <v>8.8132954857613771E-2</v>
      </c>
    </row>
    <row r="9" spans="1:12" ht="16.5" thickTop="1" thickBot="1" x14ac:dyDescent="0.3">
      <c r="A9" s="31" t="s">
        <v>43</v>
      </c>
      <c r="B9" s="40">
        <v>4500</v>
      </c>
      <c r="C9" s="41">
        <v>3500</v>
      </c>
      <c r="D9" s="41">
        <v>2500</v>
      </c>
      <c r="E9" s="41">
        <v>400</v>
      </c>
      <c r="F9" s="41">
        <v>300</v>
      </c>
      <c r="G9" s="41">
        <v>1500</v>
      </c>
      <c r="H9" s="41">
        <v>1000</v>
      </c>
      <c r="I9" s="41">
        <v>2000</v>
      </c>
      <c r="J9" s="41">
        <v>1800</v>
      </c>
      <c r="K9" s="38">
        <f t="shared" si="0"/>
        <v>17500</v>
      </c>
      <c r="L9" s="43">
        <f t="shared" si="1"/>
        <v>8.0120868052376157E-2</v>
      </c>
    </row>
    <row r="10" spans="1:12" ht="16.5" thickTop="1" thickBot="1" x14ac:dyDescent="0.3">
      <c r="A10" s="31" t="s">
        <v>44</v>
      </c>
      <c r="B10" s="40">
        <v>4500</v>
      </c>
      <c r="C10" s="41">
        <v>3500</v>
      </c>
      <c r="D10" s="41">
        <v>3000</v>
      </c>
      <c r="E10" s="41">
        <v>700</v>
      </c>
      <c r="F10" s="41">
        <v>350</v>
      </c>
      <c r="G10" s="41">
        <v>1500</v>
      </c>
      <c r="H10" s="41">
        <v>1000</v>
      </c>
      <c r="I10" s="41">
        <v>2000</v>
      </c>
      <c r="J10" s="41">
        <v>1800</v>
      </c>
      <c r="K10" s="38">
        <f t="shared" si="0"/>
        <v>18350</v>
      </c>
      <c r="L10" s="43">
        <f t="shared" si="1"/>
        <v>8.4012453072062995E-2</v>
      </c>
    </row>
    <row r="11" spans="1:12" ht="16.5" thickTop="1" thickBot="1" x14ac:dyDescent="0.3">
      <c r="A11" s="31" t="s">
        <v>45</v>
      </c>
      <c r="B11" s="40">
        <v>4000</v>
      </c>
      <c r="C11" s="41">
        <v>3500</v>
      </c>
      <c r="D11" s="41">
        <v>3000</v>
      </c>
      <c r="E11" s="41">
        <v>240</v>
      </c>
      <c r="F11" s="41">
        <v>200</v>
      </c>
      <c r="G11" s="41">
        <v>1500</v>
      </c>
      <c r="H11" s="41">
        <v>1000</v>
      </c>
      <c r="I11" s="41">
        <v>2000</v>
      </c>
      <c r="J11" s="41">
        <v>1800</v>
      </c>
      <c r="K11" s="38">
        <f t="shared" si="0"/>
        <v>17240</v>
      </c>
      <c r="L11" s="43">
        <f t="shared" si="1"/>
        <v>7.8930500869883707E-2</v>
      </c>
    </row>
    <row r="12" spans="1:12" ht="16.5" thickTop="1" thickBot="1" x14ac:dyDescent="0.3">
      <c r="A12" s="31" t="s">
        <v>49</v>
      </c>
      <c r="B12" s="40">
        <v>4000</v>
      </c>
      <c r="C12" s="41">
        <v>3500</v>
      </c>
      <c r="D12" s="41">
        <v>3000</v>
      </c>
      <c r="E12" s="41">
        <v>90</v>
      </c>
      <c r="F12" s="41">
        <v>180</v>
      </c>
      <c r="G12" s="41">
        <v>1000</v>
      </c>
      <c r="H12" s="41">
        <v>1000</v>
      </c>
      <c r="I12" s="41">
        <v>2000</v>
      </c>
      <c r="J12" s="41">
        <v>1500</v>
      </c>
      <c r="K12" s="38">
        <f t="shared" si="0"/>
        <v>16270</v>
      </c>
      <c r="L12" s="43">
        <f t="shared" si="1"/>
        <v>7.4489515612123428E-2</v>
      </c>
    </row>
    <row r="13" spans="1:12" ht="16.5" thickTop="1" thickBot="1" x14ac:dyDescent="0.3">
      <c r="A13" s="31" t="s">
        <v>55</v>
      </c>
      <c r="B13" s="40">
        <v>4000</v>
      </c>
      <c r="C13" s="41">
        <v>3500</v>
      </c>
      <c r="D13" s="41">
        <v>3000</v>
      </c>
      <c r="E13" s="41">
        <v>1200</v>
      </c>
      <c r="F13" s="41">
        <v>260</v>
      </c>
      <c r="G13" s="41">
        <v>1000</v>
      </c>
      <c r="H13" s="41">
        <v>1000</v>
      </c>
      <c r="I13" s="41">
        <v>2500</v>
      </c>
      <c r="J13" s="41">
        <v>1500</v>
      </c>
      <c r="K13" s="38">
        <f t="shared" si="0"/>
        <v>17960</v>
      </c>
      <c r="L13" s="43">
        <f t="shared" si="1"/>
        <v>8.2226902298324328E-2</v>
      </c>
    </row>
    <row r="14" spans="1:12" ht="16.5" thickTop="1" thickBot="1" x14ac:dyDescent="0.3">
      <c r="A14" s="32" t="s">
        <v>46</v>
      </c>
      <c r="B14" s="44">
        <v>4500</v>
      </c>
      <c r="C14" s="42">
        <v>4000</v>
      </c>
      <c r="D14" s="42">
        <v>3000</v>
      </c>
      <c r="E14" s="42">
        <v>1200</v>
      </c>
      <c r="F14" s="42">
        <v>300</v>
      </c>
      <c r="G14" s="42">
        <v>1000</v>
      </c>
      <c r="H14" s="42">
        <v>1000</v>
      </c>
      <c r="I14" s="42">
        <v>2500</v>
      </c>
      <c r="J14" s="42">
        <v>1500</v>
      </c>
      <c r="K14" s="38">
        <f t="shared" si="0"/>
        <v>19000</v>
      </c>
      <c r="L14" s="43">
        <f t="shared" si="1"/>
        <v>8.6988371028294112E-2</v>
      </c>
    </row>
    <row r="15" spans="1:12" ht="15.75" thickTop="1" thickBot="1" x14ac:dyDescent="0.25"/>
    <row r="16" spans="1:12" ht="16.5" thickTop="1" thickBot="1" x14ac:dyDescent="0.25">
      <c r="A16" s="26" t="s">
        <v>50</v>
      </c>
      <c r="B16" s="23">
        <f>SUM(B3:B14)</f>
        <v>50500</v>
      </c>
      <c r="C16" s="23">
        <f t="shared" ref="C16:J16" si="2">SUM(C3:C14)</f>
        <v>44000</v>
      </c>
      <c r="D16" s="23">
        <f t="shared" si="2"/>
        <v>32500</v>
      </c>
      <c r="E16" s="23">
        <f t="shared" si="2"/>
        <v>13630</v>
      </c>
      <c r="F16" s="23">
        <f t="shared" si="2"/>
        <v>5090</v>
      </c>
      <c r="G16" s="23">
        <f t="shared" si="2"/>
        <v>14000</v>
      </c>
      <c r="H16" s="23">
        <f t="shared" si="2"/>
        <v>10800</v>
      </c>
      <c r="I16" s="23">
        <f t="shared" si="2"/>
        <v>27500</v>
      </c>
      <c r="J16" s="23">
        <f t="shared" si="2"/>
        <v>20400</v>
      </c>
      <c r="K16" s="23">
        <f>SUM(K3:K14)</f>
        <v>218420</v>
      </c>
    </row>
    <row r="17" spans="1:13" ht="16.5" thickTop="1" thickBot="1" x14ac:dyDescent="0.25">
      <c r="A17" s="27" t="s">
        <v>38</v>
      </c>
      <c r="B17" s="36">
        <f>B16/$K$16</f>
        <v>0.23120593352257118</v>
      </c>
      <c r="C17" s="36">
        <f t="shared" ref="C17:K17" si="3">C16/$K$16</f>
        <v>0.20144675396026004</v>
      </c>
      <c r="D17" s="36">
        <f t="shared" si="3"/>
        <v>0.14879589781155572</v>
      </c>
      <c r="E17" s="36">
        <f t="shared" si="3"/>
        <v>6.2402710374507828E-2</v>
      </c>
      <c r="F17" s="36">
        <f t="shared" si="3"/>
        <v>2.3303726764948265E-2</v>
      </c>
      <c r="G17" s="36">
        <f t="shared" si="3"/>
        <v>6.4096694441900928E-2</v>
      </c>
      <c r="H17" s="36">
        <f t="shared" si="3"/>
        <v>4.9446021426609282E-2</v>
      </c>
      <c r="I17" s="36">
        <f t="shared" si="3"/>
        <v>0.12590422122516254</v>
      </c>
      <c r="J17" s="36">
        <f t="shared" si="3"/>
        <v>9.3398040472484206E-2</v>
      </c>
      <c r="K17" s="36">
        <f t="shared" si="3"/>
        <v>1</v>
      </c>
    </row>
    <row r="18" spans="1:13" ht="16.5" thickTop="1" thickBot="1" x14ac:dyDescent="0.25">
      <c r="A18" s="27" t="s">
        <v>51</v>
      </c>
      <c r="B18" s="24">
        <f>AVERAGE(B3:B14)</f>
        <v>4208.333333333333</v>
      </c>
      <c r="C18" s="24">
        <f t="shared" ref="C18:K18" si="4">AVERAGE(C3:C14)</f>
        <v>3666.6666666666665</v>
      </c>
      <c r="D18" s="24">
        <f t="shared" si="4"/>
        <v>2708.3333333333335</v>
      </c>
      <c r="E18" s="24">
        <f t="shared" si="4"/>
        <v>1135.8333333333333</v>
      </c>
      <c r="F18" s="24">
        <f t="shared" si="4"/>
        <v>424.16666666666669</v>
      </c>
      <c r="G18" s="24">
        <f t="shared" si="4"/>
        <v>1166.6666666666667</v>
      </c>
      <c r="H18" s="24">
        <f t="shared" si="4"/>
        <v>900</v>
      </c>
      <c r="I18" s="24">
        <f t="shared" si="4"/>
        <v>2291.6666666666665</v>
      </c>
      <c r="J18" s="24">
        <f t="shared" si="4"/>
        <v>1700</v>
      </c>
      <c r="K18" s="24">
        <f t="shared" si="4"/>
        <v>18201.666666666668</v>
      </c>
    </row>
    <row r="19" spans="1:13" ht="16.5" thickTop="1" thickBot="1" x14ac:dyDescent="0.25">
      <c r="A19" s="27" t="s">
        <v>52</v>
      </c>
      <c r="B19" s="24">
        <f>MAX(B3:B14)</f>
        <v>4500</v>
      </c>
      <c r="C19" s="24">
        <f t="shared" ref="C19:J19" si="5">MAX(C3:C14)</f>
        <v>4000</v>
      </c>
      <c r="D19" s="24">
        <f t="shared" si="5"/>
        <v>3000</v>
      </c>
      <c r="E19" s="24">
        <f t="shared" si="5"/>
        <v>6500</v>
      </c>
      <c r="F19" s="24">
        <f t="shared" si="5"/>
        <v>800</v>
      </c>
      <c r="G19" s="24">
        <f t="shared" si="5"/>
        <v>1500</v>
      </c>
      <c r="H19" s="24">
        <f t="shared" si="5"/>
        <v>1000</v>
      </c>
      <c r="I19" s="24">
        <f t="shared" si="5"/>
        <v>2500</v>
      </c>
      <c r="J19" s="24">
        <f t="shared" si="5"/>
        <v>1800</v>
      </c>
      <c r="K19" s="24">
        <f>MAX(K3:K14)</f>
        <v>22600</v>
      </c>
    </row>
    <row r="20" spans="1:13" ht="16.5" thickTop="1" thickBot="1" x14ac:dyDescent="0.25">
      <c r="A20" s="28" t="s">
        <v>53</v>
      </c>
      <c r="B20" s="25">
        <f>MIN(B3:B14)</f>
        <v>4000</v>
      </c>
      <c r="C20" s="25">
        <f t="shared" ref="C20:K20" si="6">MIN(C3:C14)</f>
        <v>3500</v>
      </c>
      <c r="D20" s="25">
        <f t="shared" si="6"/>
        <v>2500</v>
      </c>
      <c r="E20" s="25">
        <f t="shared" si="6"/>
        <v>90</v>
      </c>
      <c r="F20" s="25">
        <f t="shared" si="6"/>
        <v>180</v>
      </c>
      <c r="G20" s="25">
        <f t="shared" si="6"/>
        <v>1000</v>
      </c>
      <c r="H20" s="25">
        <f t="shared" si="6"/>
        <v>800</v>
      </c>
      <c r="I20" s="25">
        <f t="shared" si="6"/>
        <v>2000</v>
      </c>
      <c r="J20" s="25">
        <f t="shared" si="6"/>
        <v>1500</v>
      </c>
      <c r="K20" s="25">
        <f t="shared" si="6"/>
        <v>16270</v>
      </c>
      <c r="M20" s="21"/>
    </row>
    <row r="21" spans="1:13" ht="15" thickTop="1" x14ac:dyDescent="0.2">
      <c r="M21" s="21"/>
    </row>
    <row r="22" spans="1:13" x14ac:dyDescent="0.2">
      <c r="M22" s="21"/>
    </row>
    <row r="23" spans="1:13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M23" s="21"/>
    </row>
    <row r="24" spans="1:13" x14ac:dyDescent="0.2">
      <c r="M24" s="21"/>
    </row>
    <row r="25" spans="1:13" x14ac:dyDescent="0.2">
      <c r="M25" s="21"/>
    </row>
    <row r="26" spans="1:13" x14ac:dyDescent="0.2">
      <c r="M26" s="21"/>
    </row>
    <row r="27" spans="1:13" x14ac:dyDescent="0.2">
      <c r="M27" s="21"/>
    </row>
    <row r="28" spans="1:13" x14ac:dyDescent="0.2">
      <c r="M28" s="21"/>
    </row>
    <row r="29" spans="1:13" x14ac:dyDescent="0.2">
      <c r="M29" s="21"/>
    </row>
    <row r="30" spans="1:13" x14ac:dyDescent="0.2">
      <c r="M30" s="21"/>
    </row>
    <row r="31" spans="1:13" x14ac:dyDescent="0.2">
      <c r="M31" s="21"/>
    </row>
    <row r="32" spans="1:13" x14ac:dyDescent="0.2">
      <c r="M32" s="21"/>
    </row>
    <row r="33" spans="13:13" x14ac:dyDescent="0.2">
      <c r="M33" s="21"/>
    </row>
    <row r="34" spans="13:13" x14ac:dyDescent="0.2">
      <c r="M34" s="21"/>
    </row>
    <row r="35" spans="13:13" x14ac:dyDescent="0.2">
      <c r="M35" s="21"/>
    </row>
    <row r="36" spans="13:13" x14ac:dyDescent="0.2">
      <c r="M36" s="21"/>
    </row>
    <row r="37" spans="13:13" x14ac:dyDescent="0.2">
      <c r="M37" s="21"/>
    </row>
    <row r="38" spans="13:13" x14ac:dyDescent="0.2">
      <c r="M38" s="21"/>
    </row>
    <row r="39" spans="13:13" x14ac:dyDescent="0.2">
      <c r="M39" s="21"/>
    </row>
    <row r="40" spans="13:13" x14ac:dyDescent="0.2">
      <c r="M40" s="21"/>
    </row>
    <row r="41" spans="13:13" x14ac:dyDescent="0.2">
      <c r="M41" s="21"/>
    </row>
    <row r="42" spans="13:13" x14ac:dyDescent="0.2">
      <c r="M42" s="21"/>
    </row>
    <row r="43" spans="13:13" x14ac:dyDescent="0.2">
      <c r="M43" s="21"/>
    </row>
    <row r="44" spans="13:13" x14ac:dyDescent="0.2">
      <c r="M44" s="21"/>
    </row>
    <row r="45" spans="13:13" x14ac:dyDescent="0.2">
      <c r="M45" s="21"/>
    </row>
    <row r="46" spans="13:13" x14ac:dyDescent="0.2">
      <c r="M46" s="21"/>
    </row>
    <row r="47" spans="13:13" x14ac:dyDescent="0.2">
      <c r="M47" s="21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L21"/>
  <sheetViews>
    <sheetView topLeftCell="A3" zoomScale="120" zoomScaleNormal="120" workbookViewId="0"/>
  </sheetViews>
  <sheetFormatPr baseColWidth="10" defaultColWidth="11.375" defaultRowHeight="14.25" x14ac:dyDescent="0.2"/>
  <cols>
    <col min="1" max="1" width="9.875" customWidth="1"/>
    <col min="4" max="4" width="7.25" customWidth="1"/>
    <col min="5" max="5" width="13.875" customWidth="1"/>
    <col min="6" max="6" width="13.25" customWidth="1"/>
    <col min="7" max="8" width="12.875" customWidth="1"/>
  </cols>
  <sheetData>
    <row r="1" spans="1:12" ht="13.5" customHeight="1" x14ac:dyDescent="0.2">
      <c r="A1" s="46"/>
      <c r="B1" s="46"/>
      <c r="C1" s="46"/>
      <c r="D1" s="46"/>
      <c r="E1" s="46"/>
      <c r="F1" s="46"/>
      <c r="G1" s="46"/>
      <c r="H1" s="46"/>
      <c r="I1" s="46"/>
    </row>
    <row r="2" spans="1:12" ht="15.75" customHeight="1" thickBot="1" x14ac:dyDescent="0.25">
      <c r="A2" s="180" t="s">
        <v>116</v>
      </c>
      <c r="B2" s="180"/>
      <c r="C2" s="180"/>
      <c r="D2" s="180"/>
      <c r="E2" s="181">
        <f ca="1">TODAY()</f>
        <v>44679</v>
      </c>
      <c r="F2" s="181"/>
    </row>
    <row r="3" spans="1:12" ht="32.25" customHeight="1" thickTop="1" thickBot="1" x14ac:dyDescent="0.25">
      <c r="A3" s="60" t="s">
        <v>114</v>
      </c>
      <c r="B3" s="61" t="s">
        <v>56</v>
      </c>
      <c r="C3" s="61" t="s">
        <v>57</v>
      </c>
      <c r="D3" s="61" t="s">
        <v>58</v>
      </c>
      <c r="E3" s="61" t="s">
        <v>59</v>
      </c>
      <c r="F3" s="61" t="s">
        <v>60</v>
      </c>
      <c r="G3" s="61" t="s">
        <v>61</v>
      </c>
      <c r="H3" s="61" t="s">
        <v>62</v>
      </c>
      <c r="I3" s="62" t="s">
        <v>63</v>
      </c>
    </row>
    <row r="4" spans="1:12" ht="15.75" thickTop="1" thickBot="1" x14ac:dyDescent="0.25">
      <c r="A4" s="47" t="s">
        <v>64</v>
      </c>
      <c r="B4" s="48" t="s">
        <v>81</v>
      </c>
      <c r="C4" s="48" t="s">
        <v>98</v>
      </c>
      <c r="D4" s="49">
        <v>1</v>
      </c>
      <c r="E4" s="50">
        <v>32854</v>
      </c>
      <c r="F4" s="48">
        <f ca="1">YEAR($E$2)-YEAR(E4)</f>
        <v>33</v>
      </c>
      <c r="G4" s="64">
        <f ca="1">E2+25</f>
        <v>44704</v>
      </c>
      <c r="H4" s="64">
        <f ca="1">IF(D4=1,G4+30,G4+25)</f>
        <v>44734</v>
      </c>
      <c r="I4" s="59">
        <f ca="1">2500+F4*200</f>
        <v>9100</v>
      </c>
    </row>
    <row r="5" spans="1:12" ht="15.75" thickTop="1" thickBot="1" x14ac:dyDescent="0.25">
      <c r="A5" s="51" t="s">
        <v>65</v>
      </c>
      <c r="B5" s="52" t="s">
        <v>82</v>
      </c>
      <c r="C5" s="52" t="s">
        <v>99</v>
      </c>
      <c r="D5" s="53">
        <v>0</v>
      </c>
      <c r="E5" s="54">
        <v>33420</v>
      </c>
      <c r="F5" s="52">
        <f t="shared" ref="F5:F20" ca="1" si="0">YEAR($E$2)-YEAR(E5)</f>
        <v>31</v>
      </c>
      <c r="G5" s="63">
        <f ca="1">G4+15</f>
        <v>44719</v>
      </c>
      <c r="H5" s="64">
        <f t="shared" ref="H5:H20" ca="1" si="1">IF(D5=1,G5+30,G5+25)</f>
        <v>44744</v>
      </c>
      <c r="I5" s="59">
        <f t="shared" ref="I5:I20" ca="1" si="2">2500+F5*200</f>
        <v>8700</v>
      </c>
    </row>
    <row r="6" spans="1:12" ht="15.75" thickTop="1" thickBot="1" x14ac:dyDescent="0.25">
      <c r="A6" s="51" t="s">
        <v>66</v>
      </c>
      <c r="B6" s="52" t="s">
        <v>83</v>
      </c>
      <c r="C6" s="52" t="s">
        <v>100</v>
      </c>
      <c r="D6" s="53">
        <v>0</v>
      </c>
      <c r="E6" s="54">
        <v>31473</v>
      </c>
      <c r="F6" s="52">
        <f t="shared" ca="1" si="0"/>
        <v>36</v>
      </c>
      <c r="G6" s="63">
        <f t="shared" ref="G6:G20" ca="1" si="3">G5+15</f>
        <v>44734</v>
      </c>
      <c r="H6" s="64">
        <f t="shared" ca="1" si="1"/>
        <v>44759</v>
      </c>
      <c r="I6" s="59">
        <f t="shared" ca="1" si="2"/>
        <v>9700</v>
      </c>
    </row>
    <row r="7" spans="1:12" ht="15.75" thickTop="1" thickBot="1" x14ac:dyDescent="0.25">
      <c r="A7" s="51" t="s">
        <v>67</v>
      </c>
      <c r="B7" s="52" t="s">
        <v>84</v>
      </c>
      <c r="C7" s="52" t="s">
        <v>101</v>
      </c>
      <c r="D7" s="53">
        <v>1</v>
      </c>
      <c r="E7" s="54">
        <v>28536</v>
      </c>
      <c r="F7" s="52">
        <f t="shared" ca="1" si="0"/>
        <v>44</v>
      </c>
      <c r="G7" s="63">
        <f t="shared" ca="1" si="3"/>
        <v>44749</v>
      </c>
      <c r="H7" s="64">
        <f t="shared" ca="1" si="1"/>
        <v>44779</v>
      </c>
      <c r="I7" s="59">
        <f t="shared" ca="1" si="2"/>
        <v>11300</v>
      </c>
    </row>
    <row r="8" spans="1:12" ht="15.75" thickTop="1" thickBot="1" x14ac:dyDescent="0.25">
      <c r="A8" s="51" t="s">
        <v>68</v>
      </c>
      <c r="B8" s="52" t="s">
        <v>85</v>
      </c>
      <c r="C8" s="52" t="s">
        <v>102</v>
      </c>
      <c r="D8" s="53">
        <v>1</v>
      </c>
      <c r="E8" s="54">
        <v>32642</v>
      </c>
      <c r="F8" s="52">
        <f t="shared" ca="1" si="0"/>
        <v>33</v>
      </c>
      <c r="G8" s="63">
        <f t="shared" ca="1" si="3"/>
        <v>44764</v>
      </c>
      <c r="H8" s="64">
        <f t="shared" ca="1" si="1"/>
        <v>44794</v>
      </c>
      <c r="I8" s="59">
        <f t="shared" ca="1" si="2"/>
        <v>9100</v>
      </c>
    </row>
    <row r="9" spans="1:12" ht="15.75" thickTop="1" thickBot="1" x14ac:dyDescent="0.25">
      <c r="A9" s="51" t="s">
        <v>69</v>
      </c>
      <c r="B9" s="52" t="s">
        <v>86</v>
      </c>
      <c r="C9" s="52" t="s">
        <v>103</v>
      </c>
      <c r="D9" s="53">
        <v>0</v>
      </c>
      <c r="E9" s="54">
        <v>29568</v>
      </c>
      <c r="F9" s="52">
        <f t="shared" ca="1" si="0"/>
        <v>42</v>
      </c>
      <c r="G9" s="63">
        <f t="shared" ca="1" si="3"/>
        <v>44779</v>
      </c>
      <c r="H9" s="64">
        <f t="shared" ca="1" si="1"/>
        <v>44804</v>
      </c>
      <c r="I9" s="59">
        <f t="shared" ca="1" si="2"/>
        <v>10900</v>
      </c>
      <c r="L9" t="s">
        <v>115</v>
      </c>
    </row>
    <row r="10" spans="1:12" ht="15.75" thickTop="1" thickBot="1" x14ac:dyDescent="0.25">
      <c r="A10" s="51" t="s">
        <v>70</v>
      </c>
      <c r="B10" s="52" t="s">
        <v>87</v>
      </c>
      <c r="C10" s="52" t="s">
        <v>104</v>
      </c>
      <c r="D10" s="53">
        <v>1</v>
      </c>
      <c r="E10" s="54">
        <v>33343</v>
      </c>
      <c r="F10" s="52">
        <f t="shared" ca="1" si="0"/>
        <v>31</v>
      </c>
      <c r="G10" s="63">
        <f t="shared" ca="1" si="3"/>
        <v>44794</v>
      </c>
      <c r="H10" s="64">
        <f t="shared" ca="1" si="1"/>
        <v>44824</v>
      </c>
      <c r="I10" s="59">
        <f t="shared" ca="1" si="2"/>
        <v>8700</v>
      </c>
    </row>
    <row r="11" spans="1:12" ht="15.75" thickTop="1" thickBot="1" x14ac:dyDescent="0.25">
      <c r="A11" s="51" t="s">
        <v>71</v>
      </c>
      <c r="B11" s="52" t="s">
        <v>88</v>
      </c>
      <c r="C11" s="52" t="s">
        <v>105</v>
      </c>
      <c r="D11" s="53">
        <v>0</v>
      </c>
      <c r="E11" s="54">
        <v>35211</v>
      </c>
      <c r="F11" s="52">
        <f t="shared" ca="1" si="0"/>
        <v>26</v>
      </c>
      <c r="G11" s="63">
        <f t="shared" ca="1" si="3"/>
        <v>44809</v>
      </c>
      <c r="H11" s="64">
        <f t="shared" ca="1" si="1"/>
        <v>44834</v>
      </c>
      <c r="I11" s="59">
        <f t="shared" ca="1" si="2"/>
        <v>7700</v>
      </c>
    </row>
    <row r="12" spans="1:12" ht="15.75" thickTop="1" thickBot="1" x14ac:dyDescent="0.25">
      <c r="A12" s="51" t="s">
        <v>72</v>
      </c>
      <c r="B12" s="52" t="s">
        <v>89</v>
      </c>
      <c r="C12" s="52" t="s">
        <v>106</v>
      </c>
      <c r="D12" s="53">
        <v>1</v>
      </c>
      <c r="E12" s="54">
        <v>31030</v>
      </c>
      <c r="F12" s="52">
        <f t="shared" ca="1" si="0"/>
        <v>38</v>
      </c>
      <c r="G12" s="63">
        <f t="shared" ca="1" si="3"/>
        <v>44824</v>
      </c>
      <c r="H12" s="64">
        <f t="shared" ca="1" si="1"/>
        <v>44854</v>
      </c>
      <c r="I12" s="59">
        <f t="shared" ca="1" si="2"/>
        <v>10100</v>
      </c>
    </row>
    <row r="13" spans="1:12" ht="15.75" thickTop="1" thickBot="1" x14ac:dyDescent="0.25">
      <c r="A13" s="51" t="s">
        <v>73</v>
      </c>
      <c r="B13" s="52" t="s">
        <v>90</v>
      </c>
      <c r="C13" s="52" t="s">
        <v>107</v>
      </c>
      <c r="D13" s="53">
        <v>1</v>
      </c>
      <c r="E13" s="54">
        <v>36144</v>
      </c>
      <c r="F13" s="52">
        <f t="shared" ca="1" si="0"/>
        <v>24</v>
      </c>
      <c r="G13" s="63">
        <f t="shared" ca="1" si="3"/>
        <v>44839</v>
      </c>
      <c r="H13" s="64">
        <f t="shared" ca="1" si="1"/>
        <v>44869</v>
      </c>
      <c r="I13" s="59">
        <f t="shared" ca="1" si="2"/>
        <v>7300</v>
      </c>
    </row>
    <row r="14" spans="1:12" ht="15.75" thickTop="1" thickBot="1" x14ac:dyDescent="0.25">
      <c r="A14" s="51" t="s">
        <v>74</v>
      </c>
      <c r="B14" s="52" t="s">
        <v>91</v>
      </c>
      <c r="C14" s="52" t="s">
        <v>108</v>
      </c>
      <c r="D14" s="53">
        <v>1</v>
      </c>
      <c r="E14" s="54">
        <v>34618</v>
      </c>
      <c r="F14" s="52">
        <f t="shared" ca="1" si="0"/>
        <v>28</v>
      </c>
      <c r="G14" s="63">
        <f t="shared" ca="1" si="3"/>
        <v>44854</v>
      </c>
      <c r="H14" s="64">
        <f t="shared" ca="1" si="1"/>
        <v>44884</v>
      </c>
      <c r="I14" s="59">
        <f t="shared" ca="1" si="2"/>
        <v>8100</v>
      </c>
    </row>
    <row r="15" spans="1:12" ht="15.75" thickTop="1" thickBot="1" x14ac:dyDescent="0.25">
      <c r="A15" s="51" t="s">
        <v>75</v>
      </c>
      <c r="B15" s="52" t="s">
        <v>92</v>
      </c>
      <c r="C15" s="52" t="s">
        <v>109</v>
      </c>
      <c r="D15" s="53">
        <v>0</v>
      </c>
      <c r="E15" s="54">
        <v>31943</v>
      </c>
      <c r="F15" s="52">
        <f t="shared" ca="1" si="0"/>
        <v>35</v>
      </c>
      <c r="G15" s="63">
        <f t="shared" ca="1" si="3"/>
        <v>44869</v>
      </c>
      <c r="H15" s="64">
        <f t="shared" ca="1" si="1"/>
        <v>44894</v>
      </c>
      <c r="I15" s="59">
        <f t="shared" ca="1" si="2"/>
        <v>9500</v>
      </c>
    </row>
    <row r="16" spans="1:12" ht="15.75" thickTop="1" thickBot="1" x14ac:dyDescent="0.25">
      <c r="A16" s="51" t="s">
        <v>76</v>
      </c>
      <c r="B16" s="52" t="s">
        <v>93</v>
      </c>
      <c r="C16" s="52" t="s">
        <v>104</v>
      </c>
      <c r="D16" s="53">
        <v>1</v>
      </c>
      <c r="E16" s="54">
        <v>32885</v>
      </c>
      <c r="F16" s="52">
        <f t="shared" ca="1" si="0"/>
        <v>32</v>
      </c>
      <c r="G16" s="63">
        <f t="shared" ca="1" si="3"/>
        <v>44884</v>
      </c>
      <c r="H16" s="64">
        <f t="shared" ca="1" si="1"/>
        <v>44914</v>
      </c>
      <c r="I16" s="59">
        <f t="shared" ca="1" si="2"/>
        <v>8900</v>
      </c>
    </row>
    <row r="17" spans="1:9" ht="15.75" thickTop="1" thickBot="1" x14ac:dyDescent="0.25">
      <c r="A17" s="51" t="s">
        <v>77</v>
      </c>
      <c r="B17" s="52" t="s">
        <v>94</v>
      </c>
      <c r="C17" s="52" t="s">
        <v>110</v>
      </c>
      <c r="D17" s="53">
        <v>0</v>
      </c>
      <c r="E17" s="54">
        <v>36526</v>
      </c>
      <c r="F17" s="52">
        <f t="shared" ca="1" si="0"/>
        <v>22</v>
      </c>
      <c r="G17" s="63">
        <f t="shared" ca="1" si="3"/>
        <v>44899</v>
      </c>
      <c r="H17" s="64">
        <f t="shared" ca="1" si="1"/>
        <v>44924</v>
      </c>
      <c r="I17" s="59">
        <f t="shared" ca="1" si="2"/>
        <v>6900</v>
      </c>
    </row>
    <row r="18" spans="1:9" ht="15.75" thickTop="1" thickBot="1" x14ac:dyDescent="0.25">
      <c r="A18" s="51" t="s">
        <v>78</v>
      </c>
      <c r="B18" s="52" t="s">
        <v>95</v>
      </c>
      <c r="C18" s="52" t="s">
        <v>111</v>
      </c>
      <c r="D18" s="53">
        <v>1</v>
      </c>
      <c r="E18" s="54">
        <v>33962</v>
      </c>
      <c r="F18" s="52">
        <f t="shared" ca="1" si="0"/>
        <v>30</v>
      </c>
      <c r="G18" s="63">
        <f t="shared" ca="1" si="3"/>
        <v>44914</v>
      </c>
      <c r="H18" s="64">
        <f t="shared" ca="1" si="1"/>
        <v>44944</v>
      </c>
      <c r="I18" s="59">
        <f t="shared" ca="1" si="2"/>
        <v>8500</v>
      </c>
    </row>
    <row r="19" spans="1:9" ht="15.75" thickTop="1" thickBot="1" x14ac:dyDescent="0.25">
      <c r="A19" s="51" t="s">
        <v>79</v>
      </c>
      <c r="B19" s="52" t="s">
        <v>96</v>
      </c>
      <c r="C19" s="52" t="s">
        <v>112</v>
      </c>
      <c r="D19" s="53">
        <v>0</v>
      </c>
      <c r="E19" s="54">
        <v>34318</v>
      </c>
      <c r="F19" s="52">
        <f t="shared" ca="1" si="0"/>
        <v>29</v>
      </c>
      <c r="G19" s="63">
        <f t="shared" ca="1" si="3"/>
        <v>44929</v>
      </c>
      <c r="H19" s="64">
        <f t="shared" ca="1" si="1"/>
        <v>44954</v>
      </c>
      <c r="I19" s="59">
        <f t="shared" ca="1" si="2"/>
        <v>8300</v>
      </c>
    </row>
    <row r="20" spans="1:9" ht="15.75" thickTop="1" thickBot="1" x14ac:dyDescent="0.25">
      <c r="A20" s="55" t="s">
        <v>80</v>
      </c>
      <c r="B20" s="56" t="s">
        <v>97</v>
      </c>
      <c r="C20" s="56" t="s">
        <v>113</v>
      </c>
      <c r="D20" s="57">
        <v>0</v>
      </c>
      <c r="E20" s="58">
        <v>35427</v>
      </c>
      <c r="F20" s="56">
        <f t="shared" ca="1" si="0"/>
        <v>26</v>
      </c>
      <c r="G20" s="63">
        <f t="shared" ca="1" si="3"/>
        <v>44944</v>
      </c>
      <c r="H20" s="64">
        <f t="shared" ca="1" si="1"/>
        <v>44969</v>
      </c>
      <c r="I20" s="59">
        <f t="shared" ca="1" si="2"/>
        <v>7700</v>
      </c>
    </row>
    <row r="21" spans="1:9" ht="15" thickTop="1" x14ac:dyDescent="0.2"/>
  </sheetData>
  <mergeCells count="2">
    <mergeCell ref="A2:D2"/>
    <mergeCell ref="E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1:J28"/>
  <sheetViews>
    <sheetView topLeftCell="B1" workbookViewId="0">
      <selection activeCell="I20" sqref="I20"/>
    </sheetView>
  </sheetViews>
  <sheetFormatPr baseColWidth="10" defaultColWidth="11.375" defaultRowHeight="14.25" x14ac:dyDescent="0.2"/>
  <cols>
    <col min="2" max="2" width="17.625" customWidth="1"/>
    <col min="3" max="3" width="15.625" customWidth="1"/>
    <col min="4" max="4" width="14.625" customWidth="1"/>
    <col min="5" max="5" width="18.125" customWidth="1"/>
    <col min="6" max="6" width="17" customWidth="1"/>
    <col min="7" max="7" width="16.875" customWidth="1"/>
    <col min="8" max="8" width="19.125" customWidth="1"/>
    <col min="9" max="9" width="13" customWidth="1"/>
  </cols>
  <sheetData>
    <row r="1" spans="2:9" ht="21.75" customHeight="1" thickTop="1" thickBot="1" x14ac:dyDescent="0.25">
      <c r="B1" s="185" t="s">
        <v>139</v>
      </c>
      <c r="C1" s="186"/>
      <c r="D1" s="186"/>
      <c r="E1" s="187"/>
    </row>
    <row r="2" spans="2:9" ht="15.75" thickTop="1" thickBot="1" x14ac:dyDescent="0.25">
      <c r="B2" s="24" t="s">
        <v>140</v>
      </c>
      <c r="C2" s="24" t="s">
        <v>141</v>
      </c>
      <c r="D2" s="24" t="s">
        <v>142</v>
      </c>
      <c r="E2" s="24" t="s">
        <v>143</v>
      </c>
    </row>
    <row r="3" spans="2:9" ht="15.75" thickTop="1" thickBot="1" x14ac:dyDescent="0.25">
      <c r="B3" s="24">
        <v>390</v>
      </c>
      <c r="C3" s="24">
        <v>30</v>
      </c>
      <c r="D3" s="24">
        <f>B3-C3</f>
        <v>360</v>
      </c>
      <c r="E3" s="24">
        <f>D3*2</f>
        <v>720</v>
      </c>
    </row>
    <row r="4" spans="2:9" ht="15" thickTop="1" x14ac:dyDescent="0.2"/>
    <row r="5" spans="2:9" ht="15" thickBot="1" x14ac:dyDescent="0.25"/>
    <row r="6" spans="2:9" ht="23.25" customHeight="1" thickTop="1" thickBot="1" x14ac:dyDescent="0.25">
      <c r="B6" s="182" t="s">
        <v>144</v>
      </c>
      <c r="C6" s="184"/>
      <c r="D6" s="184"/>
      <c r="E6" s="183"/>
    </row>
    <row r="7" spans="2:9" ht="15.75" thickTop="1" thickBot="1" x14ac:dyDescent="0.25">
      <c r="B7" s="24" t="s">
        <v>145</v>
      </c>
      <c r="C7" s="24" t="s">
        <v>3</v>
      </c>
      <c r="D7" s="24" t="s">
        <v>146</v>
      </c>
      <c r="E7" s="24" t="s">
        <v>147</v>
      </c>
    </row>
    <row r="8" spans="2:9" ht="15.75" thickTop="1" thickBot="1" x14ac:dyDescent="0.25">
      <c r="B8" s="24" t="s">
        <v>148</v>
      </c>
      <c r="C8" s="24">
        <v>9</v>
      </c>
      <c r="D8" s="24">
        <f>$E$3*H8/I8</f>
        <v>36</v>
      </c>
      <c r="E8" s="24">
        <f>C8*D8</f>
        <v>324</v>
      </c>
      <c r="G8" s="24" t="s">
        <v>148</v>
      </c>
      <c r="H8" s="24">
        <v>1.5</v>
      </c>
      <c r="I8" s="24">
        <v>30</v>
      </c>
    </row>
    <row r="9" spans="2:9" ht="15.75" thickTop="1" thickBot="1" x14ac:dyDescent="0.25">
      <c r="B9" s="24" t="s">
        <v>150</v>
      </c>
      <c r="C9" s="24">
        <v>45</v>
      </c>
      <c r="D9" s="24">
        <f t="shared" ref="D9:D10" si="0">$E$3*H9/I9</f>
        <v>6</v>
      </c>
      <c r="E9" s="24">
        <f t="shared" ref="E9" si="1">C9*D9</f>
        <v>270</v>
      </c>
      <c r="G9" s="24" t="s">
        <v>150</v>
      </c>
      <c r="H9" s="24">
        <v>0.5</v>
      </c>
      <c r="I9" s="24">
        <v>60</v>
      </c>
    </row>
    <row r="10" spans="2:9" ht="15.75" thickTop="1" thickBot="1" x14ac:dyDescent="0.25">
      <c r="B10" s="24" t="s">
        <v>149</v>
      </c>
      <c r="C10" s="24">
        <v>150</v>
      </c>
      <c r="D10" s="24">
        <f t="shared" si="0"/>
        <v>8</v>
      </c>
      <c r="E10" s="24">
        <f>C10*D10</f>
        <v>1200</v>
      </c>
      <c r="G10" s="24" t="s">
        <v>152</v>
      </c>
      <c r="H10" s="24">
        <v>1</v>
      </c>
      <c r="I10" s="24">
        <v>90</v>
      </c>
    </row>
    <row r="11" spans="2:9" ht="15.75" thickTop="1" thickBot="1" x14ac:dyDescent="0.25">
      <c r="B11" s="182" t="s">
        <v>151</v>
      </c>
      <c r="C11" s="184"/>
      <c r="D11" s="183"/>
      <c r="E11" s="24">
        <f>SUM(E8:E10)</f>
        <v>1794</v>
      </c>
    </row>
    <row r="12" spans="2:9" ht="15" thickTop="1" x14ac:dyDescent="0.2"/>
    <row r="13" spans="2:9" ht="15" thickBot="1" x14ac:dyDescent="0.25"/>
    <row r="14" spans="2:9" ht="15.75" thickTop="1" thickBot="1" x14ac:dyDescent="0.25">
      <c r="B14" s="182" t="s">
        <v>153</v>
      </c>
      <c r="C14" s="184"/>
      <c r="D14" s="183"/>
      <c r="H14" s="24" t="s">
        <v>159</v>
      </c>
      <c r="I14" s="24">
        <v>5</v>
      </c>
    </row>
    <row r="15" spans="2:9" ht="15.75" thickTop="1" thickBot="1" x14ac:dyDescent="0.25">
      <c r="B15" s="24" t="s">
        <v>145</v>
      </c>
      <c r="C15" s="24" t="s">
        <v>3</v>
      </c>
      <c r="D15" s="24" t="s">
        <v>147</v>
      </c>
      <c r="H15" s="24" t="s">
        <v>158</v>
      </c>
      <c r="I15" s="24">
        <v>8</v>
      </c>
    </row>
    <row r="16" spans="2:9" ht="15.75" thickTop="1" thickBot="1" x14ac:dyDescent="0.25">
      <c r="B16" s="24" t="s">
        <v>154</v>
      </c>
      <c r="C16" s="24">
        <v>20</v>
      </c>
      <c r="D16" s="24">
        <f>C16*$I$14*$I$15</f>
        <v>800</v>
      </c>
    </row>
    <row r="17" spans="2:10" ht="15.75" thickTop="1" thickBot="1" x14ac:dyDescent="0.25">
      <c r="B17" s="24" t="s">
        <v>155</v>
      </c>
      <c r="C17" s="24">
        <v>60</v>
      </c>
      <c r="D17" s="24">
        <f t="shared" ref="D17:D18" si="2">C17*$I$14*$I$15</f>
        <v>2400</v>
      </c>
    </row>
    <row r="18" spans="2:10" ht="15.75" thickTop="1" thickBot="1" x14ac:dyDescent="0.25">
      <c r="B18" s="24" t="s">
        <v>156</v>
      </c>
      <c r="C18" s="24">
        <v>30</v>
      </c>
      <c r="D18" s="24">
        <f t="shared" si="2"/>
        <v>1200</v>
      </c>
    </row>
    <row r="19" spans="2:10" ht="16.5" thickTop="1" thickBot="1" x14ac:dyDescent="0.3">
      <c r="B19" s="182" t="s">
        <v>157</v>
      </c>
      <c r="C19" s="183"/>
      <c r="D19" s="79">
        <f>SUM(D16:D18)</f>
        <v>4400</v>
      </c>
      <c r="G19" s="24" t="s">
        <v>145</v>
      </c>
      <c r="H19" s="24" t="s">
        <v>162</v>
      </c>
      <c r="I19" s="24" t="s">
        <v>164</v>
      </c>
    </row>
    <row r="20" spans="2:10" ht="15.75" thickTop="1" thickBot="1" x14ac:dyDescent="0.25">
      <c r="G20" s="24" t="s">
        <v>148</v>
      </c>
      <c r="H20" s="24">
        <v>324</v>
      </c>
      <c r="I20" s="77">
        <f>H20/$H$27</f>
        <v>3.1783402001177165E-2</v>
      </c>
    </row>
    <row r="21" spans="2:10" ht="15.75" thickTop="1" thickBot="1" x14ac:dyDescent="0.25">
      <c r="G21" s="24" t="s">
        <v>150</v>
      </c>
      <c r="H21" s="24">
        <v>270</v>
      </c>
      <c r="I21" s="77">
        <f t="shared" ref="I21:I26" si="3">H21/$H$27</f>
        <v>2.6486168334314303E-2</v>
      </c>
    </row>
    <row r="22" spans="2:10" ht="15.75" thickTop="1" thickBot="1" x14ac:dyDescent="0.25">
      <c r="B22" s="182" t="s">
        <v>160</v>
      </c>
      <c r="C22" s="183"/>
      <c r="G22" s="24" t="s">
        <v>149</v>
      </c>
      <c r="H22" s="24">
        <v>1200</v>
      </c>
      <c r="I22" s="77">
        <f t="shared" si="3"/>
        <v>0.11771630370806356</v>
      </c>
    </row>
    <row r="23" spans="2:10" ht="15.75" thickTop="1" thickBot="1" x14ac:dyDescent="0.25">
      <c r="B23" s="24" t="s">
        <v>161</v>
      </c>
      <c r="C23" s="24" t="s">
        <v>162</v>
      </c>
      <c r="G23" s="24" t="s">
        <v>154</v>
      </c>
      <c r="H23" s="24">
        <v>800</v>
      </c>
      <c r="I23" s="77">
        <f t="shared" si="3"/>
        <v>7.8477535805375712E-2</v>
      </c>
    </row>
    <row r="24" spans="2:10" ht="15.75" thickTop="1" thickBot="1" x14ac:dyDescent="0.25">
      <c r="B24" s="24">
        <v>500</v>
      </c>
      <c r="C24" s="24">
        <f>B24*I15</f>
        <v>4000</v>
      </c>
      <c r="G24" s="24" t="s">
        <v>155</v>
      </c>
      <c r="H24" s="24">
        <v>2400</v>
      </c>
      <c r="I24" s="77">
        <f t="shared" si="3"/>
        <v>0.23543260741612712</v>
      </c>
      <c r="J24" t="s">
        <v>0</v>
      </c>
    </row>
    <row r="25" spans="2:10" ht="15.75" thickTop="1" thickBot="1" x14ac:dyDescent="0.25">
      <c r="G25" s="24" t="s">
        <v>156</v>
      </c>
      <c r="H25" s="24">
        <v>1200</v>
      </c>
      <c r="I25" s="77">
        <f t="shared" si="3"/>
        <v>0.11771630370806356</v>
      </c>
    </row>
    <row r="26" spans="2:10" ht="21.75" thickTop="1" thickBot="1" x14ac:dyDescent="0.35">
      <c r="B26" s="24" t="s">
        <v>163</v>
      </c>
      <c r="C26" s="78">
        <f>E11+D19+C24</f>
        <v>10194</v>
      </c>
      <c r="E26" s="45"/>
      <c r="G26" s="75" t="s">
        <v>160</v>
      </c>
      <c r="H26" s="75">
        <v>4000</v>
      </c>
      <c r="I26" s="77">
        <f t="shared" si="3"/>
        <v>0.39238767902687854</v>
      </c>
    </row>
    <row r="27" spans="2:10" ht="15.75" thickTop="1" thickBot="1" x14ac:dyDescent="0.25">
      <c r="G27" s="24" t="s">
        <v>50</v>
      </c>
      <c r="H27" s="24">
        <f>SUM(H20:H26)</f>
        <v>10194</v>
      </c>
      <c r="I27" s="76">
        <f>SUM(I20:I26)</f>
        <v>0.99999999999999989</v>
      </c>
    </row>
    <row r="28" spans="2:10" ht="15" thickTop="1" x14ac:dyDescent="0.2"/>
  </sheetData>
  <mergeCells count="6">
    <mergeCell ref="B22:C22"/>
    <mergeCell ref="B6:E6"/>
    <mergeCell ref="B11:D11"/>
    <mergeCell ref="B1:E1"/>
    <mergeCell ref="B14:D14"/>
    <mergeCell ref="B19:C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J28"/>
  <sheetViews>
    <sheetView workbookViewId="0">
      <selection activeCell="G8" sqref="G8"/>
    </sheetView>
  </sheetViews>
  <sheetFormatPr baseColWidth="10" defaultColWidth="11.375" defaultRowHeight="14.25" x14ac:dyDescent="0.2"/>
  <cols>
    <col min="1" max="1" width="7.125" customWidth="1"/>
    <col min="2" max="3" width="13" customWidth="1"/>
    <col min="4" max="4" width="12.375" customWidth="1"/>
    <col min="5" max="5" width="15.875" customWidth="1"/>
    <col min="6" max="6" width="14.75" customWidth="1"/>
    <col min="7" max="8" width="10.875" customWidth="1"/>
    <col min="9" max="9" width="12" bestFit="1" customWidth="1"/>
  </cols>
  <sheetData>
    <row r="1" spans="1:10" ht="16.5" thickTop="1" thickBot="1" x14ac:dyDescent="0.3">
      <c r="A1" s="80"/>
      <c r="B1" s="80"/>
      <c r="C1" s="84" t="s">
        <v>165</v>
      </c>
      <c r="D1" s="85" t="s">
        <v>166</v>
      </c>
      <c r="E1" s="80"/>
      <c r="F1" s="80"/>
      <c r="G1" s="80"/>
      <c r="H1" s="80"/>
      <c r="I1" s="80"/>
    </row>
    <row r="2" spans="1:10" ht="26.25" customHeight="1" thickTop="1" thickBot="1" x14ac:dyDescent="0.3">
      <c r="A2" s="188" t="s">
        <v>167</v>
      </c>
      <c r="B2" s="189"/>
      <c r="C2" s="82">
        <v>44423</v>
      </c>
      <c r="D2" s="83">
        <v>44457</v>
      </c>
      <c r="E2" s="86" t="s">
        <v>169</v>
      </c>
      <c r="F2" s="81">
        <f>(D2-C2-C3)+1</f>
        <v>28</v>
      </c>
      <c r="G2" s="80"/>
      <c r="H2" s="80"/>
      <c r="I2" s="80"/>
    </row>
    <row r="3" spans="1:10" ht="20.25" customHeight="1" thickTop="1" thickBot="1" x14ac:dyDescent="0.3">
      <c r="A3" s="190" t="s">
        <v>168</v>
      </c>
      <c r="B3" s="191"/>
      <c r="C3" s="192">
        <v>7</v>
      </c>
      <c r="D3" s="193"/>
      <c r="E3" s="80"/>
      <c r="F3" s="80"/>
      <c r="G3" s="80"/>
      <c r="H3" s="80"/>
      <c r="I3" s="80"/>
    </row>
    <row r="4" spans="1:10" ht="12.75" customHeight="1" thickTop="1" x14ac:dyDescent="0.25">
      <c r="A4" s="80"/>
      <c r="B4" s="80"/>
      <c r="C4" s="80"/>
      <c r="D4" s="80"/>
      <c r="E4" s="80"/>
      <c r="F4" s="80"/>
      <c r="G4" s="80"/>
      <c r="H4" s="80"/>
      <c r="I4" s="80"/>
    </row>
    <row r="5" spans="1:10" ht="0.75" customHeight="1" thickBot="1" x14ac:dyDescent="0.3">
      <c r="A5" s="80"/>
      <c r="B5" s="80"/>
      <c r="C5" s="80"/>
      <c r="D5" s="80"/>
      <c r="E5" s="80"/>
      <c r="F5" s="80"/>
      <c r="G5" s="80"/>
      <c r="H5" s="80"/>
      <c r="I5" s="80"/>
    </row>
    <row r="6" spans="1:10" ht="30" customHeight="1" thickTop="1" thickBot="1" x14ac:dyDescent="0.25">
      <c r="A6" s="90" t="s">
        <v>186</v>
      </c>
      <c r="B6" s="91" t="s">
        <v>56</v>
      </c>
      <c r="C6" s="91" t="s">
        <v>57</v>
      </c>
      <c r="D6" s="92" t="s">
        <v>170</v>
      </c>
      <c r="E6" s="90" t="s">
        <v>171</v>
      </c>
      <c r="F6" s="93" t="s">
        <v>172</v>
      </c>
      <c r="G6" s="91" t="s">
        <v>174</v>
      </c>
      <c r="H6" s="94" t="s">
        <v>187</v>
      </c>
      <c r="I6" s="92" t="s">
        <v>173</v>
      </c>
      <c r="J6" s="92" t="s">
        <v>188</v>
      </c>
    </row>
    <row r="7" spans="1:10" ht="16.5" thickTop="1" thickBot="1" x14ac:dyDescent="0.25">
      <c r="A7" s="89" t="s">
        <v>175</v>
      </c>
      <c r="B7" s="95" t="s">
        <v>93</v>
      </c>
      <c r="C7" s="95" t="s">
        <v>98</v>
      </c>
      <c r="D7" s="96" t="s">
        <v>183</v>
      </c>
      <c r="E7" s="97">
        <f>IF(D7="Directeur",50, IF(D7="Comptable",30,15))</f>
        <v>50</v>
      </c>
      <c r="F7" s="98">
        <f>IF(D7="Directeur", $F$2*5,IF(D7="Secrétaire",$F$2*8, $F$2*6))</f>
        <v>140</v>
      </c>
      <c r="G7" s="98">
        <f>E7*F7</f>
        <v>7000</v>
      </c>
      <c r="H7" s="99">
        <f>G7*0.08</f>
        <v>560</v>
      </c>
      <c r="I7" s="100">
        <f>G7-H7</f>
        <v>6440</v>
      </c>
      <c r="J7" s="100">
        <f>I7+2000</f>
        <v>8440</v>
      </c>
    </row>
    <row r="8" spans="1:10" ht="16.5" thickTop="1" thickBot="1" x14ac:dyDescent="0.25">
      <c r="A8" s="87" t="s">
        <v>176</v>
      </c>
      <c r="B8" s="101" t="s">
        <v>88</v>
      </c>
      <c r="C8" s="101" t="s">
        <v>99</v>
      </c>
      <c r="D8" s="102" t="s">
        <v>184</v>
      </c>
      <c r="E8" s="97">
        <f t="shared" ref="E8:E12" si="0">IF(D8="Directeur",50, IF(D8="Comptable",30,15))</f>
        <v>15</v>
      </c>
      <c r="F8" s="98">
        <f t="shared" ref="F8:F10" si="1">IF(D8="Directeur", $F$2*5,IF(D8="Secrétaire",$F$2*8, $F$2*6))</f>
        <v>224</v>
      </c>
      <c r="G8" s="98">
        <f>E8*F8</f>
        <v>3360</v>
      </c>
      <c r="H8" s="99">
        <f t="shared" ref="H8:H12" si="2">G8*0.08</f>
        <v>268.8</v>
      </c>
      <c r="I8" s="100">
        <f t="shared" ref="I8:I10" si="3">G8-H8</f>
        <v>3091.2</v>
      </c>
      <c r="J8" s="100">
        <f t="shared" ref="J8:J12" si="4">I8+2000</f>
        <v>5091.2</v>
      </c>
    </row>
    <row r="9" spans="1:10" ht="16.5" thickTop="1" thickBot="1" x14ac:dyDescent="0.25">
      <c r="A9" s="87" t="s">
        <v>177</v>
      </c>
      <c r="B9" s="101" t="s">
        <v>97</v>
      </c>
      <c r="C9" s="101" t="s">
        <v>101</v>
      </c>
      <c r="D9" s="102" t="s">
        <v>185</v>
      </c>
      <c r="E9" s="97">
        <f t="shared" si="0"/>
        <v>30</v>
      </c>
      <c r="F9" s="98">
        <f t="shared" si="1"/>
        <v>168</v>
      </c>
      <c r="G9" s="98">
        <f t="shared" ref="G9" si="5">E9*F9</f>
        <v>5040</v>
      </c>
      <c r="H9" s="99">
        <f t="shared" si="2"/>
        <v>403.2</v>
      </c>
      <c r="I9" s="100">
        <f t="shared" si="3"/>
        <v>4636.8</v>
      </c>
      <c r="J9" s="100">
        <f t="shared" si="4"/>
        <v>6636.8</v>
      </c>
    </row>
    <row r="10" spans="1:10" ht="16.5" thickTop="1" thickBot="1" x14ac:dyDescent="0.25">
      <c r="A10" s="87" t="s">
        <v>178</v>
      </c>
      <c r="B10" s="101" t="s">
        <v>181</v>
      </c>
      <c r="C10" s="101" t="s">
        <v>112</v>
      </c>
      <c r="D10" s="102" t="s">
        <v>183</v>
      </c>
      <c r="E10" s="97">
        <f t="shared" si="0"/>
        <v>50</v>
      </c>
      <c r="F10" s="98">
        <f t="shared" si="1"/>
        <v>140</v>
      </c>
      <c r="G10" s="98">
        <f>E10*F10</f>
        <v>7000</v>
      </c>
      <c r="H10" s="99">
        <f t="shared" si="2"/>
        <v>560</v>
      </c>
      <c r="I10" s="100">
        <f t="shared" si="3"/>
        <v>6440</v>
      </c>
      <c r="J10" s="100">
        <f t="shared" si="4"/>
        <v>8440</v>
      </c>
    </row>
    <row r="11" spans="1:10" ht="16.5" thickTop="1" thickBot="1" x14ac:dyDescent="0.25">
      <c r="A11" s="87" t="s">
        <v>189</v>
      </c>
      <c r="B11" s="105" t="s">
        <v>190</v>
      </c>
      <c r="C11" s="105" t="s">
        <v>191</v>
      </c>
      <c r="D11" s="106" t="s">
        <v>184</v>
      </c>
      <c r="E11" s="97">
        <f t="shared" si="0"/>
        <v>15</v>
      </c>
      <c r="F11" s="98">
        <f t="shared" ref="F11:F12" si="6">IF(D11="Directeur", $F$2*5,IF(D11="Secrétaire",$F$2*8, $F$2*6))</f>
        <v>224</v>
      </c>
      <c r="G11" s="98">
        <f t="shared" ref="G11:G12" si="7">E11*F11</f>
        <v>3360</v>
      </c>
      <c r="H11" s="99">
        <f t="shared" si="2"/>
        <v>268.8</v>
      </c>
      <c r="I11" s="100">
        <f t="shared" ref="I11:I12" si="8">G11-H11</f>
        <v>3091.2</v>
      </c>
      <c r="J11" s="100">
        <f t="shared" si="4"/>
        <v>5091.2</v>
      </c>
    </row>
    <row r="12" spans="1:10" ht="16.5" thickTop="1" thickBot="1" x14ac:dyDescent="0.25">
      <c r="A12" s="88" t="s">
        <v>179</v>
      </c>
      <c r="B12" s="103" t="s">
        <v>182</v>
      </c>
      <c r="C12" s="103" t="s">
        <v>180</v>
      </c>
      <c r="D12" s="104" t="s">
        <v>185</v>
      </c>
      <c r="E12" s="97">
        <f t="shared" si="0"/>
        <v>30</v>
      </c>
      <c r="F12" s="98">
        <f t="shared" si="6"/>
        <v>168</v>
      </c>
      <c r="G12" s="98">
        <f t="shared" si="7"/>
        <v>5040</v>
      </c>
      <c r="H12" s="99">
        <f t="shared" si="2"/>
        <v>403.2</v>
      </c>
      <c r="I12" s="100">
        <f t="shared" si="8"/>
        <v>4636.8</v>
      </c>
      <c r="J12" s="100">
        <f t="shared" si="4"/>
        <v>6636.8</v>
      </c>
    </row>
    <row r="13" spans="1:10" ht="15" thickTop="1" x14ac:dyDescent="0.2"/>
    <row r="28" spans="10:10" x14ac:dyDescent="0.2">
      <c r="J28" t="s">
        <v>0</v>
      </c>
    </row>
  </sheetData>
  <mergeCells count="3">
    <mergeCell ref="A2:B2"/>
    <mergeCell ref="A3:B3"/>
    <mergeCell ref="C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2060"/>
  </sheetPr>
  <dimension ref="A1:H22"/>
  <sheetViews>
    <sheetView workbookViewId="0">
      <selection activeCell="E12" sqref="E12"/>
    </sheetView>
  </sheetViews>
  <sheetFormatPr baseColWidth="10" defaultColWidth="11.375" defaultRowHeight="14.25" x14ac:dyDescent="0.2"/>
  <cols>
    <col min="1" max="1" width="16.125" style="107" customWidth="1"/>
    <col min="2" max="4" width="11.375" style="107"/>
    <col min="5" max="5" width="9.125" style="107" customWidth="1"/>
    <col min="6" max="6" width="11.375" style="107"/>
    <col min="7" max="7" width="29.75" style="107" customWidth="1"/>
    <col min="8" max="16384" width="11.375" style="107"/>
  </cols>
  <sheetData>
    <row r="1" spans="1:8" ht="15" x14ac:dyDescent="0.25">
      <c r="A1" s="194" t="s">
        <v>192</v>
      </c>
      <c r="B1" s="194"/>
      <c r="C1" s="194"/>
      <c r="D1" s="194"/>
      <c r="E1" s="194"/>
      <c r="F1" s="194"/>
      <c r="G1" s="194"/>
    </row>
    <row r="2" spans="1:8" ht="15.75" thickBot="1" x14ac:dyDescent="0.3">
      <c r="A2" s="210" t="s">
        <v>193</v>
      </c>
      <c r="B2" s="210"/>
      <c r="C2" s="210"/>
      <c r="D2" s="210"/>
      <c r="E2" s="210"/>
      <c r="F2" s="210"/>
      <c r="G2" s="210"/>
    </row>
    <row r="3" spans="1:8" ht="31.5" thickTop="1" thickBot="1" x14ac:dyDescent="0.25">
      <c r="A3" s="110" t="s">
        <v>145</v>
      </c>
      <c r="B3" s="111" t="s">
        <v>194</v>
      </c>
      <c r="C3" s="111" t="s">
        <v>3</v>
      </c>
      <c r="D3" s="111" t="s">
        <v>195</v>
      </c>
      <c r="E3" s="111" t="s">
        <v>196</v>
      </c>
      <c r="F3" s="111" t="s">
        <v>197</v>
      </c>
      <c r="G3" s="111" t="s">
        <v>198</v>
      </c>
      <c r="H3" s="108"/>
    </row>
    <row r="4" spans="1:8" ht="16.5" thickTop="1" thickBot="1" x14ac:dyDescent="0.3">
      <c r="A4" s="114" t="s">
        <v>199</v>
      </c>
      <c r="B4" s="112">
        <v>15</v>
      </c>
      <c r="C4" s="113">
        <v>110000</v>
      </c>
      <c r="D4" s="115">
        <f>IF(A4="","",C4*B4)</f>
        <v>1650000</v>
      </c>
      <c r="E4" s="115" t="str">
        <f>IF(A4="","",IF(B4&lt;9,"4%",IF(B4&lt;20,"6%",IF(B4&lt;30,"10%","14%"))))</f>
        <v>6%</v>
      </c>
      <c r="F4" s="115">
        <f>IF(A4="","",IF(B4&lt;20,D4*"6%",IF(B4&lt;9,D4*"4%",IF(B4&lt;30,D4*"10%",D4*"14%"))))</f>
        <v>99000</v>
      </c>
      <c r="G4" s="115">
        <f>IF(A4="","",D4-F4)</f>
        <v>1551000</v>
      </c>
    </row>
    <row r="5" spans="1:8" ht="16.5" thickTop="1" thickBot="1" x14ac:dyDescent="0.3">
      <c r="A5" s="114" t="s">
        <v>200</v>
      </c>
      <c r="B5" s="112">
        <v>10</v>
      </c>
      <c r="C5" s="113">
        <v>150000</v>
      </c>
      <c r="D5" s="115">
        <f t="shared" ref="D5:D15" si="0">IF(A5="","",C5*B5)</f>
        <v>1500000</v>
      </c>
      <c r="E5" s="115" t="str">
        <f t="shared" ref="E5:E15" si="1">IF(A5="","",IF(B5&lt;9,"4%",IF(B5&lt;20,"6%",IF(B5&lt;30,"10%","14%"))))</f>
        <v>6%</v>
      </c>
      <c r="F5" s="115">
        <f t="shared" ref="F5:F15" si="2">IF(A5="","",IF(B5&lt;20,D5*"6%",IF(B5&lt;9,D5*"4%",IF(B5&lt;30,D5*"10%",D5*"14%"))))</f>
        <v>90000</v>
      </c>
      <c r="G5" s="115">
        <f t="shared" ref="G5:G15" si="3">IF(A5="","",D5-F5)</f>
        <v>1410000</v>
      </c>
    </row>
    <row r="6" spans="1:8" ht="16.5" thickTop="1" thickBot="1" x14ac:dyDescent="0.3">
      <c r="A6" s="114" t="s">
        <v>201</v>
      </c>
      <c r="B6" s="112">
        <v>20</v>
      </c>
      <c r="C6" s="113">
        <v>120000</v>
      </c>
      <c r="D6" s="115">
        <f t="shared" si="0"/>
        <v>2400000</v>
      </c>
      <c r="E6" s="115" t="str">
        <f t="shared" si="1"/>
        <v>10%</v>
      </c>
      <c r="F6" s="115">
        <f t="shared" si="2"/>
        <v>240000</v>
      </c>
      <c r="G6" s="115">
        <f t="shared" si="3"/>
        <v>2160000</v>
      </c>
    </row>
    <row r="7" spans="1:8" ht="16.5" thickTop="1" thickBot="1" x14ac:dyDescent="0.3">
      <c r="A7" s="114" t="s">
        <v>202</v>
      </c>
      <c r="B7" s="112">
        <v>50</v>
      </c>
      <c r="C7" s="113">
        <v>80000</v>
      </c>
      <c r="D7" s="115">
        <f t="shared" si="0"/>
        <v>4000000</v>
      </c>
      <c r="E7" s="115" t="str">
        <f t="shared" si="1"/>
        <v>14%</v>
      </c>
      <c r="F7" s="115">
        <f t="shared" si="2"/>
        <v>560000</v>
      </c>
      <c r="G7" s="115">
        <f t="shared" si="3"/>
        <v>3440000</v>
      </c>
    </row>
    <row r="8" spans="1:8" ht="16.5" thickTop="1" thickBot="1" x14ac:dyDescent="0.3">
      <c r="A8" s="114" t="s">
        <v>203</v>
      </c>
      <c r="B8" s="112">
        <v>8</v>
      </c>
      <c r="C8" s="113">
        <v>190000</v>
      </c>
      <c r="D8" s="115">
        <f t="shared" si="0"/>
        <v>1520000</v>
      </c>
      <c r="E8" s="115" t="str">
        <f t="shared" si="1"/>
        <v>4%</v>
      </c>
      <c r="F8" s="115">
        <f t="shared" si="2"/>
        <v>91200</v>
      </c>
      <c r="G8" s="115">
        <f t="shared" si="3"/>
        <v>1428800</v>
      </c>
    </row>
    <row r="9" spans="1:8" ht="16.5" thickTop="1" thickBot="1" x14ac:dyDescent="0.3">
      <c r="A9" s="114" t="s">
        <v>204</v>
      </c>
      <c r="B9" s="112">
        <v>50</v>
      </c>
      <c r="C9" s="113">
        <v>250000</v>
      </c>
      <c r="D9" s="115">
        <f t="shared" si="0"/>
        <v>12500000</v>
      </c>
      <c r="E9" s="115" t="str">
        <f t="shared" si="1"/>
        <v>14%</v>
      </c>
      <c r="F9" s="115">
        <f t="shared" si="2"/>
        <v>1750000.0000000002</v>
      </c>
      <c r="G9" s="115">
        <f t="shared" si="3"/>
        <v>10750000</v>
      </c>
    </row>
    <row r="10" spans="1:8" ht="16.5" thickTop="1" thickBot="1" x14ac:dyDescent="0.3">
      <c r="A10" s="114" t="s">
        <v>205</v>
      </c>
      <c r="B10" s="112">
        <v>12</v>
      </c>
      <c r="C10" s="113">
        <v>210000</v>
      </c>
      <c r="D10" s="115">
        <f t="shared" si="0"/>
        <v>2520000</v>
      </c>
      <c r="E10" s="115" t="str">
        <f t="shared" si="1"/>
        <v>6%</v>
      </c>
      <c r="F10" s="115">
        <f t="shared" si="2"/>
        <v>151200</v>
      </c>
      <c r="G10" s="115">
        <f t="shared" si="3"/>
        <v>2368800</v>
      </c>
    </row>
    <row r="11" spans="1:8" ht="16.5" thickTop="1" thickBot="1" x14ac:dyDescent="0.3">
      <c r="A11" s="114" t="s">
        <v>206</v>
      </c>
      <c r="B11" s="112">
        <v>30</v>
      </c>
      <c r="C11" s="113">
        <v>300000</v>
      </c>
      <c r="D11" s="115">
        <f t="shared" si="0"/>
        <v>9000000</v>
      </c>
      <c r="E11" s="115" t="str">
        <f t="shared" si="1"/>
        <v>14%</v>
      </c>
      <c r="F11" s="115">
        <f t="shared" si="2"/>
        <v>1260000.0000000002</v>
      </c>
      <c r="G11" s="115">
        <f>IF(A11="","",D11-F11)</f>
        <v>7740000</v>
      </c>
    </row>
    <row r="12" spans="1:8" ht="16.5" thickTop="1" thickBot="1" x14ac:dyDescent="0.3">
      <c r="A12" s="114" t="s">
        <v>207</v>
      </c>
      <c r="B12" s="112">
        <v>20</v>
      </c>
      <c r="C12" s="113">
        <v>360000</v>
      </c>
      <c r="D12" s="115">
        <f t="shared" si="0"/>
        <v>7200000</v>
      </c>
      <c r="E12" s="115" t="str">
        <f t="shared" si="1"/>
        <v>10%</v>
      </c>
      <c r="F12" s="115">
        <f t="shared" si="2"/>
        <v>720000</v>
      </c>
      <c r="G12" s="115">
        <f t="shared" si="3"/>
        <v>6480000</v>
      </c>
    </row>
    <row r="13" spans="1:8" ht="16.5" thickTop="1" thickBot="1" x14ac:dyDescent="0.3">
      <c r="A13" s="114" t="s">
        <v>208</v>
      </c>
      <c r="B13" s="112">
        <v>10</v>
      </c>
      <c r="C13" s="113">
        <v>280000</v>
      </c>
      <c r="D13" s="115">
        <f t="shared" si="0"/>
        <v>2800000</v>
      </c>
      <c r="E13" s="115" t="str">
        <f t="shared" si="1"/>
        <v>6%</v>
      </c>
      <c r="F13" s="115">
        <f t="shared" si="2"/>
        <v>168000</v>
      </c>
      <c r="G13" s="115">
        <f t="shared" si="3"/>
        <v>2632000</v>
      </c>
    </row>
    <row r="14" spans="1:8" ht="16.5" thickTop="1" thickBot="1" x14ac:dyDescent="0.3">
      <c r="A14" s="114" t="s">
        <v>209</v>
      </c>
      <c r="B14" s="112">
        <v>5</v>
      </c>
      <c r="C14" s="113">
        <v>100000</v>
      </c>
      <c r="D14" s="115">
        <f t="shared" si="0"/>
        <v>500000</v>
      </c>
      <c r="E14" s="115" t="str">
        <f t="shared" si="1"/>
        <v>4%</v>
      </c>
      <c r="F14" s="115">
        <f t="shared" si="2"/>
        <v>30000</v>
      </c>
      <c r="G14" s="115">
        <f t="shared" si="3"/>
        <v>470000</v>
      </c>
    </row>
    <row r="15" spans="1:8" ht="16.5" thickTop="1" thickBot="1" x14ac:dyDescent="0.3">
      <c r="A15" s="114" t="s">
        <v>210</v>
      </c>
      <c r="B15" s="112">
        <v>2</v>
      </c>
      <c r="C15" s="113">
        <v>50000</v>
      </c>
      <c r="D15" s="115">
        <f t="shared" si="0"/>
        <v>100000</v>
      </c>
      <c r="E15" s="115" t="str">
        <f t="shared" si="1"/>
        <v>4%</v>
      </c>
      <c r="F15" s="115">
        <f t="shared" si="2"/>
        <v>6000</v>
      </c>
      <c r="G15" s="115">
        <f t="shared" si="3"/>
        <v>94000</v>
      </c>
    </row>
    <row r="16" spans="1:8" ht="15.75" thickTop="1" thickBot="1" x14ac:dyDescent="0.25"/>
    <row r="17" spans="4:7" ht="16.5" thickTop="1" thickBot="1" x14ac:dyDescent="0.25">
      <c r="D17" s="207" t="s">
        <v>211</v>
      </c>
      <c r="E17" s="208"/>
      <c r="F17" s="209"/>
      <c r="G17" s="109">
        <f>SUM(D4:D15)</f>
        <v>45690000</v>
      </c>
    </row>
    <row r="18" spans="4:7" ht="16.5" thickTop="1" thickBot="1" x14ac:dyDescent="0.25">
      <c r="D18" s="204" t="s">
        <v>212</v>
      </c>
      <c r="E18" s="205"/>
      <c r="F18" s="206"/>
      <c r="G18" s="109">
        <f>SUM(F4:F15)</f>
        <v>5165400</v>
      </c>
    </row>
    <row r="19" spans="4:7" ht="16.5" thickTop="1" thickBot="1" x14ac:dyDescent="0.25">
      <c r="D19" s="201" t="s">
        <v>213</v>
      </c>
      <c r="E19" s="202"/>
      <c r="F19" s="203"/>
      <c r="G19" s="109">
        <f>SUM(G4:G15)</f>
        <v>40524600</v>
      </c>
    </row>
    <row r="20" spans="4:7" ht="16.5" thickTop="1" thickBot="1" x14ac:dyDescent="0.25">
      <c r="D20" s="198" t="s">
        <v>214</v>
      </c>
      <c r="E20" s="199"/>
      <c r="F20" s="200"/>
      <c r="G20" s="109">
        <f>G19*"20%"</f>
        <v>8104920</v>
      </c>
    </row>
    <row r="21" spans="4:7" ht="16.5" thickTop="1" thickBot="1" x14ac:dyDescent="0.25">
      <c r="D21" s="195" t="s">
        <v>215</v>
      </c>
      <c r="E21" s="196"/>
      <c r="F21" s="197"/>
      <c r="G21" s="109">
        <f>G19+G20</f>
        <v>48629520</v>
      </c>
    </row>
    <row r="22" spans="4:7" ht="15" thickTop="1" x14ac:dyDescent="0.2"/>
  </sheetData>
  <sheetProtection algorithmName="SHA-512" hashValue="jQQy5RcYebFerzyNQDNvyP1tHvnXwWqRNpeQ+UsXqJQekONturxKSAwQjx/QT3rWxon+VuYwigIvy0Y6hjH1dw==" saltValue="kRWvGn3szp7uS9qxmgQSpg==" spinCount="100000" sheet="1" objects="1" scenarios="1"/>
  <mergeCells count="7">
    <mergeCell ref="A1:G1"/>
    <mergeCell ref="D21:F21"/>
    <mergeCell ref="D20:F20"/>
    <mergeCell ref="D19:F19"/>
    <mergeCell ref="D18:F18"/>
    <mergeCell ref="D17:F17"/>
    <mergeCell ref="A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O27"/>
  <sheetViews>
    <sheetView workbookViewId="0">
      <selection activeCell="H3" sqref="H3:I3"/>
    </sheetView>
  </sheetViews>
  <sheetFormatPr baseColWidth="10" defaultColWidth="11.375" defaultRowHeight="14.25" x14ac:dyDescent="0.2"/>
  <cols>
    <col min="3" max="3" width="9.625" customWidth="1"/>
    <col min="6" max="6" width="8.625" customWidth="1"/>
    <col min="7" max="7" width="10.75" customWidth="1"/>
    <col min="12" max="12" width="9.125" customWidth="1"/>
    <col min="13" max="13" width="6.25" customWidth="1"/>
  </cols>
  <sheetData>
    <row r="1" spans="1:15" ht="18.75" thickBot="1" x14ac:dyDescent="0.25">
      <c r="A1" s="119"/>
      <c r="B1" s="213" t="s">
        <v>245</v>
      </c>
      <c r="C1" s="214"/>
      <c r="D1" s="214"/>
      <c r="E1" s="214"/>
      <c r="F1" s="214"/>
      <c r="G1" s="214"/>
      <c r="H1" s="214"/>
    </row>
    <row r="2" spans="1:15" ht="17.25" thickTop="1" thickBot="1" x14ac:dyDescent="0.3">
      <c r="B2" s="231" t="s">
        <v>244</v>
      </c>
      <c r="C2" s="231"/>
      <c r="D2" s="215" t="s">
        <v>246</v>
      </c>
      <c r="E2" s="215"/>
      <c r="F2" s="215"/>
      <c r="H2" s="224" t="s">
        <v>243</v>
      </c>
      <c r="I2" s="225"/>
    </row>
    <row r="3" spans="1:15" ht="17.25" thickTop="1" thickBot="1" x14ac:dyDescent="0.3">
      <c r="B3" s="231" t="s">
        <v>242</v>
      </c>
      <c r="C3" s="231"/>
      <c r="D3" s="215" t="s">
        <v>247</v>
      </c>
      <c r="E3" s="215"/>
      <c r="F3" s="215"/>
      <c r="H3" s="226"/>
      <c r="I3" s="227"/>
    </row>
    <row r="4" spans="1:15" ht="20.25" thickTop="1" thickBot="1" x14ac:dyDescent="0.3">
      <c r="B4" s="230" t="s">
        <v>241</v>
      </c>
      <c r="C4" s="230"/>
      <c r="D4" s="215" t="s">
        <v>248</v>
      </c>
      <c r="E4" s="215"/>
      <c r="F4" s="215"/>
    </row>
    <row r="5" spans="1:15" ht="15.75" thickTop="1" thickBot="1" x14ac:dyDescent="0.25"/>
    <row r="6" spans="1:15" ht="31.5" thickTop="1" thickBot="1" x14ac:dyDescent="0.3">
      <c r="A6" s="1"/>
      <c r="B6" s="229" t="s">
        <v>240</v>
      </c>
      <c r="C6" s="229"/>
      <c r="D6" s="229"/>
      <c r="E6" s="118" t="s">
        <v>239</v>
      </c>
      <c r="F6" s="118" t="s">
        <v>238</v>
      </c>
      <c r="G6" s="117" t="s">
        <v>237</v>
      </c>
      <c r="H6" s="229" t="s">
        <v>236</v>
      </c>
      <c r="I6" s="229"/>
    </row>
    <row r="7" spans="1:15" ht="20.25" customHeight="1" thickTop="1" thickBot="1" x14ac:dyDescent="0.3">
      <c r="A7" s="243" t="s">
        <v>235</v>
      </c>
      <c r="B7" s="216" t="s">
        <v>234</v>
      </c>
      <c r="C7" s="217"/>
      <c r="D7" s="218"/>
      <c r="E7" s="121">
        <v>18</v>
      </c>
      <c r="F7" s="121">
        <v>2</v>
      </c>
      <c r="G7" s="121">
        <f>E7*F7</f>
        <v>36</v>
      </c>
      <c r="H7" s="211" t="str">
        <f>VLOOKUP(E7,$M$7:$O$17,2)</f>
        <v>Excellent Travail</v>
      </c>
      <c r="I7" s="212"/>
      <c r="M7" s="116">
        <v>0</v>
      </c>
      <c r="N7" s="256" t="s">
        <v>249</v>
      </c>
      <c r="O7" s="256"/>
    </row>
    <row r="8" spans="1:15" ht="20.25" customHeight="1" thickTop="1" thickBot="1" x14ac:dyDescent="0.3">
      <c r="A8" s="243"/>
      <c r="B8" s="216" t="s">
        <v>233</v>
      </c>
      <c r="C8" s="217"/>
      <c r="D8" s="218"/>
      <c r="E8" s="121">
        <v>10</v>
      </c>
      <c r="F8" s="121">
        <v>3</v>
      </c>
      <c r="G8" s="121">
        <f t="shared" ref="G8:G16" si="0">E8*F8</f>
        <v>30</v>
      </c>
      <c r="H8" s="211" t="str">
        <f t="shared" ref="H8:H16" si="1">VLOOKUP(E8,$M$7:$O$17,2)</f>
        <v>Travail Moyen</v>
      </c>
      <c r="I8" s="212"/>
      <c r="M8" s="116">
        <v>2</v>
      </c>
      <c r="N8" s="256" t="s">
        <v>250</v>
      </c>
      <c r="O8" s="256"/>
    </row>
    <row r="9" spans="1:15" ht="20.25" customHeight="1" thickTop="1" thickBot="1" x14ac:dyDescent="0.3">
      <c r="A9" s="243"/>
      <c r="B9" s="216" t="s">
        <v>232</v>
      </c>
      <c r="C9" s="217"/>
      <c r="D9" s="218"/>
      <c r="E9" s="121">
        <v>14</v>
      </c>
      <c r="F9" s="121">
        <v>5</v>
      </c>
      <c r="G9" s="121">
        <f t="shared" si="0"/>
        <v>70</v>
      </c>
      <c r="H9" s="211" t="str">
        <f t="shared" si="1"/>
        <v>Bon Travail</v>
      </c>
      <c r="I9" s="212"/>
      <c r="M9" s="116">
        <v>4</v>
      </c>
      <c r="N9" s="256" t="s">
        <v>251</v>
      </c>
      <c r="O9" s="256"/>
    </row>
    <row r="10" spans="1:15" ht="20.25" customHeight="1" thickTop="1" thickBot="1" x14ac:dyDescent="0.3">
      <c r="A10" s="243" t="s">
        <v>231</v>
      </c>
      <c r="B10" s="219" t="s">
        <v>230</v>
      </c>
      <c r="C10" s="220"/>
      <c r="D10" s="221"/>
      <c r="E10" s="122">
        <v>8</v>
      </c>
      <c r="F10" s="122">
        <v>1</v>
      </c>
      <c r="G10" s="122">
        <f t="shared" si="0"/>
        <v>8</v>
      </c>
      <c r="H10" s="211" t="str">
        <f t="shared" si="1"/>
        <v>Très Insuffisant</v>
      </c>
      <c r="I10" s="212"/>
      <c r="M10" s="116">
        <v>6</v>
      </c>
      <c r="N10" s="256" t="s">
        <v>252</v>
      </c>
      <c r="O10" s="256"/>
    </row>
    <row r="11" spans="1:15" ht="20.25" customHeight="1" thickTop="1" thickBot="1" x14ac:dyDescent="0.3">
      <c r="A11" s="243"/>
      <c r="B11" s="219" t="s">
        <v>229</v>
      </c>
      <c r="C11" s="220"/>
      <c r="D11" s="221"/>
      <c r="E11" s="122">
        <v>13</v>
      </c>
      <c r="F11" s="122">
        <v>1</v>
      </c>
      <c r="G11" s="122">
        <f t="shared" si="0"/>
        <v>13</v>
      </c>
      <c r="H11" s="211" t="str">
        <f t="shared" si="1"/>
        <v>Assez Bien Travail</v>
      </c>
      <c r="I11" s="212"/>
      <c r="M11" s="116">
        <v>7</v>
      </c>
      <c r="N11" s="256" t="s">
        <v>253</v>
      </c>
      <c r="O11" s="256"/>
    </row>
    <row r="12" spans="1:15" ht="20.25" customHeight="1" thickTop="1" thickBot="1" x14ac:dyDescent="0.3">
      <c r="A12" s="243"/>
      <c r="B12" s="219" t="s">
        <v>228</v>
      </c>
      <c r="C12" s="220"/>
      <c r="D12" s="221"/>
      <c r="E12" s="122">
        <v>10</v>
      </c>
      <c r="F12" s="122">
        <v>2</v>
      </c>
      <c r="G12" s="122">
        <f>E12*F12</f>
        <v>20</v>
      </c>
      <c r="H12" s="211" t="str">
        <f t="shared" si="1"/>
        <v>Travail Moyen</v>
      </c>
      <c r="I12" s="212"/>
      <c r="M12" s="116">
        <v>9</v>
      </c>
      <c r="N12" s="256" t="s">
        <v>254</v>
      </c>
      <c r="O12" s="256"/>
    </row>
    <row r="13" spans="1:15" ht="20.25" customHeight="1" thickTop="1" thickBot="1" x14ac:dyDescent="0.3">
      <c r="A13" s="243"/>
      <c r="B13" s="219" t="s">
        <v>227</v>
      </c>
      <c r="C13" s="220"/>
      <c r="D13" s="221"/>
      <c r="E13" s="122">
        <v>15</v>
      </c>
      <c r="F13" s="122">
        <v>5</v>
      </c>
      <c r="G13" s="122">
        <f t="shared" si="0"/>
        <v>75</v>
      </c>
      <c r="H13" s="211" t="str">
        <f t="shared" si="1"/>
        <v>Bon Travail</v>
      </c>
      <c r="I13" s="212"/>
      <c r="M13" s="116">
        <v>10</v>
      </c>
      <c r="N13" s="256" t="s">
        <v>255</v>
      </c>
      <c r="O13" s="256"/>
    </row>
    <row r="14" spans="1:15" ht="20.25" customHeight="1" thickTop="1" thickBot="1" x14ac:dyDescent="0.3">
      <c r="A14" s="243" t="s">
        <v>226</v>
      </c>
      <c r="B14" s="244" t="s">
        <v>225</v>
      </c>
      <c r="C14" s="245"/>
      <c r="D14" s="246"/>
      <c r="E14" s="123">
        <v>10</v>
      </c>
      <c r="F14" s="123">
        <v>2</v>
      </c>
      <c r="G14" s="123">
        <f t="shared" si="0"/>
        <v>20</v>
      </c>
      <c r="H14" s="211" t="str">
        <f t="shared" si="1"/>
        <v>Travail Moyen</v>
      </c>
      <c r="I14" s="212"/>
      <c r="M14" s="116">
        <v>12</v>
      </c>
      <c r="N14" s="256" t="s">
        <v>256</v>
      </c>
      <c r="O14" s="256"/>
    </row>
    <row r="15" spans="1:15" ht="20.25" customHeight="1" thickTop="1" thickBot="1" x14ac:dyDescent="0.3">
      <c r="A15" s="243"/>
      <c r="B15" s="244" t="s">
        <v>224</v>
      </c>
      <c r="C15" s="245"/>
      <c r="D15" s="246"/>
      <c r="E15" s="123">
        <v>12</v>
      </c>
      <c r="F15" s="123">
        <v>3</v>
      </c>
      <c r="G15" s="123">
        <f t="shared" si="0"/>
        <v>36</v>
      </c>
      <c r="H15" s="211" t="str">
        <f t="shared" si="1"/>
        <v>Assez Bien Travail</v>
      </c>
      <c r="I15" s="212"/>
      <c r="M15" s="116">
        <v>14</v>
      </c>
      <c r="N15" s="256" t="s">
        <v>257</v>
      </c>
      <c r="O15" s="256"/>
    </row>
    <row r="16" spans="1:15" ht="20.25" customHeight="1" thickTop="1" thickBot="1" x14ac:dyDescent="0.3">
      <c r="A16" s="243"/>
      <c r="B16" s="244" t="s">
        <v>223</v>
      </c>
      <c r="C16" s="245"/>
      <c r="D16" s="246"/>
      <c r="E16" s="123">
        <v>6</v>
      </c>
      <c r="F16" s="123">
        <v>2</v>
      </c>
      <c r="G16" s="123">
        <f t="shared" si="0"/>
        <v>12</v>
      </c>
      <c r="H16" s="211" t="str">
        <f t="shared" si="1"/>
        <v>Mal</v>
      </c>
      <c r="I16" s="212"/>
      <c r="M16" s="116">
        <v>16</v>
      </c>
      <c r="N16" s="256" t="s">
        <v>258</v>
      </c>
      <c r="O16" s="256"/>
    </row>
    <row r="17" spans="1:15" ht="16.5" thickTop="1" thickBot="1" x14ac:dyDescent="0.3">
      <c r="M17" s="116">
        <v>18</v>
      </c>
      <c r="N17" s="256" t="s">
        <v>259</v>
      </c>
      <c r="O17" s="256"/>
    </row>
    <row r="18" spans="1:15" ht="16.5" thickTop="1" thickBot="1" x14ac:dyDescent="0.25">
      <c r="A18" s="228" t="s">
        <v>222</v>
      </c>
      <c r="B18" s="232">
        <f>SUM(F18:F20)</f>
        <v>36.203174603174602</v>
      </c>
      <c r="C18" s="228" t="s">
        <v>221</v>
      </c>
      <c r="D18" s="228"/>
      <c r="E18" s="228"/>
      <c r="F18" s="120">
        <f>SUM(G7:G9)/SUM(F7:F9)</f>
        <v>13.6</v>
      </c>
      <c r="G18" s="237" t="s">
        <v>220</v>
      </c>
      <c r="H18" s="238"/>
      <c r="I18" s="253">
        <f>B18/3</f>
        <v>12.067724867724868</v>
      </c>
    </row>
    <row r="19" spans="1:15" ht="16.5" thickTop="1" thickBot="1" x14ac:dyDescent="0.25">
      <c r="A19" s="228"/>
      <c r="B19" s="233"/>
      <c r="C19" s="234" t="s">
        <v>219</v>
      </c>
      <c r="D19" s="235"/>
      <c r="E19" s="236"/>
      <c r="F19" s="120">
        <f>SUM(G10:G13)/SUM(F10:F13)</f>
        <v>12.888888888888889</v>
      </c>
      <c r="G19" s="239"/>
      <c r="H19" s="240"/>
      <c r="I19" s="254"/>
    </row>
    <row r="20" spans="1:15" ht="16.5" thickTop="1" thickBot="1" x14ac:dyDescent="0.25">
      <c r="A20" s="228"/>
      <c r="B20" s="233"/>
      <c r="C20" s="234" t="s">
        <v>218</v>
      </c>
      <c r="D20" s="235"/>
      <c r="E20" s="236"/>
      <c r="F20" s="120">
        <f>SUM(G14:G16)/SUM(F14:F16)</f>
        <v>9.7142857142857135</v>
      </c>
      <c r="G20" s="241"/>
      <c r="H20" s="242"/>
      <c r="I20" s="255"/>
    </row>
    <row r="21" spans="1:15" ht="15.75" thickTop="1" thickBot="1" x14ac:dyDescent="0.25"/>
    <row r="22" spans="1:15" ht="18.75" customHeight="1" thickTop="1" thickBot="1" x14ac:dyDescent="0.3">
      <c r="B22" s="222" t="s">
        <v>217</v>
      </c>
      <c r="C22" s="222"/>
      <c r="D22" s="222"/>
      <c r="E22" s="223" t="str">
        <f>IF(I18&gt;=10,"Admis","Non Admis")</f>
        <v>Admis</v>
      </c>
      <c r="F22" s="223"/>
      <c r="G22" s="223"/>
      <c r="H22" s="223"/>
    </row>
    <row r="23" spans="1:15" ht="18.75" customHeight="1" thickTop="1" thickBot="1" x14ac:dyDescent="0.25"/>
    <row r="24" spans="1:15" ht="18.75" customHeight="1" thickTop="1" thickBot="1" x14ac:dyDescent="0.3">
      <c r="C24" s="222" t="s">
        <v>216</v>
      </c>
      <c r="D24" s="222"/>
      <c r="E24" s="222"/>
      <c r="F24" s="222"/>
      <c r="G24" s="223" t="str">
        <f>IF(I18&lt;10,"",IF(I18&lt;12,"Passable",IF(I18&lt;14,"Assez Bien",IF(I18&lt;16,"Bien",IF(I18&lt;18,"Tres Bien","Excellent")))))</f>
        <v>Assez Bien</v>
      </c>
      <c r="H24" s="223"/>
      <c r="I24" s="223"/>
    </row>
    <row r="25" spans="1:15" ht="15.75" thickTop="1" thickBot="1" x14ac:dyDescent="0.25"/>
    <row r="26" spans="1:15" ht="16.5" thickTop="1" thickBot="1" x14ac:dyDescent="0.3">
      <c r="C26" s="247" t="s">
        <v>260</v>
      </c>
      <c r="D26" s="248"/>
      <c r="E26" s="248"/>
      <c r="F26" s="249"/>
      <c r="G26" s="250"/>
      <c r="H26" s="251"/>
      <c r="I26" s="252"/>
    </row>
    <row r="27" spans="1:15" ht="15" thickTop="1" x14ac:dyDescent="0.2"/>
  </sheetData>
  <mergeCells count="58">
    <mergeCell ref="C26:F26"/>
    <mergeCell ref="G26:I26"/>
    <mergeCell ref="I18:I20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H13:I13"/>
    <mergeCell ref="H14:I14"/>
    <mergeCell ref="A7:A9"/>
    <mergeCell ref="A10:A13"/>
    <mergeCell ref="A14:A16"/>
    <mergeCell ref="B6:D6"/>
    <mergeCell ref="D3:F3"/>
    <mergeCell ref="B12:D12"/>
    <mergeCell ref="B13:D13"/>
    <mergeCell ref="B14:D14"/>
    <mergeCell ref="B15:D15"/>
    <mergeCell ref="B16:D16"/>
    <mergeCell ref="B11:D11"/>
    <mergeCell ref="A18:A20"/>
    <mergeCell ref="B18:B20"/>
    <mergeCell ref="C19:E19"/>
    <mergeCell ref="C20:E20"/>
    <mergeCell ref="G18:H20"/>
    <mergeCell ref="B22:D22"/>
    <mergeCell ref="E22:H22"/>
    <mergeCell ref="C24:F24"/>
    <mergeCell ref="G24:I24"/>
    <mergeCell ref="H2:I2"/>
    <mergeCell ref="H3:I3"/>
    <mergeCell ref="H15:I15"/>
    <mergeCell ref="H16:I16"/>
    <mergeCell ref="C18:E18"/>
    <mergeCell ref="H6:I6"/>
    <mergeCell ref="B4:C4"/>
    <mergeCell ref="B3:C3"/>
    <mergeCell ref="B2:C2"/>
    <mergeCell ref="D4:F4"/>
    <mergeCell ref="H9:I9"/>
    <mergeCell ref="H12:I12"/>
    <mergeCell ref="H7:I7"/>
    <mergeCell ref="H8:I8"/>
    <mergeCell ref="H10:I10"/>
    <mergeCell ref="H11:I11"/>
    <mergeCell ref="B1:H1"/>
    <mergeCell ref="D2:F2"/>
    <mergeCell ref="B7:D7"/>
    <mergeCell ref="B8:D8"/>
    <mergeCell ref="B9:D9"/>
    <mergeCell ref="B10:D1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030A0"/>
  </sheetPr>
  <dimension ref="A2:K22"/>
  <sheetViews>
    <sheetView topLeftCell="A2" workbookViewId="0">
      <selection activeCell="J9" sqref="J9"/>
    </sheetView>
  </sheetViews>
  <sheetFormatPr baseColWidth="10" defaultColWidth="11.375" defaultRowHeight="14.25" x14ac:dyDescent="0.2"/>
  <cols>
    <col min="9" max="9" width="12.375" customWidth="1"/>
    <col min="10" max="10" width="15.875" customWidth="1"/>
    <col min="11" max="11" width="15.625" customWidth="1"/>
    <col min="14" max="14" width="12.75" customWidth="1"/>
  </cols>
  <sheetData>
    <row r="2" spans="1:11" ht="19.5" thickBot="1" x14ac:dyDescent="0.35">
      <c r="A2" s="260" t="s">
        <v>279</v>
      </c>
      <c r="B2" s="260"/>
      <c r="C2" s="260"/>
      <c r="D2" s="260"/>
      <c r="E2" s="260"/>
      <c r="F2" s="260"/>
      <c r="G2" s="260"/>
      <c r="H2" s="260"/>
      <c r="I2" s="260"/>
    </row>
    <row r="3" spans="1:11" ht="28.5" customHeight="1" thickBot="1" x14ac:dyDescent="0.25">
      <c r="A3" s="125" t="s">
        <v>261</v>
      </c>
      <c r="B3" s="125" t="s">
        <v>56</v>
      </c>
      <c r="C3" s="125" t="s">
        <v>57</v>
      </c>
      <c r="D3" s="125" t="s">
        <v>232</v>
      </c>
      <c r="E3" s="125" t="s">
        <v>262</v>
      </c>
      <c r="F3" s="125" t="s">
        <v>263</v>
      </c>
      <c r="G3" s="125" t="s">
        <v>264</v>
      </c>
      <c r="H3" s="125" t="s">
        <v>265</v>
      </c>
      <c r="I3" s="125" t="s">
        <v>216</v>
      </c>
      <c r="J3" s="125" t="s">
        <v>285</v>
      </c>
      <c r="K3" s="125" t="s">
        <v>260</v>
      </c>
    </row>
    <row r="4" spans="1:11" ht="28.5" customHeight="1" thickBot="1" x14ac:dyDescent="0.25">
      <c r="A4" s="126" t="s">
        <v>266</v>
      </c>
      <c r="B4" s="127" t="s">
        <v>95</v>
      </c>
      <c r="C4" s="127" t="s">
        <v>98</v>
      </c>
      <c r="D4" s="124">
        <v>15</v>
      </c>
      <c r="E4" s="124">
        <v>12</v>
      </c>
      <c r="F4" s="124">
        <v>11</v>
      </c>
      <c r="G4" s="128">
        <f>SUM(D4:F4)/3</f>
        <v>12.666666666666666</v>
      </c>
      <c r="H4" s="124" t="str">
        <f>IF(G4&gt;=10,"Admis","Non Admis")</f>
        <v>Admis</v>
      </c>
      <c r="I4" s="124" t="str">
        <f>IF(G4&lt;10,"Pas de mention",IF(G4&lt;14,"Passable",IF(G4&lt;16,"Bien","Excellent")))</f>
        <v>Passable</v>
      </c>
      <c r="J4" s="124" t="s">
        <v>286</v>
      </c>
      <c r="K4" s="124" t="str">
        <f>IF(G4&gt;=10,"Ajourné",IF(AND(G4&lt;10,J4="Nouveau"),"Redoubler","Exclut"))</f>
        <v>Ajourné</v>
      </c>
    </row>
    <row r="5" spans="1:11" ht="28.5" customHeight="1" thickBot="1" x14ac:dyDescent="0.25">
      <c r="A5" s="126" t="s">
        <v>267</v>
      </c>
      <c r="B5" s="127" t="s">
        <v>82</v>
      </c>
      <c r="C5" s="127" t="s">
        <v>99</v>
      </c>
      <c r="D5" s="124">
        <v>12</v>
      </c>
      <c r="E5" s="124">
        <v>6</v>
      </c>
      <c r="F5" s="124">
        <v>8</v>
      </c>
      <c r="G5" s="128">
        <f t="shared" ref="G5:G7" si="0">SUM(D5:F5)/3</f>
        <v>8.6666666666666661</v>
      </c>
      <c r="H5" s="124" t="str">
        <f t="shared" ref="H5:H7" si="1">IF(G5&gt;=10,"Admis","Non Admis")</f>
        <v>Non Admis</v>
      </c>
      <c r="I5" s="124" t="str">
        <f>IF(G5&lt;10,"Pas de mention",IF(G5&lt;14,"Passable",IF(G5&lt;16,"Bien","Excellent")))</f>
        <v>Pas de mention</v>
      </c>
      <c r="J5" s="124" t="s">
        <v>287</v>
      </c>
      <c r="K5" s="124" t="str">
        <f>IF(G5&gt;=10,"Ajourné",IF(AND(G5&lt;10,J5="Nouveau"),"Redoubler","Exclut"))</f>
        <v>Exclut</v>
      </c>
    </row>
    <row r="6" spans="1:11" ht="28.5" customHeight="1" thickBot="1" x14ac:dyDescent="0.25">
      <c r="A6" s="126" t="s">
        <v>268</v>
      </c>
      <c r="B6" s="127" t="s">
        <v>269</v>
      </c>
      <c r="C6" s="127" t="s">
        <v>101</v>
      </c>
      <c r="D6" s="124">
        <v>18</v>
      </c>
      <c r="E6" s="124">
        <v>14</v>
      </c>
      <c r="F6" s="124">
        <v>16</v>
      </c>
      <c r="G6" s="128">
        <f t="shared" si="0"/>
        <v>16</v>
      </c>
      <c r="H6" s="124" t="str">
        <f t="shared" si="1"/>
        <v>Admis</v>
      </c>
      <c r="I6" s="124" t="str">
        <f t="shared" ref="I6:I7" si="2">IF(G6&lt;10,"Pas de mention",IF(G6&lt;14,"Passable",IF(G6&lt;16,"Bien","Excellent")))</f>
        <v>Excellent</v>
      </c>
      <c r="J6" s="124" t="s">
        <v>287</v>
      </c>
      <c r="K6" s="124" t="str">
        <f t="shared" ref="K6:K7" si="3">IF(G6&gt;=10,"Ajourné",IF(AND(G6&lt;10,J6="Nouveau"),"Redoubler","Exclut"))</f>
        <v>Ajourné</v>
      </c>
    </row>
    <row r="7" spans="1:11" ht="28.5" customHeight="1" thickBot="1" x14ac:dyDescent="0.25">
      <c r="A7" s="126" t="s">
        <v>270</v>
      </c>
      <c r="B7" s="127" t="s">
        <v>271</v>
      </c>
      <c r="C7" s="127" t="s">
        <v>104</v>
      </c>
      <c r="D7" s="124">
        <v>6</v>
      </c>
      <c r="E7" s="124">
        <v>10</v>
      </c>
      <c r="F7" s="124">
        <v>8</v>
      </c>
      <c r="G7" s="128">
        <f t="shared" si="0"/>
        <v>8</v>
      </c>
      <c r="H7" s="124" t="str">
        <f t="shared" si="1"/>
        <v>Non Admis</v>
      </c>
      <c r="I7" s="124" t="str">
        <f t="shared" si="2"/>
        <v>Pas de mention</v>
      </c>
      <c r="J7" s="124" t="s">
        <v>286</v>
      </c>
      <c r="K7" s="124" t="str">
        <f t="shared" si="3"/>
        <v>Redoubler</v>
      </c>
    </row>
    <row r="8" spans="1:11" ht="15" thickBot="1" x14ac:dyDescent="0.25">
      <c r="A8" s="257" t="s">
        <v>272</v>
      </c>
      <c r="B8" s="258"/>
      <c r="C8" s="259"/>
      <c r="D8" s="128">
        <f>SUM(D4:D7)/4</f>
        <v>12.75</v>
      </c>
      <c r="E8" s="128">
        <f t="shared" ref="E8:G8" si="4">SUM(E4:E7)/4</f>
        <v>10.5</v>
      </c>
      <c r="F8" s="128">
        <f t="shared" si="4"/>
        <v>10.75</v>
      </c>
      <c r="G8" s="128">
        <f t="shared" si="4"/>
        <v>11.333333333333332</v>
      </c>
      <c r="H8" s="136"/>
      <c r="I8" s="129"/>
    </row>
    <row r="9" spans="1:11" ht="15" thickBot="1" x14ac:dyDescent="0.25">
      <c r="A9" s="257" t="s">
        <v>273</v>
      </c>
      <c r="B9" s="258"/>
      <c r="C9" s="259"/>
      <c r="D9" s="124">
        <f>MIN(D4:D8)</f>
        <v>6</v>
      </c>
      <c r="E9" s="124">
        <f t="shared" ref="E9:G9" si="5">MIN(E4:E8)</f>
        <v>6</v>
      </c>
      <c r="F9" s="124">
        <f t="shared" si="5"/>
        <v>8</v>
      </c>
      <c r="G9" s="124">
        <f t="shared" si="5"/>
        <v>8</v>
      </c>
      <c r="H9" s="137"/>
      <c r="I9" s="129"/>
    </row>
    <row r="10" spans="1:11" ht="15" thickBot="1" x14ac:dyDescent="0.25">
      <c r="A10" s="257" t="s">
        <v>274</v>
      </c>
      <c r="B10" s="258"/>
      <c r="C10" s="259"/>
      <c r="D10" s="124">
        <f>MAX(D4:D9)</f>
        <v>18</v>
      </c>
      <c r="E10" s="124">
        <f t="shared" ref="E10:G10" si="6">MAX(E4:E9)</f>
        <v>14</v>
      </c>
      <c r="F10" s="124">
        <f t="shared" si="6"/>
        <v>16</v>
      </c>
      <c r="G10" s="124">
        <f t="shared" si="6"/>
        <v>16</v>
      </c>
      <c r="H10" s="137"/>
      <c r="I10" s="129"/>
    </row>
    <row r="11" spans="1:11" ht="15" x14ac:dyDescent="0.25">
      <c r="A11" s="130"/>
      <c r="B11" s="130"/>
      <c r="C11" s="130"/>
      <c r="D11" s="130"/>
      <c r="E11" s="130"/>
      <c r="F11" s="130"/>
      <c r="G11" s="130"/>
      <c r="H11" s="130"/>
      <c r="I11" s="80"/>
    </row>
    <row r="12" spans="1:11" ht="21" thickBot="1" x14ac:dyDescent="0.35">
      <c r="A12" s="261" t="s">
        <v>280</v>
      </c>
      <c r="B12" s="261"/>
      <c r="C12" s="261"/>
      <c r="D12" s="261"/>
      <c r="E12" s="261"/>
      <c r="F12" s="261"/>
      <c r="G12" s="261"/>
      <c r="H12" s="261"/>
      <c r="I12" s="261"/>
    </row>
    <row r="13" spans="1:11" ht="29.25" thickBot="1" x14ac:dyDescent="0.25">
      <c r="A13" s="125" t="s">
        <v>261</v>
      </c>
      <c r="B13" s="125" t="s">
        <v>56</v>
      </c>
      <c r="C13" s="125" t="s">
        <v>57</v>
      </c>
      <c r="D13" s="125" t="s">
        <v>232</v>
      </c>
      <c r="E13" s="125" t="s">
        <v>262</v>
      </c>
      <c r="F13" s="125" t="s">
        <v>263</v>
      </c>
      <c r="G13" s="125" t="s">
        <v>264</v>
      </c>
      <c r="H13" s="125" t="s">
        <v>265</v>
      </c>
      <c r="I13" s="125" t="s">
        <v>216</v>
      </c>
    </row>
    <row r="14" spans="1:11" ht="27" customHeight="1" thickBot="1" x14ac:dyDescent="0.25">
      <c r="A14" s="126" t="s">
        <v>266</v>
      </c>
      <c r="B14" s="127" t="s">
        <v>95</v>
      </c>
      <c r="C14" s="127" t="s">
        <v>98</v>
      </c>
      <c r="D14" s="124">
        <v>15</v>
      </c>
      <c r="E14" s="124">
        <v>12</v>
      </c>
      <c r="F14" s="124">
        <v>11</v>
      </c>
      <c r="G14" s="128">
        <f>SUM(D14:F14)/3</f>
        <v>12.666666666666666</v>
      </c>
      <c r="H14" s="124" t="str">
        <f>IF(G14&gt;=10,"Admis","Non Admis")</f>
        <v>Admis</v>
      </c>
      <c r="I14" s="124" t="str">
        <f>VLOOKUP(G14,$I$19:$J$22,2)</f>
        <v>Passable</v>
      </c>
    </row>
    <row r="15" spans="1:11" ht="27" customHeight="1" thickBot="1" x14ac:dyDescent="0.25">
      <c r="A15" s="126" t="s">
        <v>267</v>
      </c>
      <c r="B15" s="127" t="s">
        <v>82</v>
      </c>
      <c r="C15" s="127" t="s">
        <v>99</v>
      </c>
      <c r="D15" s="124">
        <v>12</v>
      </c>
      <c r="E15" s="124">
        <v>6</v>
      </c>
      <c r="F15" s="124">
        <v>8</v>
      </c>
      <c r="G15" s="128">
        <f t="shared" ref="G15:G17" si="7">SUM(D15:F15)/3</f>
        <v>8.6666666666666661</v>
      </c>
      <c r="H15" s="124" t="str">
        <f t="shared" ref="H15:H17" si="8">IF(G15&gt;=10,"Admis","Non Admis")</f>
        <v>Non Admis</v>
      </c>
      <c r="I15" s="124" t="str">
        <f>VLOOKUP(G15,$I$19:$J$22,2)</f>
        <v>Pas de Mention</v>
      </c>
    </row>
    <row r="16" spans="1:11" ht="27" customHeight="1" thickBot="1" x14ac:dyDescent="0.25">
      <c r="A16" s="126" t="s">
        <v>268</v>
      </c>
      <c r="B16" s="127" t="s">
        <v>269</v>
      </c>
      <c r="C16" s="127" t="s">
        <v>101</v>
      </c>
      <c r="D16" s="124">
        <v>18</v>
      </c>
      <c r="E16" s="124">
        <v>14</v>
      </c>
      <c r="F16" s="124">
        <v>16</v>
      </c>
      <c r="G16" s="128">
        <f t="shared" si="7"/>
        <v>16</v>
      </c>
      <c r="H16" s="124" t="str">
        <f t="shared" si="8"/>
        <v>Admis</v>
      </c>
      <c r="I16" s="124" t="str">
        <f>VLOOKUP(G16,$I$19:$J$22,2)</f>
        <v>Excellent</v>
      </c>
    </row>
    <row r="17" spans="1:10" ht="27" customHeight="1" thickBot="1" x14ac:dyDescent="0.25">
      <c r="A17" s="126" t="s">
        <v>270</v>
      </c>
      <c r="B17" s="127" t="s">
        <v>271</v>
      </c>
      <c r="C17" s="127" t="s">
        <v>104</v>
      </c>
      <c r="D17" s="124">
        <v>6</v>
      </c>
      <c r="E17" s="124">
        <v>10</v>
      </c>
      <c r="F17" s="124">
        <v>8</v>
      </c>
      <c r="G17" s="128">
        <f t="shared" si="7"/>
        <v>8</v>
      </c>
      <c r="H17" s="124" t="str">
        <f t="shared" si="8"/>
        <v>Non Admis</v>
      </c>
      <c r="I17" s="124" t="str">
        <f>VLOOKUP(G17,$I$19:$J$22,2)</f>
        <v>Pas de Mention</v>
      </c>
    </row>
    <row r="18" spans="1:10" ht="15" thickBot="1" x14ac:dyDescent="0.25">
      <c r="A18" s="257" t="s">
        <v>272</v>
      </c>
      <c r="B18" s="258"/>
      <c r="C18" s="259"/>
      <c r="D18" s="128">
        <f>SUM(D14:D17)/4</f>
        <v>12.75</v>
      </c>
      <c r="E18" s="128">
        <f t="shared" ref="E18" si="9">SUM(E14:E17)/4</f>
        <v>10.5</v>
      </c>
      <c r="F18" s="128">
        <f t="shared" ref="F18" si="10">SUM(F14:F17)/4</f>
        <v>10.75</v>
      </c>
      <c r="G18" s="128">
        <f t="shared" ref="G18" si="11">SUM(G14:G17)/4</f>
        <v>11.333333333333332</v>
      </c>
      <c r="H18" s="136"/>
      <c r="I18" s="129"/>
    </row>
    <row r="19" spans="1:10" ht="15.75" thickBot="1" x14ac:dyDescent="0.3">
      <c r="A19" s="257" t="s">
        <v>273</v>
      </c>
      <c r="B19" s="258"/>
      <c r="C19" s="259"/>
      <c r="D19" s="124">
        <f>MIN(D14:D18)</f>
        <v>6</v>
      </c>
      <c r="E19" s="124">
        <f t="shared" ref="E19" si="12">MIN(E14:E18)</f>
        <v>6</v>
      </c>
      <c r="F19" s="124">
        <f t="shared" ref="F19" si="13">MIN(F14:F18)</f>
        <v>8</v>
      </c>
      <c r="G19" s="124">
        <f t="shared" ref="G19" si="14">MIN(G14:G18)</f>
        <v>8</v>
      </c>
      <c r="H19" s="137"/>
      <c r="I19" s="140">
        <v>0</v>
      </c>
      <c r="J19" s="140" t="s">
        <v>281</v>
      </c>
    </row>
    <row r="20" spans="1:10" ht="15.75" thickBot="1" x14ac:dyDescent="0.3">
      <c r="A20" s="257" t="s">
        <v>274</v>
      </c>
      <c r="B20" s="258"/>
      <c r="C20" s="259"/>
      <c r="D20" s="124">
        <f>MAX(D14:D19)</f>
        <v>18</v>
      </c>
      <c r="E20" s="124">
        <f t="shared" ref="E20" si="15">MAX(E14:E19)</f>
        <v>14</v>
      </c>
      <c r="F20" s="124">
        <f t="shared" ref="F20" si="16">MAX(F14:F19)</f>
        <v>16</v>
      </c>
      <c r="G20" s="124">
        <f t="shared" ref="G20" si="17">MAX(G14:G19)</f>
        <v>16</v>
      </c>
      <c r="H20" s="137"/>
      <c r="I20" s="140">
        <v>10</v>
      </c>
      <c r="J20" s="140" t="s">
        <v>282</v>
      </c>
    </row>
    <row r="21" spans="1:10" ht="15.75" thickBot="1" x14ac:dyDescent="0.3">
      <c r="I21" s="140">
        <v>14</v>
      </c>
      <c r="J21" s="140" t="s">
        <v>283</v>
      </c>
    </row>
    <row r="22" spans="1:10" ht="15.75" thickBot="1" x14ac:dyDescent="0.3">
      <c r="I22" s="140">
        <v>16</v>
      </c>
      <c r="J22" s="140" t="s">
        <v>284</v>
      </c>
    </row>
  </sheetData>
  <mergeCells count="8">
    <mergeCell ref="A20:C20"/>
    <mergeCell ref="A2:I2"/>
    <mergeCell ref="A12:I12"/>
    <mergeCell ref="A8:C8"/>
    <mergeCell ref="A9:C9"/>
    <mergeCell ref="A10:C10"/>
    <mergeCell ref="A18:C18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Graphiques</vt:lpstr>
      </vt:variant>
      <vt:variant>
        <vt:i4>4</vt:i4>
      </vt:variant>
    </vt:vector>
  </HeadingPairs>
  <TitlesOfParts>
    <vt:vector size="18" baseType="lpstr">
      <vt:lpstr>1</vt:lpstr>
      <vt:lpstr>2</vt:lpstr>
      <vt:lpstr>3</vt:lpstr>
      <vt:lpstr>4</vt:lpstr>
      <vt:lpstr>5</vt:lpstr>
      <vt:lpstr>6</vt:lpstr>
      <vt:lpstr>7</vt:lpstr>
      <vt:lpstr>8</vt:lpstr>
      <vt:lpstr>9-1</vt:lpstr>
      <vt:lpstr>9-2</vt:lpstr>
      <vt:lpstr>10-1</vt:lpstr>
      <vt:lpstr>11-1</vt:lpstr>
      <vt:lpstr>12-1</vt:lpstr>
      <vt:lpstr>12-2</vt:lpstr>
      <vt:lpstr>10-2</vt:lpstr>
      <vt:lpstr>10-3</vt:lpstr>
      <vt:lpstr>11-2</vt:lpstr>
      <vt:lpstr>12-3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PC-02</dc:creator>
  <cp:lastModifiedBy>MOHAMED LAAGUILI</cp:lastModifiedBy>
  <dcterms:created xsi:type="dcterms:W3CDTF">2022-02-15T12:40:13Z</dcterms:created>
  <dcterms:modified xsi:type="dcterms:W3CDTF">2022-04-28T14:58:33Z</dcterms:modified>
</cp:coreProperties>
</file>