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Cardiac Anaesthesia and ECMO\Cardiac\"/>
    </mc:Choice>
  </mc:AlternateContent>
  <bookViews>
    <workbookView xWindow="-109" yWindow="-109" windowWidth="23244" windowHeight="14006"/>
  </bookViews>
  <sheets>
    <sheet name="Cardiac Drugs - Table 1" sheetId="1" r:id="rId1"/>
  </sheets>
  <definedNames>
    <definedName name="_xlnm.Print_Area" localSheetId="0">'Cardiac Drugs - Table 1'!$A$1:$I$51</definedName>
    <definedName name="_xlnm.Print_Titles" localSheetId="0">'Cardiac Drugs - Table 1'!$1:$3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0" i="1" l="1"/>
  <c r="H33" i="1"/>
  <c r="H41" i="1" l="1"/>
  <c r="H43" i="1"/>
  <c r="H48" i="1"/>
  <c r="E51" i="1" l="1"/>
  <c r="E49" i="1"/>
  <c r="E50" i="1"/>
  <c r="E47" i="1" l="1"/>
  <c r="H47" i="1" s="1"/>
  <c r="E14" i="1" l="1"/>
  <c r="E42" i="1"/>
  <c r="E44" i="1"/>
  <c r="E40" i="1"/>
  <c r="E45" i="1"/>
  <c r="G38" i="1"/>
  <c r="E37" i="1"/>
  <c r="E34" i="1"/>
  <c r="E29" i="1"/>
  <c r="E35" i="1"/>
  <c r="E26" i="1"/>
  <c r="E27" i="1"/>
  <c r="E32" i="1"/>
  <c r="E24" i="1"/>
  <c r="E22" i="1"/>
  <c r="E21" i="1"/>
  <c r="E20" i="1"/>
  <c r="E6" i="1"/>
  <c r="E5" i="1"/>
  <c r="E25" i="1"/>
  <c r="E7" i="1"/>
  <c r="E15" i="1"/>
  <c r="E10" i="1"/>
  <c r="E9" i="1"/>
  <c r="E8" i="1"/>
  <c r="E18" i="1"/>
  <c r="E17" i="1"/>
  <c r="E4" i="1"/>
  <c r="E16" i="1"/>
  <c r="E13" i="1"/>
  <c r="E11" i="1"/>
  <c r="E12" i="1"/>
</calcChain>
</file>

<file path=xl/sharedStrings.xml><?xml version="1.0" encoding="utf-8"?>
<sst xmlns="http://schemas.openxmlformats.org/spreadsheetml/2006/main" count="164" uniqueCount="119">
  <si>
    <t>Drugs Calculator</t>
  </si>
  <si>
    <t>kg</t>
  </si>
  <si>
    <t>Dose/kg BW</t>
  </si>
  <si>
    <t>Amount</t>
  </si>
  <si>
    <t>Unit</t>
  </si>
  <si>
    <t>Remarks</t>
  </si>
  <si>
    <t>BW in kg =</t>
  </si>
  <si>
    <t>Fentanyl</t>
  </si>
  <si>
    <t>mcg</t>
  </si>
  <si>
    <t>Titrated</t>
  </si>
  <si>
    <t>Cefazolin</t>
  </si>
  <si>
    <t>mg</t>
  </si>
  <si>
    <t xml:space="preserve">Heparin </t>
  </si>
  <si>
    <t>IU</t>
  </si>
  <si>
    <t>Protamine</t>
  </si>
  <si>
    <t>ONLY BY CONSULTANT</t>
  </si>
  <si>
    <t>Adrenaline</t>
  </si>
  <si>
    <t>Phenylephrine</t>
  </si>
  <si>
    <t>Vasopressin</t>
  </si>
  <si>
    <t>unit</t>
  </si>
  <si>
    <t>Atropine</t>
  </si>
  <si>
    <t>Bicarb (8.4%)</t>
  </si>
  <si>
    <t>mL</t>
  </si>
  <si>
    <t>Lignocaine (1%)</t>
  </si>
  <si>
    <t>Amiodarone</t>
  </si>
  <si>
    <t>over 20-60 minutes</t>
  </si>
  <si>
    <t>Amiodarone infusion</t>
  </si>
  <si>
    <t>first bolus (max 6 mg)</t>
  </si>
  <si>
    <t>second bolus (max 12mg)</t>
  </si>
  <si>
    <t>Synch cardioversion</t>
  </si>
  <si>
    <t>J</t>
  </si>
  <si>
    <t>SVT/VT with pulse</t>
  </si>
  <si>
    <t>First &amp; Succeeding defibrillation</t>
  </si>
  <si>
    <t>VF/VT pulseless</t>
  </si>
  <si>
    <t>BW x 0.3 mg/50mL</t>
  </si>
  <si>
    <t>mg/50mL</t>
  </si>
  <si>
    <t>BW x 3 mg/50mL</t>
  </si>
  <si>
    <t>Milrinone (&gt; 16kg)</t>
  </si>
  <si>
    <t>50 mg/50 mL</t>
  </si>
  <si>
    <t>1mL/hr=</t>
  </si>
  <si>
    <t>mcg/kg/min</t>
  </si>
  <si>
    <t>Dopamine</t>
  </si>
  <si>
    <t>BW x 30 mg/50mL</t>
  </si>
  <si>
    <t>Dobutamine</t>
  </si>
  <si>
    <t>BW x 15 mg/50mL</t>
  </si>
  <si>
    <t>BW x 1 unit/50mL</t>
  </si>
  <si>
    <t>unit/50mL</t>
  </si>
  <si>
    <t>GTN/Nipride (≤ 16kg)</t>
  </si>
  <si>
    <t>GTN/Nipride  (&gt; 16kg)</t>
  </si>
  <si>
    <t>Phentolamine</t>
  </si>
  <si>
    <t>Tranexemic acid (≤ 40kg)</t>
  </si>
  <si>
    <t>mg/20mL</t>
  </si>
  <si>
    <t>Tranexemic acid (&gt; 40kg)</t>
  </si>
  <si>
    <t>2000 mg</t>
  </si>
  <si>
    <t>BW / 50mL</t>
  </si>
  <si>
    <t>50 mg / 50mL</t>
  </si>
  <si>
    <t>BW x 10 mcg/50mL</t>
  </si>
  <si>
    <t>mcg/50mL</t>
  </si>
  <si>
    <t>1mL/hr= 1.0mcg/kg/min</t>
  </si>
  <si>
    <t>BW x 250 mcg/50mL</t>
  </si>
  <si>
    <t>Dexmedetomidine (Neonate)</t>
  </si>
  <si>
    <t>200mcg/ 50 mL</t>
  </si>
  <si>
    <t>1ml/hr=</t>
  </si>
  <si>
    <t>Midazolam</t>
  </si>
  <si>
    <t>1mL/hr=0.2 mcg/kg/hr</t>
  </si>
  <si>
    <t>1mL/hr= 5 mcg/kg/hr</t>
  </si>
  <si>
    <t>1mL/hr= 1.0 mcg/kg/min</t>
  </si>
  <si>
    <t>1mL/hr= 1mg/hr</t>
  </si>
  <si>
    <t>1mL/hr= 20 mcg/kg/hr</t>
  </si>
  <si>
    <t>Adenosine (1st bolus)</t>
  </si>
  <si>
    <t>Adenosine (2nd bolus)</t>
  </si>
  <si>
    <t>1mL/hr= 0.1 mcg/kg/min</t>
  </si>
  <si>
    <t>1mL/hr= 5 mcg/kg/min, run at 1-3 ml/hr</t>
  </si>
  <si>
    <t>1mL/hr= 5 mcg/kg/min</t>
  </si>
  <si>
    <t>1mL/hr= 10 mcg/kg/min</t>
  </si>
  <si>
    <t>1mL/hr= 0.02 unit/kg/hr, 0.5-3ml/hr</t>
  </si>
  <si>
    <t>Dexmedetomidine (CICU)</t>
  </si>
  <si>
    <t xml:space="preserve">BW x 25mg/50mL </t>
  </si>
  <si>
    <t>500mg/ 50mL</t>
  </si>
  <si>
    <t xml:space="preserve">Check dose with pharmacy </t>
  </si>
  <si>
    <t>2500mcg in 50ml</t>
  </si>
  <si>
    <t xml:space="preserve">Fentanyl (≤ 10kg) </t>
  </si>
  <si>
    <t>Fentanyl (&gt;10kg)</t>
  </si>
  <si>
    <r>
      <t xml:space="preserve">                </t>
    </r>
    <r>
      <rPr>
        <b/>
        <sz val="9.5"/>
        <color indexed="8"/>
        <rFont val="Helvetica Neue"/>
      </rPr>
      <t xml:space="preserve">    START HERE</t>
    </r>
  </si>
  <si>
    <r>
      <t>CaCl</t>
    </r>
    <r>
      <rPr>
        <b/>
        <vertAlign val="subscript"/>
        <sz val="9.5"/>
        <color indexed="8"/>
        <rFont val="Helvetica Neue"/>
      </rPr>
      <t xml:space="preserve">2 </t>
    </r>
    <r>
      <rPr>
        <b/>
        <sz val="9.5"/>
        <color indexed="8"/>
        <rFont val="Helvetica Neue"/>
      </rPr>
      <t>(10%)</t>
    </r>
  </si>
  <si>
    <r>
      <t xml:space="preserve">repeat 4 hourly - max </t>
    </r>
    <r>
      <rPr>
        <b/>
        <sz val="9.5"/>
        <color indexed="8"/>
        <rFont val="Helvetica Neue"/>
      </rPr>
      <t>2000mg</t>
    </r>
    <r>
      <rPr>
        <sz val="9.5"/>
        <color indexed="8"/>
        <rFont val="Helvetica Neue"/>
      </rPr>
      <t xml:space="preserve"> per dose</t>
    </r>
  </si>
  <si>
    <r>
      <t>MgSO</t>
    </r>
    <r>
      <rPr>
        <b/>
        <vertAlign val="subscript"/>
        <sz val="9.5"/>
        <color indexed="8"/>
        <rFont val="Helvetica Neue"/>
      </rPr>
      <t>4</t>
    </r>
  </si>
  <si>
    <r>
      <t>mg/50mL</t>
    </r>
    <r>
      <rPr>
        <b/>
        <sz val="9.5"/>
        <color indexed="8"/>
        <rFont val="Helvetica Neue"/>
      </rPr>
      <t>D5W</t>
    </r>
    <r>
      <rPr>
        <sz val="9.5"/>
        <color indexed="8"/>
        <rFont val="Helvetica Neue"/>
      </rPr>
      <t xml:space="preserve"> </t>
    </r>
  </si>
  <si>
    <r>
      <t>Milrinone (</t>
    </r>
    <r>
      <rPr>
        <sz val="9.5"/>
        <color indexed="8"/>
        <rFont val="High Tower Text"/>
        <family val="1"/>
      </rPr>
      <t>≤</t>
    </r>
    <r>
      <rPr>
        <b/>
        <sz val="9.5"/>
        <color indexed="8"/>
        <rFont val="Helvetica Neue"/>
      </rPr>
      <t xml:space="preserve"> 16kg)</t>
    </r>
  </si>
  <si>
    <t>Morphine/ Ketamine (&gt; 50kg)</t>
  </si>
  <si>
    <t>Morphine/ Ketamine (≤ 50kg)</t>
  </si>
  <si>
    <t>mcg/kg/hr</t>
  </si>
  <si>
    <t xml:space="preserve">mg/kg/hr </t>
  </si>
  <si>
    <t>Fibrinogen Concentrate (Haemocomplettan)</t>
  </si>
  <si>
    <t>Novoseven</t>
  </si>
  <si>
    <t>Octaplex (4 factor PCC)</t>
  </si>
  <si>
    <t>Rocuronium (≤ 20kg)</t>
  </si>
  <si>
    <t xml:space="preserve">Rocuronium (&gt; 20kg) </t>
  </si>
  <si>
    <t>90 mcg/kg</t>
  </si>
  <si>
    <r>
      <t xml:space="preserve">70 mg/kg </t>
    </r>
    <r>
      <rPr>
        <b/>
        <sz val="9.5"/>
        <color indexed="8"/>
        <rFont val="Helvetica Neue"/>
      </rPr>
      <t>(initial max. dose 2 g)</t>
    </r>
  </si>
  <si>
    <r>
      <t xml:space="preserve">12.5 IU/kg </t>
    </r>
    <r>
      <rPr>
        <b/>
        <sz val="9.5"/>
        <color indexed="8"/>
        <rFont val="Helvetica Neue"/>
      </rPr>
      <t>(initial max. dose 1000 IU)</t>
    </r>
  </si>
  <si>
    <t>- Can consider initial dose 20-40mcg/kg 
- Can be redosed Q2H
- Capped at 180 mcg/kg</t>
  </si>
  <si>
    <t>Esmolol</t>
  </si>
  <si>
    <t>Draw neat</t>
  </si>
  <si>
    <t>Titrate to effect 0-200mcg/kg/min</t>
  </si>
  <si>
    <r>
      <rPr>
        <sz val="9.5"/>
        <color indexed="8"/>
        <rFont val="Helvetica Neue"/>
      </rPr>
      <t xml:space="preserve">mcg/kg/min </t>
    </r>
    <r>
      <rPr>
        <b/>
        <sz val="9.5"/>
        <color indexed="8"/>
        <rFont val="Helvetica Neue"/>
      </rPr>
      <t>(max 8mcg/kg/min)</t>
    </r>
  </si>
  <si>
    <r>
      <t xml:space="preserve">1mL/hr= 1.0 mcg/kg/min </t>
    </r>
    <r>
      <rPr>
        <b/>
        <sz val="9.5"/>
        <color indexed="8"/>
        <rFont val="Helvetica Neue"/>
      </rPr>
      <t>(max 8mcg/kg/min)</t>
    </r>
  </si>
  <si>
    <r>
      <t xml:space="preserve">Dilute to 100mg/ml, infuse over 1-hour, </t>
    </r>
    <r>
      <rPr>
        <b/>
        <sz val="9.5"/>
        <color indexed="8"/>
        <rFont val="Helvetica Neue"/>
      </rPr>
      <t>Max 2000mg</t>
    </r>
  </si>
  <si>
    <t>Isoprenaline</t>
  </si>
  <si>
    <t>Adrenaline/Noradrenaline</t>
  </si>
  <si>
    <t>mcg/mL</t>
  </si>
  <si>
    <r>
      <t xml:space="preserve">1mL/hr=2.5 mg/kg/hr </t>
    </r>
    <r>
      <rPr>
        <b/>
        <sz val="9.5"/>
        <color indexed="8"/>
        <rFont val="Helvetica Neue"/>
      </rPr>
      <t>(10ml/hr for 1hr then1ml/hr)</t>
    </r>
  </si>
  <si>
    <r>
      <t xml:space="preserve">- Max. rate of infusion not &gt;5ml per min
- Aim Fibtem A10 &gt;8 mm
- Top-up dose 50mg/kg (Capped at 4 g)
- Reconstituted solution can be stored up to 8H </t>
    </r>
    <r>
      <rPr>
        <b/>
        <sz val="9.5"/>
        <color indexed="8"/>
        <rFont val="Helvetica Neue"/>
      </rPr>
      <t>at room   
  temperature</t>
    </r>
    <r>
      <rPr>
        <sz val="9.5"/>
        <color indexed="8"/>
        <rFont val="Helvetica Neue"/>
      </rPr>
      <t xml:space="preserve"> (handover to CICU if there's extra)</t>
    </r>
  </si>
  <si>
    <t>Dilute 0.2mg in 20mls NS</t>
  </si>
  <si>
    <t>Titrate to effect (0.01 to 0.2 mcg/kg/min)</t>
  </si>
  <si>
    <r>
      <t xml:space="preserve">- Max. Adult dose 3000 IU
- Infuse at 2-3 ml/min
- Reconstituted solution can be stored up to 8H </t>
    </r>
    <r>
      <rPr>
        <b/>
        <sz val="9.5"/>
        <color indexed="8"/>
        <rFont val="Helvetica Neue"/>
      </rPr>
      <t>in the fridge</t>
    </r>
    <r>
      <rPr>
        <sz val="9.5"/>
        <color indexed="8"/>
        <rFont val="Helvetica Neue"/>
      </rPr>
      <t xml:space="preserve">
- To be used only after trial of Novoseven</t>
    </r>
  </si>
  <si>
    <r>
      <t xml:space="preserve">mL/hr=2.5 mg/kg/hr </t>
    </r>
    <r>
      <rPr>
        <b/>
        <sz val="9.5"/>
        <color indexed="8"/>
        <rFont val="Helvetica Neue"/>
      </rPr>
      <t>(10ml/hr for 1hr then1ml/hr)</t>
    </r>
  </si>
  <si>
    <r>
      <t>2000 mg/</t>
    </r>
    <r>
      <rPr>
        <b/>
        <sz val="9.5"/>
        <color indexed="8"/>
        <rFont val="Helvetica Neue"/>
      </rPr>
      <t>20 mL</t>
    </r>
  </si>
  <si>
    <r>
      <t>BW x 50 mg/</t>
    </r>
    <r>
      <rPr>
        <b/>
        <sz val="9.5"/>
        <color indexed="8"/>
        <rFont val="Helvetica Neue"/>
      </rPr>
      <t>20mL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</si>
</sst>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>
    <font>
      <sz val="10"/>
      <color indexed="8"/>
      <name val="Helvetica Neue"/>
    </font>
    <font>
      <sz val="11"/>
      <color rgb="FF9C0006"/>
      <name val="Helvetica Neue"/>
      <family val="2"/>
      <scheme val="minor"/>
    </font>
    <font>
      <sz val="9.5"/>
      <color indexed="8"/>
      <name val="Helvetica Neue"/>
    </font>
    <font>
      <b/>
      <sz val="9.5"/>
      <color indexed="8"/>
      <name val="Helvetica Neue"/>
    </font>
    <font>
      <b/>
      <vertAlign val="subscript"/>
      <sz val="9.5"/>
      <color indexed="8"/>
      <name val="Helvetica Neue"/>
    </font>
    <font>
      <sz val="9.5"/>
      <color indexed="8"/>
      <name val="High Tower Text"/>
      <family val="1"/>
    </font>
    <font>
      <b/>
      <sz val="9.5"/>
      <name val="Helvetica Neue"/>
      <scheme val="minor"/>
    </font>
    <font>
      <sz val="9.5"/>
      <name val="Helvetica Neue"/>
      <family val="2"/>
      <scheme val="minor"/>
    </font>
    <font>
      <sz val="9.5"/>
      <name val="Helvetica Neue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2">
    <xf numFmtId="0" fontId="0" fillId="0" borderId="0" applyNumberFormat="0" applyFill="0" applyBorder="0" applyProtection="0"/>
    <xf numFmtId="0" fontId="1" fillId="4" borderId="0" applyNumberFormat="0" applyBorder="0" applyAlignment="0" applyProtection="0"/>
  </cellStyleXfs>
  <cellXfs count="105">
    <xf numFmtId="0" fontId="0" fillId="0" borderId="0" xfId="0" applyFont="1" applyAlignment="1"/>
    <xf numFmtId="49" fontId="2" fillId="3" borderId="1" xfId="0" applyNumberFormat="1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vertical="center"/>
    </xf>
    <xf numFmtId="49" fontId="3" fillId="2" borderId="1" xfId="0" applyNumberFormat="1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vertical="center"/>
    </xf>
    <xf numFmtId="0" fontId="2" fillId="0" borderId="6" xfId="0" applyNumberFormat="1" applyFont="1" applyBorder="1" applyAlignment="1" applyProtection="1">
      <alignment vertical="center"/>
    </xf>
    <xf numFmtId="0" fontId="2" fillId="0" borderId="0" xfId="0" applyNumberFormat="1" applyFont="1" applyBorder="1" applyAlignment="1" applyProtection="1">
      <alignment vertical="center"/>
    </xf>
    <xf numFmtId="0" fontId="2" fillId="0" borderId="0" xfId="0" applyNumberFormat="1" applyFont="1" applyAlignment="1" applyProtection="1">
      <alignment vertical="center"/>
    </xf>
    <xf numFmtId="0" fontId="3" fillId="2" borderId="1" xfId="0" applyNumberFormat="1" applyFont="1" applyFill="1" applyBorder="1" applyAlignment="1" applyProtection="1">
      <alignment horizontal="left" vertical="center"/>
      <protection locked="0"/>
    </xf>
    <xf numFmtId="0" fontId="3" fillId="2" borderId="20" xfId="0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left" vertical="center"/>
    </xf>
    <xf numFmtId="49" fontId="3" fillId="2" borderId="19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3" fillId="2" borderId="1" xfId="0" applyNumberFormat="1" applyFont="1" applyFill="1" applyBorder="1" applyAlignment="1" applyProtection="1">
      <alignment horizontal="center" vertical="center"/>
    </xf>
    <xf numFmtId="49" fontId="2" fillId="2" borderId="1" xfId="0" applyNumberFormat="1" applyFont="1" applyFill="1" applyBorder="1" applyAlignment="1" applyProtection="1">
      <alignment vertical="center"/>
    </xf>
    <xf numFmtId="49" fontId="2" fillId="2" borderId="1" xfId="0" applyNumberFormat="1" applyFont="1" applyFill="1" applyBorder="1" applyAlignment="1" applyProtection="1">
      <alignment horizontal="left" vertical="center"/>
    </xf>
    <xf numFmtId="49" fontId="3" fillId="2" borderId="2" xfId="0" applyNumberFormat="1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0" fontId="3" fillId="2" borderId="3" xfId="0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horizontal="left" vertical="center"/>
    </xf>
    <xf numFmtId="49" fontId="2" fillId="5" borderId="1" xfId="0" applyNumberFormat="1" applyFont="1" applyFill="1" applyBorder="1" applyAlignment="1" applyProtection="1">
      <alignment horizontal="left" vertical="center"/>
    </xf>
    <xf numFmtId="0" fontId="3" fillId="5" borderId="1" xfId="0" applyNumberFormat="1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left" vertical="center"/>
    </xf>
    <xf numFmtId="0" fontId="2" fillId="2" borderId="5" xfId="0" applyFont="1" applyFill="1" applyBorder="1" applyAlignment="1" applyProtection="1">
      <alignment horizontal="left" vertical="center"/>
    </xf>
    <xf numFmtId="49" fontId="3" fillId="2" borderId="1" xfId="0" applyNumberFormat="1" applyFont="1" applyFill="1" applyBorder="1" applyAlignment="1" applyProtection="1">
      <alignment horizontal="center" vertical="center"/>
    </xf>
    <xf numFmtId="49" fontId="2" fillId="2" borderId="11" xfId="0" applyNumberFormat="1" applyFont="1" applyFill="1" applyBorder="1" applyAlignment="1" applyProtection="1">
      <alignment vertical="center"/>
    </xf>
    <xf numFmtId="0" fontId="3" fillId="2" borderId="11" xfId="0" applyNumberFormat="1" applyFont="1" applyFill="1" applyBorder="1" applyAlignment="1" applyProtection="1">
      <alignment horizontal="center" vertical="center"/>
    </xf>
    <xf numFmtId="49" fontId="3" fillId="2" borderId="6" xfId="0" applyNumberFormat="1" applyFont="1" applyFill="1" applyBorder="1" applyAlignment="1" applyProtection="1">
      <alignment horizontal="left" vertical="center"/>
    </xf>
    <xf numFmtId="0" fontId="2" fillId="2" borderId="7" xfId="0" applyFont="1" applyFill="1" applyBorder="1" applyAlignment="1" applyProtection="1">
      <alignment horizontal="left" vertical="center"/>
    </xf>
    <xf numFmtId="49" fontId="2" fillId="2" borderId="8" xfId="0" applyNumberFormat="1" applyFont="1" applyFill="1" applyBorder="1" applyAlignment="1" applyProtection="1">
      <alignment vertical="center"/>
    </xf>
    <xf numFmtId="0" fontId="3" fillId="2" borderId="8" xfId="0" applyNumberFormat="1" applyFont="1" applyFill="1" applyBorder="1" applyAlignment="1" applyProtection="1">
      <alignment horizontal="center" vertical="center"/>
    </xf>
    <xf numFmtId="0" fontId="2" fillId="2" borderId="18" xfId="0" applyFont="1" applyFill="1" applyBorder="1" applyAlignment="1" applyProtection="1">
      <alignment horizontal="left" vertical="center"/>
    </xf>
    <xf numFmtId="49" fontId="7" fillId="6" borderId="11" xfId="1" applyNumberFormat="1" applyFont="1" applyFill="1" applyBorder="1" applyAlignment="1" applyProtection="1">
      <alignment horizontal="left" vertical="center"/>
    </xf>
    <xf numFmtId="0" fontId="6" fillId="6" borderId="11" xfId="1" applyNumberFormat="1" applyFont="1" applyFill="1" applyBorder="1" applyAlignment="1" applyProtection="1">
      <alignment horizontal="center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14" xfId="0" applyFont="1" applyFill="1" applyBorder="1" applyAlignment="1" applyProtection="1">
      <alignment horizontal="left" vertical="center"/>
    </xf>
    <xf numFmtId="0" fontId="8" fillId="6" borderId="13" xfId="0" applyFont="1" applyFill="1" applyBorder="1" applyAlignment="1" applyProtection="1">
      <alignment horizontal="left" vertical="center"/>
    </xf>
    <xf numFmtId="49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left" vertical="center"/>
    </xf>
    <xf numFmtId="0" fontId="2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Border="1" applyAlignment="1" applyProtection="1">
      <alignment vertical="center"/>
    </xf>
    <xf numFmtId="0" fontId="3" fillId="0" borderId="2" xfId="0" applyFont="1" applyFill="1" applyBorder="1" applyAlignment="1" applyProtection="1">
      <alignment horizontal="left" vertical="center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49" fontId="2" fillId="0" borderId="6" xfId="0" applyNumberFormat="1" applyFont="1" applyFill="1" applyBorder="1" applyAlignment="1" applyProtection="1">
      <alignment horizontal="left" vertical="center"/>
    </xf>
    <xf numFmtId="49" fontId="2" fillId="0" borderId="16" xfId="0" applyNumberFormat="1" applyFont="1" applyFill="1" applyBorder="1" applyAlignment="1" applyProtection="1">
      <alignment horizontal="left" vertical="center"/>
    </xf>
    <xf numFmtId="49" fontId="8" fillId="0" borderId="9" xfId="0" applyNumberFormat="1" applyFont="1" applyFill="1" applyBorder="1" applyAlignment="1" applyProtection="1">
      <alignment horizontal="left" vertical="center"/>
    </xf>
    <xf numFmtId="0" fontId="3" fillId="0" borderId="3" xfId="0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horizontal="left" vertical="center"/>
    </xf>
    <xf numFmtId="49" fontId="2" fillId="0" borderId="2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</xf>
    <xf numFmtId="164" fontId="2" fillId="0" borderId="3" xfId="0" applyNumberFormat="1" applyFont="1" applyFill="1" applyBorder="1" applyAlignment="1" applyProtection="1">
      <alignment horizontal="left" vertical="center"/>
    </xf>
    <xf numFmtId="2" fontId="2" fillId="0" borderId="0" xfId="0" applyNumberFormat="1" applyFont="1" applyFill="1" applyBorder="1" applyAlignment="1" applyProtection="1">
      <alignment horizontal="left" vertical="center"/>
    </xf>
    <xf numFmtId="0" fontId="2" fillId="0" borderId="17" xfId="0" applyFont="1" applyFill="1" applyBorder="1" applyAlignment="1" applyProtection="1">
      <alignment horizontal="left" vertical="center"/>
    </xf>
    <xf numFmtId="164" fontId="8" fillId="0" borderId="12" xfId="0" applyNumberFormat="1" applyFont="1" applyFill="1" applyBorder="1" applyAlignment="1" applyProtection="1">
      <alignment horizontal="left" vertical="center"/>
    </xf>
    <xf numFmtId="49" fontId="3" fillId="0" borderId="2" xfId="0" applyNumberFormat="1" applyFont="1" applyFill="1" applyBorder="1" applyAlignment="1" applyProtection="1">
      <alignment vertical="center"/>
    </xf>
    <xf numFmtId="0" fontId="3" fillId="0" borderId="4" xfId="0" applyFont="1" applyFill="1" applyBorder="1" applyAlignment="1" applyProtection="1">
      <alignment vertical="center"/>
    </xf>
    <xf numFmtId="0" fontId="2" fillId="0" borderId="1" xfId="0" applyNumberFormat="1" applyFont="1" applyFill="1" applyBorder="1" applyAlignment="1" applyProtection="1">
      <alignment horizontal="left" vertical="center"/>
    </xf>
    <xf numFmtId="0" fontId="3" fillId="0" borderId="1" xfId="0" applyNumberFormat="1" applyFont="1" applyFill="1" applyBorder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vertical="center"/>
    </xf>
    <xf numFmtId="49" fontId="2" fillId="0" borderId="1" xfId="0" applyNumberFormat="1" applyFont="1" applyFill="1" applyBorder="1" applyAlignment="1" applyProtection="1">
      <alignment horizontal="left" vertical="center"/>
    </xf>
    <xf numFmtId="49" fontId="3" fillId="0" borderId="4" xfId="0" applyNumberFormat="1" applyFont="1" applyFill="1" applyBorder="1" applyAlignment="1" applyProtection="1">
      <alignment horizontal="left" vertical="center" wrapText="1"/>
    </xf>
    <xf numFmtId="49" fontId="3" fillId="2" borderId="2" xfId="0" applyNumberFormat="1" applyFont="1" applyFill="1" applyBorder="1" applyAlignment="1" applyProtection="1">
      <alignment horizontal="left" vertical="center"/>
    </xf>
    <xf numFmtId="0" fontId="3" fillId="2" borderId="4" xfId="0" applyFont="1" applyFill="1" applyBorder="1" applyAlignment="1" applyProtection="1">
      <alignment horizontal="left" vertical="center"/>
    </xf>
    <xf numFmtId="49" fontId="2" fillId="2" borderId="2" xfId="0" quotePrefix="1" applyNumberFormat="1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4" xfId="0" applyFont="1" applyFill="1" applyBorder="1" applyAlignment="1" applyProtection="1">
      <alignment horizontal="left" vertical="center" wrapText="1"/>
    </xf>
    <xf numFmtId="49" fontId="3" fillId="0" borderId="2" xfId="0" applyNumberFormat="1" applyFont="1" applyFill="1" applyBorder="1" applyAlignment="1" applyProtection="1">
      <alignment horizontal="left" vertical="center"/>
    </xf>
    <xf numFmtId="0" fontId="3" fillId="0" borderId="4" xfId="0" applyFont="1" applyFill="1" applyBorder="1" applyAlignment="1" applyProtection="1">
      <alignment horizontal="left" vertical="center"/>
    </xf>
    <xf numFmtId="49" fontId="2" fillId="0" borderId="2" xfId="0" applyNumberFormat="1" applyFont="1" applyFill="1" applyBorder="1" applyAlignment="1" applyProtection="1">
      <alignment horizontal="left" vertical="center"/>
    </xf>
    <xf numFmtId="0" fontId="2" fillId="0" borderId="3" xfId="0" applyFont="1" applyFill="1" applyBorder="1" applyAlignment="1" applyProtection="1">
      <alignment horizontal="left" vertical="center"/>
    </xf>
    <xf numFmtId="0" fontId="2" fillId="0" borderId="4" xfId="0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 wrapText="1"/>
    </xf>
    <xf numFmtId="49" fontId="6" fillId="6" borderId="9" xfId="1" applyNumberFormat="1" applyFont="1" applyFill="1" applyBorder="1" applyAlignment="1" applyProtection="1">
      <alignment horizontal="left" vertical="center"/>
    </xf>
    <xf numFmtId="0" fontId="6" fillId="6" borderId="10" xfId="1" applyFont="1" applyFill="1" applyBorder="1" applyAlignment="1" applyProtection="1">
      <alignment horizontal="left" vertical="center"/>
    </xf>
    <xf numFmtId="49" fontId="2" fillId="2" borderId="2" xfId="0" applyNumberFormat="1" applyFont="1" applyFill="1" applyBorder="1" applyAlignment="1" applyProtection="1">
      <alignment horizontal="left" vertical="center"/>
    </xf>
    <xf numFmtId="0" fontId="2" fillId="2" borderId="3" xfId="0" applyFont="1" applyFill="1" applyBorder="1" applyAlignment="1" applyProtection="1">
      <alignment horizontal="left" vertical="center"/>
    </xf>
    <xf numFmtId="0" fontId="2" fillId="2" borderId="15" xfId="0" applyFont="1" applyFill="1" applyBorder="1" applyAlignment="1" applyProtection="1">
      <alignment horizontal="left" vertical="center"/>
    </xf>
    <xf numFmtId="49" fontId="3" fillId="2" borderId="20" xfId="0" applyNumberFormat="1" applyFont="1" applyFill="1" applyBorder="1" applyAlignment="1" applyProtection="1">
      <alignment horizontal="center" vertical="center"/>
    </xf>
    <xf numFmtId="0" fontId="3" fillId="2" borderId="21" xfId="0" applyFont="1" applyFill="1" applyBorder="1" applyAlignment="1" applyProtection="1">
      <alignment horizontal="center" vertical="center"/>
    </xf>
    <xf numFmtId="0" fontId="3" fillId="2" borderId="22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left" vertical="center"/>
    </xf>
    <xf numFmtId="0" fontId="2" fillId="2" borderId="5" xfId="0" applyFont="1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center" vertical="center"/>
    </xf>
    <xf numFmtId="49" fontId="2" fillId="2" borderId="9" xfId="0" applyNumberFormat="1" applyFont="1" applyFill="1" applyBorder="1" applyAlignment="1" applyProtection="1">
      <alignment horizontal="left" vertical="center"/>
    </xf>
    <xf numFmtId="0" fontId="2" fillId="2" borderId="12" xfId="0" applyFont="1" applyFill="1" applyBorder="1" applyAlignment="1" applyProtection="1">
      <alignment horizontal="left" vertical="center"/>
    </xf>
    <xf numFmtId="0" fontId="2" fillId="2" borderId="13" xfId="0" applyFont="1" applyFill="1" applyBorder="1" applyAlignment="1" applyProtection="1">
      <alignment horizontal="left" vertical="center"/>
    </xf>
    <xf numFmtId="0" fontId="3" fillId="2" borderId="2" xfId="0" applyFont="1" applyFill="1" applyBorder="1" applyAlignment="1" applyProtection="1">
      <alignment horizontal="left" vertical="center"/>
    </xf>
    <xf numFmtId="0" fontId="3" fillId="2" borderId="3" xfId="0" applyFont="1" applyFill="1" applyBorder="1" applyAlignment="1" applyProtection="1">
      <alignment horizontal="left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49" fontId="3" fillId="2" borderId="2" xfId="0" applyNumberFormat="1" applyFont="1" applyFill="1" applyBorder="1" applyAlignment="1" applyProtection="1">
      <alignment vertical="center"/>
    </xf>
    <xf numFmtId="0" fontId="3" fillId="2" borderId="4" xfId="0" applyFont="1" applyFill="1" applyBorder="1" applyAlignment="1" applyProtection="1">
      <alignment vertical="center"/>
    </xf>
    <xf numFmtId="49" fontId="3" fillId="2" borderId="9" xfId="0" applyNumberFormat="1" applyFont="1" applyFill="1" applyBorder="1" applyAlignment="1" applyProtection="1">
      <alignment horizontal="left" vertical="center"/>
    </xf>
    <xf numFmtId="0" fontId="2" fillId="2" borderId="10" xfId="0" applyFont="1" applyFill="1" applyBorder="1" applyAlignment="1" applyProtection="1">
      <alignment horizontal="left" vertical="center"/>
    </xf>
    <xf numFmtId="49" fontId="2" fillId="2" borderId="3" xfId="0" applyNumberFormat="1" applyFont="1" applyFill="1" applyBorder="1" applyAlignment="1" applyProtection="1">
      <alignment horizontal="left" vertical="center" wrapText="1"/>
    </xf>
    <xf numFmtId="164" fontId="2" fillId="2" borderId="4" xfId="0" applyNumberFormat="1" applyFont="1" applyFill="1" applyBorder="1" applyAlignment="1" applyProtection="1">
      <alignment horizontal="left" vertical="center" wrapText="1"/>
    </xf>
    <xf numFmtId="49" fontId="3" fillId="0" borderId="2" xfId="0" applyNumberFormat="1" applyFont="1" applyFill="1" applyBorder="1" applyAlignment="1" applyProtection="1">
      <alignment horizontal="center" vertical="center"/>
    </xf>
    <xf numFmtId="49" fontId="3" fillId="0" borderId="3" xfId="0" applyNumberFormat="1" applyFont="1" applyFill="1" applyBorder="1" applyAlignment="1" applyProtection="1">
      <alignment horizontal="center" vertical="center"/>
    </xf>
    <xf numFmtId="49" fontId="3" fillId="0" borderId="4" xfId="0" applyNumberFormat="1" applyFont="1" applyFill="1" applyBorder="1" applyAlignment="1" applyProtection="1">
      <alignment horizontal="center" vertical="center"/>
    </xf>
  </cellXfs>
  <cellStyles count="2">
    <cellStyle name="Bad" xfId="1" builtinId="27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29100</xdr:colOff>
      <xdr:row>1</xdr:row>
      <xdr:rowOff>24693</xdr:rowOff>
    </xdr:from>
    <xdr:to>
      <xdr:col>3</xdr:col>
      <xdr:colOff>452434</xdr:colOff>
      <xdr:row>1</xdr:row>
      <xdr:rowOff>123470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743725" y="199318"/>
          <a:ext cx="423334" cy="98777"/>
        </a:xfrm>
        <a:prstGeom prst="leftArrow">
          <a:avLst>
            <a:gd name="adj1" fmla="val 50000"/>
            <a:gd name="adj2" fmla="val 50000"/>
          </a:avLst>
        </a:prstGeom>
        <a:gradFill flip="none" rotWithShape="1">
          <a:gsLst>
            <a:gs pos="0">
              <a:srgbClr val="2E5E97"/>
            </a:gs>
            <a:gs pos="80000">
              <a:srgbClr val="3C7BC7"/>
            </a:gs>
            <a:gs pos="100000">
              <a:srgbClr val="3A7CCA"/>
            </a:gs>
          </a:gsLst>
          <a:lin ang="16200000" scaled="0"/>
        </a:gradFill>
        <a:ln w="9525" cap="flat">
          <a:solidFill>
            <a:srgbClr val="4A7EBB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xdr:spPr>
      <xdr:txBody>
        <a:bodyPr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abSelected="1" zoomScale="130" zoomScaleNormal="130" workbookViewId="0">
      <selection activeCell="D40" sqref="D40"/>
    </sheetView>
  </sheetViews>
  <sheetFormatPr defaultColWidth="12" defaultRowHeight="20.05" customHeight="1"/>
  <cols>
    <col min="1" max="1" width="1.25" style="6" customWidth="1"/>
    <col min="2" max="2" width="18.75" style="7" customWidth="1"/>
    <col min="3" max="3" width="20.75" style="7" customWidth="1"/>
    <col min="4" max="4" width="30.375" style="7" customWidth="1"/>
    <col min="5" max="5" width="11.25" style="7" customWidth="1"/>
    <col min="6" max="6" width="12.125" style="7" customWidth="1"/>
    <col min="7" max="7" width="7.125" style="42" customWidth="1"/>
    <col min="8" max="8" width="4.75" style="42" customWidth="1"/>
    <col min="9" max="9" width="35.25" style="7" customWidth="1"/>
    <col min="10" max="10" width="12" style="7" customWidth="1"/>
    <col min="11" max="16384" width="12" style="7"/>
  </cols>
  <sheetData>
    <row r="1" spans="1:9" ht="12.9" customHeight="1">
      <c r="A1" s="2"/>
      <c r="B1" s="3" t="s">
        <v>0</v>
      </c>
      <c r="C1" s="4" t="s">
        <v>1</v>
      </c>
      <c r="D1" s="3" t="s">
        <v>2</v>
      </c>
      <c r="E1" s="5"/>
      <c r="F1" s="6"/>
      <c r="G1" s="43"/>
      <c r="H1" s="43"/>
      <c r="I1" s="6"/>
    </row>
    <row r="2" spans="1:9" ht="12.9" customHeight="1">
      <c r="A2" s="2"/>
      <c r="B2" s="3" t="s">
        <v>6</v>
      </c>
      <c r="C2" s="8">
        <v>3</v>
      </c>
      <c r="D2" s="1" t="s">
        <v>83</v>
      </c>
      <c r="E2" s="9"/>
      <c r="F2" s="10"/>
      <c r="G2" s="92"/>
      <c r="H2" s="92"/>
      <c r="I2" s="92"/>
    </row>
    <row r="3" spans="1:9" ht="12.9" customHeight="1">
      <c r="A3" s="2"/>
      <c r="B3" s="86"/>
      <c r="C3" s="86"/>
      <c r="D3" s="11"/>
      <c r="E3" s="12" t="s">
        <v>3</v>
      </c>
      <c r="F3" s="12" t="s">
        <v>4</v>
      </c>
      <c r="G3" s="81" t="s">
        <v>5</v>
      </c>
      <c r="H3" s="82"/>
      <c r="I3" s="83"/>
    </row>
    <row r="4" spans="1:9" ht="12.9" customHeight="1">
      <c r="A4" s="2"/>
      <c r="B4" s="96" t="s">
        <v>16</v>
      </c>
      <c r="C4" s="97"/>
      <c r="D4" s="13">
        <v>10</v>
      </c>
      <c r="E4" s="14">
        <f>C2*10</f>
        <v>30</v>
      </c>
      <c r="F4" s="15" t="s">
        <v>8</v>
      </c>
      <c r="G4" s="90"/>
      <c r="H4" s="91"/>
      <c r="I4" s="66"/>
    </row>
    <row r="5" spans="1:9" ht="12.9" customHeight="1">
      <c r="A5" s="2"/>
      <c r="B5" s="65" t="s">
        <v>69</v>
      </c>
      <c r="C5" s="66"/>
      <c r="D5" s="13">
        <v>0.1</v>
      </c>
      <c r="E5" s="14">
        <f>MIN(6,(C2*0.1))</f>
        <v>0.30000000000000004</v>
      </c>
      <c r="F5" s="16" t="s">
        <v>11</v>
      </c>
      <c r="G5" s="78" t="s">
        <v>27</v>
      </c>
      <c r="H5" s="79"/>
      <c r="I5" s="84"/>
    </row>
    <row r="6" spans="1:9" ht="12.9" customHeight="1">
      <c r="A6" s="2"/>
      <c r="B6" s="65" t="s">
        <v>70</v>
      </c>
      <c r="C6" s="66"/>
      <c r="D6" s="13">
        <v>0.2</v>
      </c>
      <c r="E6" s="14">
        <f>MIN(12,(C2*0.2))</f>
        <v>0.60000000000000009</v>
      </c>
      <c r="F6" s="16" t="s">
        <v>11</v>
      </c>
      <c r="G6" s="78" t="s">
        <v>28</v>
      </c>
      <c r="H6" s="79"/>
      <c r="I6" s="84"/>
    </row>
    <row r="7" spans="1:9" ht="12.9" customHeight="1">
      <c r="A7" s="2"/>
      <c r="B7" s="65" t="s">
        <v>24</v>
      </c>
      <c r="C7" s="66"/>
      <c r="D7" s="13">
        <v>5</v>
      </c>
      <c r="E7" s="14">
        <f>MIN(300,(C2*5))</f>
        <v>15</v>
      </c>
      <c r="F7" s="15" t="s">
        <v>11</v>
      </c>
      <c r="G7" s="78" t="s">
        <v>25</v>
      </c>
      <c r="H7" s="79"/>
      <c r="I7" s="84"/>
    </row>
    <row r="8" spans="1:9" ht="12.9" customHeight="1">
      <c r="A8" s="2"/>
      <c r="B8" s="96" t="s">
        <v>20</v>
      </c>
      <c r="C8" s="97"/>
      <c r="D8" s="13">
        <v>0.02</v>
      </c>
      <c r="E8" s="14">
        <f>MIN(1.2,(C2*0.02))</f>
        <v>0.06</v>
      </c>
      <c r="F8" s="15" t="s">
        <v>11</v>
      </c>
      <c r="G8" s="90"/>
      <c r="H8" s="91"/>
      <c r="I8" s="66"/>
    </row>
    <row r="9" spans="1:9" ht="12.9" customHeight="1">
      <c r="A9" s="2"/>
      <c r="B9" s="96" t="s">
        <v>21</v>
      </c>
      <c r="C9" s="97"/>
      <c r="D9" s="13">
        <v>1</v>
      </c>
      <c r="E9" s="14">
        <f>C2*1</f>
        <v>3</v>
      </c>
      <c r="F9" s="15" t="s">
        <v>22</v>
      </c>
      <c r="G9" s="90"/>
      <c r="H9" s="91"/>
      <c r="I9" s="66"/>
    </row>
    <row r="10" spans="1:9" ht="12.9" customHeight="1">
      <c r="A10" s="2"/>
      <c r="B10" s="96" t="s">
        <v>84</v>
      </c>
      <c r="C10" s="97"/>
      <c r="D10" s="13">
        <v>0.2</v>
      </c>
      <c r="E10" s="14">
        <f>C2*0.2</f>
        <v>0.60000000000000009</v>
      </c>
      <c r="F10" s="15" t="s">
        <v>22</v>
      </c>
      <c r="G10" s="90"/>
      <c r="H10" s="91"/>
      <c r="I10" s="66"/>
    </row>
    <row r="11" spans="1:9" ht="12.9" customHeight="1">
      <c r="A11" s="2"/>
      <c r="B11" s="96" t="s">
        <v>10</v>
      </c>
      <c r="C11" s="97"/>
      <c r="D11" s="13">
        <v>30</v>
      </c>
      <c r="E11" s="14">
        <f>MIN(2000,(C2*30))</f>
        <v>90</v>
      </c>
      <c r="F11" s="15" t="s">
        <v>11</v>
      </c>
      <c r="G11" s="78" t="s">
        <v>85</v>
      </c>
      <c r="H11" s="79"/>
      <c r="I11" s="84"/>
    </row>
    <row r="12" spans="1:9" ht="12.9" customHeight="1">
      <c r="A12" s="2"/>
      <c r="B12" s="96" t="s">
        <v>7</v>
      </c>
      <c r="C12" s="97"/>
      <c r="D12" s="13">
        <v>20</v>
      </c>
      <c r="E12" s="14">
        <f>C2*20</f>
        <v>60</v>
      </c>
      <c r="F12" s="15" t="s">
        <v>8</v>
      </c>
      <c r="G12" s="78" t="s">
        <v>9</v>
      </c>
      <c r="H12" s="79"/>
      <c r="I12" s="84"/>
    </row>
    <row r="13" spans="1:9" ht="12.9" customHeight="1">
      <c r="A13" s="2"/>
      <c r="B13" s="96" t="s">
        <v>12</v>
      </c>
      <c r="C13" s="97"/>
      <c r="D13" s="13">
        <v>300</v>
      </c>
      <c r="E13" s="14">
        <f>C2*300</f>
        <v>900</v>
      </c>
      <c r="F13" s="15" t="s">
        <v>13</v>
      </c>
      <c r="G13" s="93"/>
      <c r="H13" s="94"/>
      <c r="I13" s="95"/>
    </row>
    <row r="14" spans="1:9" ht="12.9" customHeight="1">
      <c r="A14" s="2"/>
      <c r="B14" s="17" t="s">
        <v>23</v>
      </c>
      <c r="C14" s="18"/>
      <c r="D14" s="13">
        <v>1</v>
      </c>
      <c r="E14" s="14">
        <f>C2*1</f>
        <v>3</v>
      </c>
      <c r="F14" s="15" t="s">
        <v>11</v>
      </c>
      <c r="G14" s="44"/>
      <c r="H14" s="49"/>
      <c r="I14" s="20"/>
    </row>
    <row r="15" spans="1:9" ht="12.9" customHeight="1">
      <c r="A15" s="2"/>
      <c r="B15" s="58" t="s">
        <v>86</v>
      </c>
      <c r="C15" s="59"/>
      <c r="D15" s="60">
        <v>50</v>
      </c>
      <c r="E15" s="61">
        <f>MIN(2000,(C2*50))</f>
        <v>150</v>
      </c>
      <c r="F15" s="62" t="s">
        <v>11</v>
      </c>
      <c r="G15" s="52" t="s">
        <v>107</v>
      </c>
      <c r="H15" s="49"/>
      <c r="I15" s="51"/>
    </row>
    <row r="16" spans="1:9" ht="12.9" customHeight="1">
      <c r="A16" s="2"/>
      <c r="B16" s="96" t="s">
        <v>14</v>
      </c>
      <c r="C16" s="97"/>
      <c r="D16" s="13">
        <v>3</v>
      </c>
      <c r="E16" s="14">
        <f>C2*3</f>
        <v>9</v>
      </c>
      <c r="F16" s="15" t="s">
        <v>11</v>
      </c>
      <c r="G16" s="65" t="s">
        <v>15</v>
      </c>
      <c r="H16" s="91"/>
      <c r="I16" s="66"/>
    </row>
    <row r="17" spans="1:9" ht="12.9" customHeight="1">
      <c r="A17" s="2"/>
      <c r="B17" s="96" t="s">
        <v>17</v>
      </c>
      <c r="C17" s="97"/>
      <c r="D17" s="13">
        <v>10</v>
      </c>
      <c r="E17" s="14">
        <f>C2*10</f>
        <v>30</v>
      </c>
      <c r="F17" s="15" t="s">
        <v>8</v>
      </c>
      <c r="G17" s="90"/>
      <c r="H17" s="91"/>
      <c r="I17" s="66"/>
    </row>
    <row r="18" spans="1:9" ht="12.9" customHeight="1">
      <c r="A18" s="2"/>
      <c r="B18" s="96" t="s">
        <v>18</v>
      </c>
      <c r="C18" s="97"/>
      <c r="D18" s="13">
        <v>0.1</v>
      </c>
      <c r="E18" s="14">
        <f>C2*0.1</f>
        <v>0.30000000000000004</v>
      </c>
      <c r="F18" s="15" t="s">
        <v>19</v>
      </c>
      <c r="G18" s="44"/>
      <c r="H18" s="49"/>
      <c r="I18" s="20"/>
    </row>
    <row r="19" spans="1:9" ht="7" customHeight="1">
      <c r="A19" s="2"/>
      <c r="B19" s="86"/>
      <c r="C19" s="86"/>
      <c r="D19" s="11"/>
      <c r="E19" s="21"/>
      <c r="F19" s="11"/>
      <c r="G19" s="79"/>
      <c r="H19" s="79"/>
      <c r="I19" s="85"/>
    </row>
    <row r="20" spans="1:9" ht="12.9" customHeight="1">
      <c r="A20" s="2"/>
      <c r="B20" s="65" t="s">
        <v>29</v>
      </c>
      <c r="C20" s="66"/>
      <c r="D20" s="13">
        <v>0.5</v>
      </c>
      <c r="E20" s="14">
        <f>C2*0.5</f>
        <v>1.5</v>
      </c>
      <c r="F20" s="16" t="s">
        <v>30</v>
      </c>
      <c r="G20" s="78" t="s">
        <v>31</v>
      </c>
      <c r="H20" s="79"/>
      <c r="I20" s="84"/>
    </row>
    <row r="21" spans="1:9" ht="12.9" customHeight="1">
      <c r="A21" s="2"/>
      <c r="B21" s="65" t="s">
        <v>29</v>
      </c>
      <c r="C21" s="66"/>
      <c r="D21" s="13">
        <v>1</v>
      </c>
      <c r="E21" s="14">
        <f>C2*1</f>
        <v>3</v>
      </c>
      <c r="F21" s="16" t="s">
        <v>30</v>
      </c>
      <c r="G21" s="78" t="s">
        <v>31</v>
      </c>
      <c r="H21" s="79"/>
      <c r="I21" s="84"/>
    </row>
    <row r="22" spans="1:9" ht="12.9" customHeight="1">
      <c r="A22" s="2"/>
      <c r="B22" s="65" t="s">
        <v>32</v>
      </c>
      <c r="C22" s="66"/>
      <c r="D22" s="13">
        <v>4</v>
      </c>
      <c r="E22" s="14">
        <f>C2*4</f>
        <v>12</v>
      </c>
      <c r="F22" s="16" t="s">
        <v>30</v>
      </c>
      <c r="G22" s="78" t="s">
        <v>33</v>
      </c>
      <c r="H22" s="79"/>
      <c r="I22" s="84"/>
    </row>
    <row r="23" spans="1:9" ht="7" customHeight="1">
      <c r="A23" s="2"/>
      <c r="B23" s="19"/>
      <c r="C23" s="19"/>
      <c r="D23" s="11"/>
      <c r="E23" s="21"/>
      <c r="F23" s="11"/>
      <c r="G23" s="79"/>
      <c r="H23" s="79"/>
      <c r="I23" s="85"/>
    </row>
    <row r="24" spans="1:9" ht="12.9" customHeight="1">
      <c r="A24" s="2"/>
      <c r="B24" s="65" t="s">
        <v>109</v>
      </c>
      <c r="C24" s="66"/>
      <c r="D24" s="16" t="s">
        <v>34</v>
      </c>
      <c r="E24" s="14">
        <f>C2*0.3</f>
        <v>0.89999999999999991</v>
      </c>
      <c r="F24" s="16" t="s">
        <v>35</v>
      </c>
      <c r="G24" s="78" t="s">
        <v>71</v>
      </c>
      <c r="H24" s="79"/>
      <c r="I24" s="84"/>
    </row>
    <row r="25" spans="1:9" ht="12.9" customHeight="1">
      <c r="A25" s="2"/>
      <c r="B25" s="22" t="s">
        <v>26</v>
      </c>
      <c r="C25" s="20"/>
      <c r="D25" s="13" t="s">
        <v>44</v>
      </c>
      <c r="E25" s="14">
        <f>C2*15</f>
        <v>45</v>
      </c>
      <c r="F25" s="15" t="s">
        <v>87</v>
      </c>
      <c r="G25" s="78" t="s">
        <v>72</v>
      </c>
      <c r="H25" s="79"/>
      <c r="I25" s="84"/>
    </row>
    <row r="26" spans="1:9" ht="12.9" customHeight="1">
      <c r="A26" s="2"/>
      <c r="B26" s="65" t="s">
        <v>43</v>
      </c>
      <c r="C26" s="66"/>
      <c r="D26" s="16" t="s">
        <v>44</v>
      </c>
      <c r="E26" s="14">
        <f>C2*15</f>
        <v>45</v>
      </c>
      <c r="F26" s="16" t="s">
        <v>35</v>
      </c>
      <c r="G26" s="78" t="s">
        <v>73</v>
      </c>
      <c r="H26" s="79"/>
      <c r="I26" s="84"/>
    </row>
    <row r="27" spans="1:9" ht="12.9" customHeight="1">
      <c r="A27" s="2"/>
      <c r="B27" s="65" t="s">
        <v>41</v>
      </c>
      <c r="C27" s="66"/>
      <c r="D27" s="16" t="s">
        <v>42</v>
      </c>
      <c r="E27" s="14">
        <f>C2*30</f>
        <v>90</v>
      </c>
      <c r="F27" s="16" t="s">
        <v>35</v>
      </c>
      <c r="G27" s="78" t="s">
        <v>74</v>
      </c>
      <c r="H27" s="79"/>
      <c r="I27" s="84"/>
    </row>
    <row r="28" spans="1:9" ht="12.9" customHeight="1">
      <c r="A28" s="2"/>
      <c r="B28" s="70" t="s">
        <v>102</v>
      </c>
      <c r="C28" s="71"/>
      <c r="D28" s="102" t="s">
        <v>103</v>
      </c>
      <c r="E28" s="103"/>
      <c r="F28" s="104"/>
      <c r="G28" s="72" t="s">
        <v>104</v>
      </c>
      <c r="H28" s="73"/>
      <c r="I28" s="74"/>
    </row>
    <row r="29" spans="1:9" s="42" customFormat="1" ht="12.9" customHeight="1">
      <c r="A29" s="53"/>
      <c r="B29" s="70" t="s">
        <v>47</v>
      </c>
      <c r="C29" s="71"/>
      <c r="D29" s="63" t="s">
        <v>36</v>
      </c>
      <c r="E29" s="61">
        <f>C2*3</f>
        <v>9</v>
      </c>
      <c r="F29" s="63" t="s">
        <v>35</v>
      </c>
      <c r="G29" s="72" t="s">
        <v>106</v>
      </c>
      <c r="H29" s="73"/>
      <c r="I29" s="74"/>
    </row>
    <row r="30" spans="1:9" s="42" customFormat="1" ht="12.25">
      <c r="A30" s="53"/>
      <c r="B30" s="70" t="s">
        <v>48</v>
      </c>
      <c r="C30" s="71"/>
      <c r="D30" s="63" t="s">
        <v>38</v>
      </c>
      <c r="E30" s="61">
        <v>50</v>
      </c>
      <c r="F30" s="63" t="s">
        <v>35</v>
      </c>
      <c r="G30" s="52" t="s">
        <v>39</v>
      </c>
      <c r="H30" s="54">
        <f>1000/60/C2</f>
        <v>5.5555555555555562</v>
      </c>
      <c r="I30" s="64" t="s">
        <v>105</v>
      </c>
    </row>
    <row r="31" spans="1:9" s="42" customFormat="1" ht="12.9" customHeight="1">
      <c r="A31" s="53"/>
      <c r="B31" s="70" t="s">
        <v>108</v>
      </c>
      <c r="C31" s="71"/>
      <c r="D31" s="63" t="s">
        <v>113</v>
      </c>
      <c r="E31" s="61">
        <v>10</v>
      </c>
      <c r="F31" s="63" t="s">
        <v>110</v>
      </c>
      <c r="G31" s="72" t="s">
        <v>114</v>
      </c>
      <c r="H31" s="73"/>
      <c r="I31" s="74"/>
    </row>
    <row r="32" spans="1:9" ht="12.9" customHeight="1">
      <c r="A32" s="2"/>
      <c r="B32" s="65" t="s">
        <v>88</v>
      </c>
      <c r="C32" s="66"/>
      <c r="D32" s="16" t="s">
        <v>36</v>
      </c>
      <c r="E32" s="14">
        <f>C2*3</f>
        <v>9</v>
      </c>
      <c r="F32" s="16" t="s">
        <v>35</v>
      </c>
      <c r="G32" s="78" t="s">
        <v>58</v>
      </c>
      <c r="H32" s="79"/>
      <c r="I32" s="84"/>
    </row>
    <row r="33" spans="1:9" ht="12.9" customHeight="1">
      <c r="A33" s="2"/>
      <c r="B33" s="65" t="s">
        <v>37</v>
      </c>
      <c r="C33" s="66"/>
      <c r="D33" s="16" t="s">
        <v>38</v>
      </c>
      <c r="E33" s="14">
        <v>50</v>
      </c>
      <c r="F33" s="16" t="s">
        <v>35</v>
      </c>
      <c r="G33" s="40" t="s">
        <v>39</v>
      </c>
      <c r="H33" s="54">
        <f>(1000/60/C2)</f>
        <v>5.5555555555555562</v>
      </c>
      <c r="I33" s="37" t="s">
        <v>40</v>
      </c>
    </row>
    <row r="34" spans="1:9" ht="12.9" customHeight="1">
      <c r="A34" s="2"/>
      <c r="B34" s="65" t="s">
        <v>49</v>
      </c>
      <c r="C34" s="66"/>
      <c r="D34" s="23" t="s">
        <v>44</v>
      </c>
      <c r="E34" s="24">
        <f>C2*15</f>
        <v>45</v>
      </c>
      <c r="F34" s="23" t="s">
        <v>35</v>
      </c>
      <c r="G34" s="65" t="s">
        <v>79</v>
      </c>
      <c r="H34" s="91"/>
      <c r="I34" s="66"/>
    </row>
    <row r="35" spans="1:9" ht="12.9" customHeight="1">
      <c r="A35" s="2"/>
      <c r="B35" s="65" t="s">
        <v>18</v>
      </c>
      <c r="C35" s="66"/>
      <c r="D35" s="16" t="s">
        <v>45</v>
      </c>
      <c r="E35" s="14">
        <f>C2*1</f>
        <v>3</v>
      </c>
      <c r="F35" s="16" t="s">
        <v>46</v>
      </c>
      <c r="G35" s="40" t="s">
        <v>75</v>
      </c>
      <c r="H35" s="50"/>
      <c r="I35" s="25"/>
    </row>
    <row r="36" spans="1:9" ht="6.8" customHeight="1">
      <c r="A36" s="2"/>
      <c r="B36" s="19"/>
      <c r="C36" s="19"/>
      <c r="D36" s="11"/>
      <c r="E36" s="21"/>
      <c r="F36" s="11"/>
      <c r="G36" s="41"/>
      <c r="H36" s="50"/>
      <c r="I36" s="26"/>
    </row>
    <row r="37" spans="1:9" ht="12.25">
      <c r="A37" s="2"/>
      <c r="B37" s="65" t="s">
        <v>50</v>
      </c>
      <c r="C37" s="66"/>
      <c r="D37" s="16" t="s">
        <v>118</v>
      </c>
      <c r="E37" s="14">
        <f>C2*50</f>
        <v>150</v>
      </c>
      <c r="F37" s="16" t="s">
        <v>51</v>
      </c>
      <c r="G37" s="75" t="s">
        <v>111</v>
      </c>
      <c r="H37" s="68"/>
      <c r="I37" s="69"/>
    </row>
    <row r="38" spans="1:9" ht="12.25">
      <c r="A38" s="2"/>
      <c r="B38" s="65" t="s">
        <v>52</v>
      </c>
      <c r="C38" s="66"/>
      <c r="D38" s="16" t="s">
        <v>117</v>
      </c>
      <c r="E38" s="27" t="s">
        <v>53</v>
      </c>
      <c r="F38" s="16" t="s">
        <v>51</v>
      </c>
      <c r="G38" s="45">
        <f>(2.5*C2)/100</f>
        <v>7.4999999999999997E-2</v>
      </c>
      <c r="H38" s="100" t="s">
        <v>116</v>
      </c>
      <c r="I38" s="101"/>
    </row>
    <row r="39" spans="1:9" ht="6.8" customHeight="1"/>
    <row r="40" spans="1:9" ht="12.9" customHeight="1">
      <c r="A40" s="2"/>
      <c r="B40" s="98" t="s">
        <v>60</v>
      </c>
      <c r="C40" s="99"/>
      <c r="D40" s="28" t="s">
        <v>56</v>
      </c>
      <c r="E40" s="29">
        <f>C2*10</f>
        <v>30</v>
      </c>
      <c r="F40" s="28" t="s">
        <v>57</v>
      </c>
      <c r="G40" s="87" t="s">
        <v>64</v>
      </c>
      <c r="H40" s="88"/>
      <c r="I40" s="89"/>
    </row>
    <row r="41" spans="1:9" ht="12.9" customHeight="1">
      <c r="A41" s="2"/>
      <c r="B41" s="30" t="s">
        <v>76</v>
      </c>
      <c r="C41" s="31"/>
      <c r="D41" s="32" t="s">
        <v>61</v>
      </c>
      <c r="E41" s="33">
        <v>200</v>
      </c>
      <c r="F41" s="32" t="s">
        <v>57</v>
      </c>
      <c r="G41" s="46" t="s">
        <v>62</v>
      </c>
      <c r="H41" s="55">
        <f>(4/C2)</f>
        <v>1.3333333333333333</v>
      </c>
      <c r="I41" s="38" t="s">
        <v>91</v>
      </c>
    </row>
    <row r="42" spans="1:9" ht="12.9" customHeight="1">
      <c r="A42" s="2"/>
      <c r="B42" s="65" t="s">
        <v>81</v>
      </c>
      <c r="C42" s="66"/>
      <c r="D42" s="16" t="s">
        <v>59</v>
      </c>
      <c r="E42" s="14">
        <f>C2*250</f>
        <v>750</v>
      </c>
      <c r="F42" s="16" t="s">
        <v>57</v>
      </c>
      <c r="G42" s="78" t="s">
        <v>65</v>
      </c>
      <c r="H42" s="79"/>
      <c r="I42" s="80"/>
    </row>
    <row r="43" spans="1:9" ht="12.9" customHeight="1">
      <c r="A43" s="2"/>
      <c r="B43" s="22" t="s">
        <v>82</v>
      </c>
      <c r="C43" s="20"/>
      <c r="D43" s="16" t="s">
        <v>80</v>
      </c>
      <c r="E43" s="14">
        <v>2500</v>
      </c>
      <c r="F43" s="16" t="s">
        <v>57</v>
      </c>
      <c r="G43" s="47" t="s">
        <v>62</v>
      </c>
      <c r="H43" s="56">
        <f>50/C2</f>
        <v>16.666666666666668</v>
      </c>
      <c r="I43" s="34" t="s">
        <v>91</v>
      </c>
    </row>
    <row r="44" spans="1:9" ht="12.9" customHeight="1">
      <c r="A44" s="2"/>
      <c r="B44" s="65" t="s">
        <v>63</v>
      </c>
      <c r="C44" s="66"/>
      <c r="D44" s="16" t="s">
        <v>36</v>
      </c>
      <c r="E44" s="14">
        <f>C2*3</f>
        <v>9</v>
      </c>
      <c r="F44" s="16" t="s">
        <v>35</v>
      </c>
      <c r="G44" s="78" t="s">
        <v>66</v>
      </c>
      <c r="H44" s="79"/>
      <c r="I44" s="80"/>
    </row>
    <row r="45" spans="1:9" ht="12.9" customHeight="1">
      <c r="A45" s="2"/>
      <c r="B45" s="65" t="s">
        <v>90</v>
      </c>
      <c r="C45" s="66"/>
      <c r="D45" s="16" t="s">
        <v>54</v>
      </c>
      <c r="E45" s="14">
        <f>C2</f>
        <v>3</v>
      </c>
      <c r="F45" s="16" t="s">
        <v>35</v>
      </c>
      <c r="G45" s="78" t="s">
        <v>68</v>
      </c>
      <c r="H45" s="79"/>
      <c r="I45" s="80"/>
    </row>
    <row r="46" spans="1:9" ht="12.9" customHeight="1">
      <c r="A46" s="2"/>
      <c r="B46" s="65" t="s">
        <v>89</v>
      </c>
      <c r="C46" s="66"/>
      <c r="D46" s="16" t="s">
        <v>55</v>
      </c>
      <c r="E46" s="14">
        <v>50</v>
      </c>
      <c r="F46" s="16" t="s">
        <v>35</v>
      </c>
      <c r="G46" s="78" t="s">
        <v>67</v>
      </c>
      <c r="H46" s="79"/>
      <c r="I46" s="80"/>
    </row>
    <row r="47" spans="1:9" ht="12.9" customHeight="1">
      <c r="A47" s="2"/>
      <c r="B47" s="76" t="s">
        <v>96</v>
      </c>
      <c r="C47" s="77"/>
      <c r="D47" s="35" t="s">
        <v>77</v>
      </c>
      <c r="E47" s="36">
        <f>C2*25</f>
        <v>75</v>
      </c>
      <c r="F47" s="35" t="s">
        <v>35</v>
      </c>
      <c r="G47" s="48" t="s">
        <v>62</v>
      </c>
      <c r="H47" s="57">
        <f>(E47/50/C2)</f>
        <v>0.5</v>
      </c>
      <c r="I47" s="39" t="s">
        <v>92</v>
      </c>
    </row>
    <row r="48" spans="1:9" ht="12.9" customHeight="1">
      <c r="A48" s="2"/>
      <c r="B48" s="76" t="s">
        <v>97</v>
      </c>
      <c r="C48" s="77"/>
      <c r="D48" s="35" t="s">
        <v>78</v>
      </c>
      <c r="E48" s="36">
        <v>500</v>
      </c>
      <c r="F48" s="35" t="s">
        <v>35</v>
      </c>
      <c r="G48" s="48" t="s">
        <v>62</v>
      </c>
      <c r="H48" s="57">
        <f>(10/C2)</f>
        <v>3.3333333333333335</v>
      </c>
      <c r="I48" s="39" t="s">
        <v>92</v>
      </c>
    </row>
    <row r="49" spans="1:9" ht="65.25" customHeight="1">
      <c r="A49" s="2"/>
      <c r="B49" s="65" t="s">
        <v>93</v>
      </c>
      <c r="C49" s="66"/>
      <c r="D49" s="16" t="s">
        <v>99</v>
      </c>
      <c r="E49" s="14">
        <f>MIN(2000,(C2*70))</f>
        <v>210</v>
      </c>
      <c r="F49" s="16" t="s">
        <v>11</v>
      </c>
      <c r="G49" s="67" t="s">
        <v>112</v>
      </c>
      <c r="H49" s="68"/>
      <c r="I49" s="69"/>
    </row>
    <row r="50" spans="1:9" ht="43.5" customHeight="1">
      <c r="A50" s="2"/>
      <c r="B50" s="65" t="s">
        <v>94</v>
      </c>
      <c r="C50" s="66"/>
      <c r="D50" s="16" t="s">
        <v>98</v>
      </c>
      <c r="E50" s="14">
        <f>C2*90</f>
        <v>270</v>
      </c>
      <c r="F50" s="16" t="s">
        <v>8</v>
      </c>
      <c r="G50" s="75" t="s">
        <v>101</v>
      </c>
      <c r="H50" s="68"/>
      <c r="I50" s="69"/>
    </row>
    <row r="51" spans="1:9" ht="51.8" customHeight="1">
      <c r="A51" s="2"/>
      <c r="B51" s="65" t="s">
        <v>95</v>
      </c>
      <c r="C51" s="66"/>
      <c r="D51" s="16" t="s">
        <v>100</v>
      </c>
      <c r="E51" s="14">
        <f>MIN(1000,(C2*12.5))</f>
        <v>37.5</v>
      </c>
      <c r="F51" s="16" t="s">
        <v>13</v>
      </c>
      <c r="G51" s="67" t="s">
        <v>115</v>
      </c>
      <c r="H51" s="68"/>
      <c r="I51" s="69"/>
    </row>
  </sheetData>
  <sheetProtection algorithmName="SHA-512" hashValue="xPKbTN8r68S2WltFhU6kG56KzQhy3yLdnFTk7bjzqSOKPSv+lIqbSRkmjlQOkvCosHKrHupO5X4Rr/cmQsofsw==" saltValue="owdcohaO8n1peq8DgnuEFg==" spinCount="100000" sheet="1" objects="1" scenarios="1"/>
  <mergeCells count="80">
    <mergeCell ref="B49:C49"/>
    <mergeCell ref="B26:C26"/>
    <mergeCell ref="G37:I37"/>
    <mergeCell ref="H38:I38"/>
    <mergeCell ref="G34:I34"/>
    <mergeCell ref="G29:I29"/>
    <mergeCell ref="G26:I26"/>
    <mergeCell ref="B32:C32"/>
    <mergeCell ref="B33:C33"/>
    <mergeCell ref="B35:C35"/>
    <mergeCell ref="D28:F28"/>
    <mergeCell ref="B31:C31"/>
    <mergeCell ref="G31:I31"/>
    <mergeCell ref="B21:C21"/>
    <mergeCell ref="B24:C24"/>
    <mergeCell ref="B9:C9"/>
    <mergeCell ref="B10:C10"/>
    <mergeCell ref="B5:C5"/>
    <mergeCell ref="B6:C6"/>
    <mergeCell ref="B20:C20"/>
    <mergeCell ref="B12:C12"/>
    <mergeCell ref="B11:C11"/>
    <mergeCell ref="B13:C13"/>
    <mergeCell ref="B16:C16"/>
    <mergeCell ref="B8:C8"/>
    <mergeCell ref="B18:C18"/>
    <mergeCell ref="G2:I2"/>
    <mergeCell ref="G12:I12"/>
    <mergeCell ref="G11:I11"/>
    <mergeCell ref="G13:I13"/>
    <mergeCell ref="B47:C47"/>
    <mergeCell ref="B4:C4"/>
    <mergeCell ref="B17:C17"/>
    <mergeCell ref="B27:C27"/>
    <mergeCell ref="B19:C19"/>
    <mergeCell ref="B44:C44"/>
    <mergeCell ref="B7:C7"/>
    <mergeCell ref="B22:C22"/>
    <mergeCell ref="B37:C37"/>
    <mergeCell ref="B34:C34"/>
    <mergeCell ref="B40:C40"/>
    <mergeCell ref="B29:C29"/>
    <mergeCell ref="G5:I5"/>
    <mergeCell ref="G25:I25"/>
    <mergeCell ref="G7:I7"/>
    <mergeCell ref="G10:I10"/>
    <mergeCell ref="G9:I9"/>
    <mergeCell ref="G8:I8"/>
    <mergeCell ref="G3:I3"/>
    <mergeCell ref="G24:I24"/>
    <mergeCell ref="G23:I23"/>
    <mergeCell ref="B3:C3"/>
    <mergeCell ref="G42:I42"/>
    <mergeCell ref="G40:I40"/>
    <mergeCell ref="G27:I27"/>
    <mergeCell ref="G32:I32"/>
    <mergeCell ref="G17:I17"/>
    <mergeCell ref="G4:I4"/>
    <mergeCell ref="G22:I22"/>
    <mergeCell ref="G21:I21"/>
    <mergeCell ref="G20:I20"/>
    <mergeCell ref="G19:I19"/>
    <mergeCell ref="G16:I16"/>
    <mergeCell ref="G6:I6"/>
    <mergeCell ref="B51:C51"/>
    <mergeCell ref="G51:I51"/>
    <mergeCell ref="B28:C28"/>
    <mergeCell ref="G28:I28"/>
    <mergeCell ref="G49:I49"/>
    <mergeCell ref="B50:C50"/>
    <mergeCell ref="G50:I50"/>
    <mergeCell ref="B48:C48"/>
    <mergeCell ref="G44:I44"/>
    <mergeCell ref="B30:C30"/>
    <mergeCell ref="B38:C38"/>
    <mergeCell ref="G45:I45"/>
    <mergeCell ref="B46:C46"/>
    <mergeCell ref="G46:I46"/>
    <mergeCell ref="B42:C42"/>
    <mergeCell ref="B45:C45"/>
  </mergeCells>
  <printOptions horizontalCentered="1"/>
  <pageMargins left="0.51181102362204722" right="0.51181102362204722" top="0.23622047244094491" bottom="0" header="0.23622047244094491" footer="0"/>
  <pageSetup paperSize="9" scale="95" fitToHeight="0" orientation="landscape" r:id="rId1"/>
  <headerFooter>
    <oddHeader>&amp;R&amp;"Helvetica Neue,Italic"ver. 2.0 July 2022  &amp;"Helvetica Neue,Regular"Page &amp;P of &amp;N</oddHeader>
  </headerFooter>
  <rowBreaks count="1" manualBreakCount="1">
    <brk id="48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Cardiac Drugs - Table 1</vt:lpstr>
      <vt:lpstr>'Cardiac Drugs - Table 1'!Print_Area</vt:lpstr>
      <vt:lpstr>'Cardiac Drugs - Table 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 AyaHaziQ</dc:creator>
  <cp:lastModifiedBy>Ng Siew Luan @ Siti Nur Diyanah Ng</cp:lastModifiedBy>
  <cp:lastPrinted>2023-01-03T05:10:32Z</cp:lastPrinted>
  <dcterms:created xsi:type="dcterms:W3CDTF">2020-07-21T19:58:52Z</dcterms:created>
  <dcterms:modified xsi:type="dcterms:W3CDTF">2023-04-14T06:35:15Z</dcterms:modified>
</cp:coreProperties>
</file>